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msic1\Downloads\"/>
    </mc:Choice>
  </mc:AlternateContent>
  <xr:revisionPtr revIDLastSave="0" documentId="8_{ED033090-6345-4B65-94E7-C36007EFB8C2}" xr6:coauthVersionLast="47" xr6:coauthVersionMax="47" xr10:uidLastSave="{00000000-0000-0000-0000-000000000000}"/>
  <bookViews>
    <workbookView xWindow="-24000" yWindow="2040" windowWidth="21600" windowHeight="11295" activeTab="2" xr2:uid="{00000000-000D-0000-FFFF-FFFF00000000}"/>
  </bookViews>
  <sheets>
    <sheet name="Chart1" sheetId="13" r:id="rId1"/>
    <sheet name="Earthwork Stg 2" sheetId="11" r:id="rId2"/>
    <sheet name="SEEDING" sheetId="12" r:id="rId3"/>
    <sheet name="Earthwork (OLD)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1" l="1"/>
  <c r="J40" i="11"/>
  <c r="J42" i="11"/>
  <c r="C45" i="12"/>
  <c r="D45" i="12" s="1"/>
  <c r="C22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D41" i="12" s="1"/>
  <c r="C42" i="12"/>
  <c r="D42" i="12" s="1"/>
  <c r="C43" i="12"/>
  <c r="C25" i="12"/>
  <c r="C26" i="12"/>
  <c r="C27" i="12"/>
  <c r="C24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7" i="12"/>
  <c r="C6" i="12"/>
  <c r="D6" i="12" s="1"/>
  <c r="G16" i="11"/>
  <c r="E39" i="11"/>
  <c r="E38" i="11"/>
  <c r="E15" i="11"/>
  <c r="G45" i="11"/>
  <c r="F45" i="11"/>
  <c r="G43" i="11"/>
  <c r="F43" i="11"/>
  <c r="F6" i="11"/>
  <c r="F46" i="11"/>
  <c r="G46" i="11"/>
  <c r="G44" i="11"/>
  <c r="F44" i="11"/>
  <c r="F16" i="11"/>
  <c r="D43" i="12" l="1"/>
  <c r="D44" i="12"/>
  <c r="D12" i="12"/>
  <c r="D14" i="12"/>
  <c r="D25" i="12"/>
  <c r="D27" i="12"/>
  <c r="D29" i="12"/>
  <c r="D32" i="12"/>
  <c r="D33" i="12"/>
  <c r="D34" i="12"/>
  <c r="D35" i="12"/>
  <c r="D37" i="12"/>
  <c r="D38" i="12"/>
  <c r="D40" i="12"/>
  <c r="D15" i="12" l="1"/>
  <c r="D13" i="12"/>
  <c r="D22" i="12"/>
  <c r="D10" i="12"/>
  <c r="D30" i="12"/>
  <c r="D39" i="12"/>
  <c r="D11" i="12"/>
  <c r="D24" i="12"/>
  <c r="D7" i="12"/>
  <c r="D21" i="12"/>
  <c r="D16" i="12"/>
  <c r="D36" i="12"/>
  <c r="D31" i="12"/>
  <c r="D28" i="12"/>
  <c r="D26" i="12"/>
  <c r="D20" i="12"/>
  <c r="D19" i="12"/>
  <c r="D18" i="12"/>
  <c r="D17" i="12"/>
  <c r="D9" i="12"/>
  <c r="D8" i="12"/>
  <c r="D47" i="12" l="1"/>
  <c r="H2" i="12" s="1"/>
  <c r="H9" i="12" s="1"/>
  <c r="I33" i="11"/>
  <c r="I6" i="11"/>
  <c r="E37" i="11"/>
  <c r="G37" i="11" s="1"/>
  <c r="E36" i="11"/>
  <c r="G36" i="11" s="1"/>
  <c r="E35" i="11"/>
  <c r="G35" i="11" s="1"/>
  <c r="E34" i="11"/>
  <c r="G34" i="11" s="1"/>
  <c r="E33" i="11"/>
  <c r="G33" i="11" s="1"/>
  <c r="K33" i="11" s="1"/>
  <c r="E32" i="11"/>
  <c r="G32" i="11" s="1"/>
  <c r="E31" i="11"/>
  <c r="G31" i="11" s="1"/>
  <c r="E30" i="11"/>
  <c r="G30" i="11" s="1"/>
  <c r="E29" i="11"/>
  <c r="G29" i="11" s="1"/>
  <c r="E28" i="11"/>
  <c r="G28" i="11" s="1"/>
  <c r="E27" i="11"/>
  <c r="G27" i="11" s="1"/>
  <c r="K28" i="11" s="1"/>
  <c r="E26" i="11"/>
  <c r="E25" i="11"/>
  <c r="G25" i="11" s="1"/>
  <c r="E22" i="11"/>
  <c r="G22" i="11" s="1"/>
  <c r="D21" i="11"/>
  <c r="F21" i="11" s="1"/>
  <c r="D20" i="11"/>
  <c r="E20" i="11" s="1"/>
  <c r="G20" i="11" s="1"/>
  <c r="D19" i="11"/>
  <c r="F19" i="11" s="1"/>
  <c r="F23" i="11"/>
  <c r="G23" i="11"/>
  <c r="F24" i="11"/>
  <c r="G24" i="11"/>
  <c r="K24" i="11" s="1"/>
  <c r="F25" i="11"/>
  <c r="I25" i="11" s="1"/>
  <c r="F26" i="11"/>
  <c r="I26" i="11" s="1"/>
  <c r="G26" i="11"/>
  <c r="F27" i="11"/>
  <c r="I27" i="11" s="1"/>
  <c r="F28" i="11"/>
  <c r="F29" i="11"/>
  <c r="I29" i="11" s="1"/>
  <c r="F30" i="11"/>
  <c r="I30" i="11" s="1"/>
  <c r="F31" i="11"/>
  <c r="I31" i="11" s="1"/>
  <c r="F32" i="11"/>
  <c r="F33" i="11"/>
  <c r="F34" i="11"/>
  <c r="F35" i="11"/>
  <c r="F36" i="11"/>
  <c r="F37" i="11"/>
  <c r="F38" i="11"/>
  <c r="G38" i="11"/>
  <c r="F39" i="11"/>
  <c r="G39" i="11"/>
  <c r="F40" i="11"/>
  <c r="G40" i="11"/>
  <c r="F41" i="11"/>
  <c r="I41" i="11" s="1"/>
  <c r="J41" i="11" s="1"/>
  <c r="G41" i="11"/>
  <c r="K41" i="11" s="1"/>
  <c r="L41" i="11" s="1"/>
  <c r="F42" i="11"/>
  <c r="G42" i="11"/>
  <c r="G6" i="11"/>
  <c r="F7" i="11"/>
  <c r="I7" i="11" s="1"/>
  <c r="G7" i="11"/>
  <c r="F8" i="11"/>
  <c r="G8" i="11"/>
  <c r="F9" i="11"/>
  <c r="G9" i="11"/>
  <c r="F10" i="11"/>
  <c r="G10" i="11"/>
  <c r="F11" i="11"/>
  <c r="G11" i="11"/>
  <c r="F12" i="11"/>
  <c r="G12" i="11"/>
  <c r="K12" i="11" s="1"/>
  <c r="F13" i="11"/>
  <c r="G13" i="11"/>
  <c r="F14" i="11"/>
  <c r="G14" i="11"/>
  <c r="F15" i="11"/>
  <c r="I16" i="11" s="1"/>
  <c r="G15" i="11"/>
  <c r="K16" i="11" s="1"/>
  <c r="F18" i="11"/>
  <c r="I19" i="11" s="1"/>
  <c r="F20" i="11"/>
  <c r="F22" i="11"/>
  <c r="G5" i="11"/>
  <c r="F5" i="11"/>
  <c r="O18" i="11"/>
  <c r="N16" i="11"/>
  <c r="R16" i="11" s="1"/>
  <c r="E18" i="11"/>
  <c r="G18" i="11" s="1"/>
  <c r="E17" i="11"/>
  <c r="G17" i="11" s="1"/>
  <c r="K17" i="11" s="1"/>
  <c r="V11" i="11"/>
  <c r="V10" i="11"/>
  <c r="V9" i="11"/>
  <c r="L8" i="10"/>
  <c r="V7" i="11"/>
  <c r="V8" i="11" s="1"/>
  <c r="V6" i="11"/>
  <c r="V5" i="11"/>
  <c r="N25" i="11"/>
  <c r="R25" i="11" s="1"/>
  <c r="N26" i="11"/>
  <c r="R26" i="11" s="1"/>
  <c r="N27" i="11"/>
  <c r="R27" i="11" s="1"/>
  <c r="N28" i="11"/>
  <c r="R28" i="11" s="1"/>
  <c r="N29" i="11"/>
  <c r="R29" i="11" s="1"/>
  <c r="N30" i="11"/>
  <c r="R30" i="11" s="1"/>
  <c r="N31" i="11"/>
  <c r="R31" i="11" s="1"/>
  <c r="N32" i="11"/>
  <c r="R32" i="11" s="1"/>
  <c r="N33" i="11"/>
  <c r="R33" i="11" s="1"/>
  <c r="N34" i="11"/>
  <c r="R34" i="11" s="1"/>
  <c r="N35" i="11"/>
  <c r="R35" i="11" s="1"/>
  <c r="N36" i="11"/>
  <c r="R36" i="11" s="1"/>
  <c r="N37" i="11"/>
  <c r="R37" i="11" s="1"/>
  <c r="N38" i="11"/>
  <c r="R38" i="11" s="1"/>
  <c r="N39" i="11"/>
  <c r="R39" i="11" s="1"/>
  <c r="N40" i="11"/>
  <c r="R40" i="11" s="1"/>
  <c r="N41" i="11"/>
  <c r="R41" i="11" s="1"/>
  <c r="N42" i="11"/>
  <c r="R42" i="11" s="1"/>
  <c r="N24" i="11"/>
  <c r="R24" i="11" s="1"/>
  <c r="N7" i="11"/>
  <c r="R7" i="11" s="1"/>
  <c r="N8" i="11"/>
  <c r="R8" i="11" s="1"/>
  <c r="N9" i="11"/>
  <c r="R9" i="11" s="1"/>
  <c r="N10" i="11"/>
  <c r="R10" i="11" s="1"/>
  <c r="N11" i="11"/>
  <c r="R11" i="11" s="1"/>
  <c r="N12" i="11"/>
  <c r="R12" i="11" s="1"/>
  <c r="N13" i="11"/>
  <c r="R13" i="11" s="1"/>
  <c r="N14" i="11"/>
  <c r="R14" i="11" s="1"/>
  <c r="N15" i="11"/>
  <c r="R15" i="11" s="1"/>
  <c r="N17" i="11"/>
  <c r="R17" i="11" s="1"/>
  <c r="N18" i="11"/>
  <c r="R18" i="11" s="1"/>
  <c r="N19" i="11"/>
  <c r="R19" i="11" s="1"/>
  <c r="N20" i="11"/>
  <c r="R20" i="11" s="1"/>
  <c r="N21" i="11"/>
  <c r="R21" i="11" s="1"/>
  <c r="N22" i="11"/>
  <c r="R22" i="11" s="1"/>
  <c r="N6" i="11"/>
  <c r="R6" i="11" s="1"/>
  <c r="O16" i="11"/>
  <c r="K13" i="11" l="1"/>
  <c r="I36" i="11"/>
  <c r="I35" i="11"/>
  <c r="I40" i="11"/>
  <c r="I39" i="11"/>
  <c r="K35" i="11"/>
  <c r="K40" i="11"/>
  <c r="L40" i="11" s="1"/>
  <c r="K36" i="11"/>
  <c r="K14" i="11"/>
  <c r="K11" i="11"/>
  <c r="I24" i="11"/>
  <c r="K37" i="11"/>
  <c r="K18" i="11"/>
  <c r="I32" i="11"/>
  <c r="I42" i="11"/>
  <c r="I43" i="11"/>
  <c r="J43" i="11" s="1"/>
  <c r="K25" i="11"/>
  <c r="K42" i="11"/>
  <c r="L42" i="11" s="1"/>
  <c r="K43" i="11"/>
  <c r="L43" i="11" s="1"/>
  <c r="K7" i="11"/>
  <c r="H11" i="12"/>
  <c r="K29" i="11"/>
  <c r="K26" i="11"/>
  <c r="K31" i="11"/>
  <c r="K32" i="11"/>
  <c r="I22" i="11"/>
  <c r="I21" i="11"/>
  <c r="I37" i="11"/>
  <c r="K6" i="11"/>
  <c r="K30" i="11"/>
  <c r="I34" i="11"/>
  <c r="E21" i="11"/>
  <c r="G21" i="11" s="1"/>
  <c r="K21" i="11" s="1"/>
  <c r="H10" i="12"/>
  <c r="K22" i="11"/>
  <c r="I20" i="11"/>
  <c r="I28" i="11"/>
  <c r="K34" i="11"/>
  <c r="K27" i="11"/>
  <c r="E19" i="11"/>
  <c r="G19" i="11" s="1"/>
  <c r="K10" i="11"/>
  <c r="I12" i="11"/>
  <c r="F17" i="11"/>
  <c r="K15" i="11"/>
  <c r="K9" i="11"/>
  <c r="K8" i="11"/>
  <c r="I38" i="11"/>
  <c r="K39" i="11"/>
  <c r="K38" i="11"/>
  <c r="I15" i="11"/>
  <c r="I14" i="11"/>
  <c r="I13" i="11"/>
  <c r="I11" i="11"/>
  <c r="I10" i="11"/>
  <c r="I9" i="11"/>
  <c r="I8" i="11"/>
  <c r="H5" i="12"/>
  <c r="H7" i="12"/>
  <c r="H8" i="12" s="1"/>
  <c r="H6" i="12"/>
  <c r="R47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24" i="11"/>
  <c r="O7" i="11"/>
  <c r="O8" i="11"/>
  <c r="O9" i="11"/>
  <c r="O10" i="11"/>
  <c r="O11" i="11"/>
  <c r="O12" i="11"/>
  <c r="O13" i="11"/>
  <c r="O14" i="11"/>
  <c r="O15" i="11"/>
  <c r="O17" i="11"/>
  <c r="O19" i="11"/>
  <c r="O20" i="11"/>
  <c r="O21" i="11"/>
  <c r="O22" i="11"/>
  <c r="O6" i="11"/>
  <c r="I17" i="11" l="1"/>
  <c r="J17" i="11" s="1"/>
  <c r="I18" i="11"/>
  <c r="J18" i="11" s="1"/>
  <c r="K19" i="11"/>
  <c r="L19" i="11" s="1"/>
  <c r="K20" i="11"/>
  <c r="L20" i="11" s="1"/>
  <c r="P42" i="11"/>
  <c r="Q42" i="11" s="1"/>
  <c r="P41" i="11"/>
  <c r="Q41" i="11" s="1"/>
  <c r="P40" i="11"/>
  <c r="Q40" i="11" s="1"/>
  <c r="P39" i="11"/>
  <c r="Q39" i="11" s="1"/>
  <c r="L39" i="11"/>
  <c r="J39" i="11"/>
  <c r="P38" i="11"/>
  <c r="Q38" i="11" s="1"/>
  <c r="L38" i="11"/>
  <c r="J38" i="11"/>
  <c r="P37" i="11"/>
  <c r="Q37" i="11" s="1"/>
  <c r="L37" i="11"/>
  <c r="J37" i="11"/>
  <c r="P36" i="11"/>
  <c r="Q36" i="11" s="1"/>
  <c r="L36" i="11"/>
  <c r="J36" i="11"/>
  <c r="P35" i="11"/>
  <c r="Q35" i="11" s="1"/>
  <c r="L35" i="11"/>
  <c r="J35" i="11"/>
  <c r="P34" i="11"/>
  <c r="Q34" i="11" s="1"/>
  <c r="L34" i="11"/>
  <c r="J34" i="11"/>
  <c r="P33" i="11"/>
  <c r="Q33" i="11" s="1"/>
  <c r="L33" i="11"/>
  <c r="J33" i="11"/>
  <c r="P32" i="11"/>
  <c r="Q32" i="11" s="1"/>
  <c r="L32" i="11"/>
  <c r="J32" i="11"/>
  <c r="P31" i="11"/>
  <c r="Q31" i="11" s="1"/>
  <c r="L31" i="11"/>
  <c r="J31" i="11"/>
  <c r="P30" i="11"/>
  <c r="Q30" i="11" s="1"/>
  <c r="L30" i="11"/>
  <c r="J30" i="11"/>
  <c r="P29" i="11"/>
  <c r="Q29" i="11" s="1"/>
  <c r="L29" i="11"/>
  <c r="J29" i="11"/>
  <c r="P28" i="11"/>
  <c r="Q28" i="11" s="1"/>
  <c r="L28" i="11"/>
  <c r="J28" i="11"/>
  <c r="P27" i="11"/>
  <c r="Q27" i="11" s="1"/>
  <c r="L27" i="11"/>
  <c r="J27" i="11"/>
  <c r="P26" i="11"/>
  <c r="Q26" i="11" s="1"/>
  <c r="L26" i="11"/>
  <c r="J26" i="11"/>
  <c r="P25" i="11"/>
  <c r="Q25" i="11" s="1"/>
  <c r="L25" i="11"/>
  <c r="J25" i="11"/>
  <c r="P24" i="11"/>
  <c r="Q24" i="11" s="1"/>
  <c r="L24" i="11"/>
  <c r="J24" i="11"/>
  <c r="P22" i="11"/>
  <c r="Q22" i="11" s="1"/>
  <c r="L22" i="11"/>
  <c r="J22" i="11"/>
  <c r="P21" i="11"/>
  <c r="Q21" i="11" s="1"/>
  <c r="L21" i="11"/>
  <c r="J21" i="11"/>
  <c r="P20" i="11"/>
  <c r="Q20" i="11" s="1"/>
  <c r="J20" i="11"/>
  <c r="P19" i="11"/>
  <c r="Q19" i="11" s="1"/>
  <c r="J19" i="11"/>
  <c r="P18" i="11"/>
  <c r="Q18" i="11" s="1"/>
  <c r="L18" i="11"/>
  <c r="P17" i="11"/>
  <c r="Q17" i="11" s="1"/>
  <c r="L17" i="11"/>
  <c r="P16" i="11"/>
  <c r="Q16" i="11" s="1"/>
  <c r="L16" i="11"/>
  <c r="J16" i="11"/>
  <c r="J47" i="11" s="1"/>
  <c r="P15" i="11"/>
  <c r="Q15" i="11" s="1"/>
  <c r="L15" i="11"/>
  <c r="J15" i="11"/>
  <c r="P14" i="11"/>
  <c r="Q14" i="11" s="1"/>
  <c r="L14" i="11"/>
  <c r="J14" i="11"/>
  <c r="P13" i="11"/>
  <c r="Q13" i="11" s="1"/>
  <c r="L13" i="11"/>
  <c r="J13" i="11"/>
  <c r="P12" i="11"/>
  <c r="Q12" i="11" s="1"/>
  <c r="L12" i="11"/>
  <c r="J12" i="11"/>
  <c r="P11" i="11"/>
  <c r="Q11" i="11" s="1"/>
  <c r="L11" i="11"/>
  <c r="J11" i="11"/>
  <c r="P10" i="11"/>
  <c r="Q10" i="11" s="1"/>
  <c r="L10" i="11"/>
  <c r="J10" i="11"/>
  <c r="P9" i="11"/>
  <c r="Q9" i="11" s="1"/>
  <c r="L9" i="11"/>
  <c r="J9" i="11"/>
  <c r="P8" i="11"/>
  <c r="Q8" i="11" s="1"/>
  <c r="L8" i="11"/>
  <c r="J8" i="11"/>
  <c r="P7" i="11"/>
  <c r="Q7" i="11" s="1"/>
  <c r="L7" i="11"/>
  <c r="J7" i="11"/>
  <c r="P6" i="11"/>
  <c r="Q6" i="11" s="1"/>
  <c r="L6" i="11"/>
  <c r="J6" i="11"/>
  <c r="L11" i="10"/>
  <c r="L10" i="10"/>
  <c r="L9" i="10"/>
  <c r="L7" i="10"/>
  <c r="L5" i="10"/>
  <c r="L6" i="10"/>
  <c r="H44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5" i="10"/>
  <c r="H6" i="10"/>
  <c r="D6" i="10"/>
  <c r="G30" i="10"/>
  <c r="G29" i="10"/>
  <c r="G28" i="10"/>
  <c r="G27" i="10"/>
  <c r="G26" i="10"/>
  <c r="G21" i="10"/>
  <c r="G20" i="10"/>
  <c r="G19" i="10"/>
  <c r="G18" i="10"/>
  <c r="G17" i="10"/>
  <c r="G16" i="10"/>
  <c r="D27" i="10"/>
  <c r="E27" i="10"/>
  <c r="D28" i="10"/>
  <c r="E28" i="10"/>
  <c r="D29" i="10"/>
  <c r="E29" i="10"/>
  <c r="D30" i="10"/>
  <c r="E30" i="10"/>
  <c r="D31" i="10"/>
  <c r="E31" i="10"/>
  <c r="D32" i="10"/>
  <c r="E32" i="10"/>
  <c r="D33" i="10"/>
  <c r="E33" i="10"/>
  <c r="D34" i="10"/>
  <c r="E34" i="10"/>
  <c r="D35" i="10"/>
  <c r="E35" i="10"/>
  <c r="D36" i="10"/>
  <c r="E36" i="10"/>
  <c r="D37" i="10"/>
  <c r="E37" i="10"/>
  <c r="D38" i="10"/>
  <c r="E38" i="10"/>
  <c r="D39" i="10"/>
  <c r="E39" i="10"/>
  <c r="D40" i="10"/>
  <c r="E40" i="10"/>
  <c r="D41" i="10"/>
  <c r="E41" i="10"/>
  <c r="D42" i="10"/>
  <c r="E42" i="10"/>
  <c r="D26" i="10"/>
  <c r="E26" i="10"/>
  <c r="E25" i="10"/>
  <c r="D25" i="10"/>
  <c r="D8" i="10"/>
  <c r="E8" i="10"/>
  <c r="D9" i="10"/>
  <c r="E9" i="10"/>
  <c r="D10" i="10"/>
  <c r="E10" i="10"/>
  <c r="D11" i="10"/>
  <c r="E11" i="10"/>
  <c r="D12" i="10"/>
  <c r="E12" i="10"/>
  <c r="D13" i="10"/>
  <c r="E13" i="10"/>
  <c r="D14" i="10"/>
  <c r="E14" i="10"/>
  <c r="D15" i="10"/>
  <c r="E15" i="10"/>
  <c r="D16" i="10"/>
  <c r="E16" i="10"/>
  <c r="D17" i="10"/>
  <c r="E17" i="10"/>
  <c r="D18" i="10"/>
  <c r="E18" i="10"/>
  <c r="D19" i="10"/>
  <c r="E19" i="10"/>
  <c r="D20" i="10"/>
  <c r="E20" i="10"/>
  <c r="D21" i="10"/>
  <c r="E21" i="10"/>
  <c r="D22" i="10"/>
  <c r="E22" i="10"/>
  <c r="E7" i="10"/>
  <c r="D7" i="10"/>
  <c r="E6" i="10"/>
  <c r="Q47" i="11" l="1"/>
  <c r="L47" i="11"/>
  <c r="P47" i="11"/>
  <c r="D44" i="10"/>
  <c r="E4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tc={3D7DFF24-DAC3-4AF0-9B8A-29B76BB8F3F1}</author>
  </authors>
  <commentList>
    <comment ref="H16" authorId="0" shapeId="0" xr:uid="{3D7DFF24-DAC3-4AF0-9B8A-29B76BB8F3F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 longer used; Per Stg2C comments
</t>
      </text>
    </comment>
  </commentList>
</comments>
</file>

<file path=xl/sharedStrings.xml><?xml version="1.0" encoding="utf-8"?>
<sst xmlns="http://schemas.openxmlformats.org/spreadsheetml/2006/main" count="128" uniqueCount="52">
  <si>
    <t>CU YD</t>
  </si>
  <si>
    <t>EXCAVATION</t>
  </si>
  <si>
    <t>EMBANKMENT</t>
  </si>
  <si>
    <t>STA</t>
  </si>
  <si>
    <t>CUT</t>
  </si>
  <si>
    <t>FILL</t>
  </si>
  <si>
    <t>SQ FT</t>
  </si>
  <si>
    <t>TOTALS CARRIED TO
GENERAL SUMMARY</t>
  </si>
  <si>
    <t>EARTHWORK QUANTITIES</t>
  </si>
  <si>
    <t>SEEDING</t>
  </si>
  <si>
    <t>WIDTH</t>
  </si>
  <si>
    <t>SEEDING &amp; MULCHING</t>
  </si>
  <si>
    <t>FT</t>
  </si>
  <si>
    <t>SQ YD</t>
  </si>
  <si>
    <t>TOPSOIL</t>
  </si>
  <si>
    <t>REPAIR SEEDING &amp; MULCHING</t>
  </si>
  <si>
    <t>INTER-SEEDING</t>
  </si>
  <si>
    <t>COMMERCIAL FERTILIZER</t>
  </si>
  <si>
    <t>LIME</t>
  </si>
  <si>
    <t>WATER</t>
  </si>
  <si>
    <t>CY</t>
  </si>
  <si>
    <t>SY</t>
  </si>
  <si>
    <t>TON</t>
  </si>
  <si>
    <t>ACRE</t>
  </si>
  <si>
    <t>MGAL</t>
  </si>
  <si>
    <t>MOWING</t>
  </si>
  <si>
    <t>M SY</t>
  </si>
  <si>
    <t xml:space="preserve"> = SEEDING AREA * (111 CUY YD / 1000 CU YD)</t>
  </si>
  <si>
    <t>= 5% SEEDING AREA</t>
  </si>
  <si>
    <t>= SEEDING AREA * (30 LBS / 1000 SF) * (9 SF / SY) * (1 TON / 2000 LBS) + INTERSEEDING AREA * (20 LBS / 1000 SF) * (9 SF / SY) * (1 TON / 2000 LBS)</t>
  </si>
  <si>
    <t>= SEEDING AREA * (9 SF / SY) * (1 AC / 43560 SF)</t>
  </si>
  <si>
    <t>= 2*((300 GAL / 1000 SF) * (SEEDING AREA * (9 SF / SY) / 1000)</t>
  </si>
  <si>
    <t>= SEEDING AREA * (1/4) * (9 SF / SY) * 3 MOWS * (1/1000)</t>
  </si>
  <si>
    <t>MISC. EROSION CONTROL QTY'S</t>
  </si>
  <si>
    <t>FORMULA</t>
  </si>
  <si>
    <t>Cut Volume (cu. yd.)</t>
  </si>
  <si>
    <t>Fill Volume (cu. yd.)</t>
  </si>
  <si>
    <t>ADD'L CUT FOR BENCHING</t>
  </si>
  <si>
    <t>EXCAVATION OF SUBGRADE</t>
  </si>
  <si>
    <t>ADD'L CUT FOR SUBGRADE STABILIZATION</t>
  </si>
  <si>
    <t>GRANULAR MATERIAL, TYPE B</t>
  </si>
  <si>
    <t>GEOTEXTILE FABRIC</t>
  </si>
  <si>
    <t>Subgrade Stabilization Areas
(SQ. yd.)</t>
  </si>
  <si>
    <t>Subgrade Stabilization Volumes
(cu. yd.)</t>
  </si>
  <si>
    <t>SEEDING AND MULCHING</t>
  </si>
  <si>
    <t>ADD'L FILL FOR BENCHING</t>
  </si>
  <si>
    <t>TOTAL CUT</t>
  </si>
  <si>
    <t>TOTAL FILL</t>
  </si>
  <si>
    <t>SF</t>
  </si>
  <si>
    <t>ADDITIONAL DISTURBANCE</t>
  </si>
  <si>
    <t>SEEDING QUANTITIES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</si>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</sst>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+##.0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1" fontId="1" fillId="0" borderId="0" xfId="0" applyNumberFormat="1" applyFont="1"/>
    <xf numFmtId="0" fontId="0" fillId="0" borderId="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5" fontId="0" fillId="0" borderId="1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quotePrefix="1" applyBorder="1" applyAlignment="1">
      <alignment vertical="center"/>
    </xf>
    <xf numFmtId="0" fontId="0" fillId="0" borderId="35" xfId="0" quotePrefix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1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4" fontId="0" fillId="0" borderId="11" xfId="0" applyNumberForma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2" fillId="0" borderId="43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4" xfId="0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2" fontId="9" fillId="0" borderId="45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2" fontId="9" fillId="0" borderId="48" xfId="0" applyNumberFormat="1" applyFont="1" applyBorder="1" applyAlignment="1">
      <alignment horizontal="center" vertical="center"/>
    </xf>
    <xf numFmtId="1" fontId="10" fillId="0" borderId="4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1" fontId="4" fillId="0" borderId="19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quotePrefix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quotePrefix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'Earthwork Stg 2'!$A$1:$A$4</c:f>
              <c:strCache>
                <c:ptCount val="4"/>
                <c:pt idx="0">
                  <c:v>EARTHWORK QUANTITIES</c:v>
                </c:pt>
                <c:pt idx="1">
                  <c:v>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'Earthwork Stg 2'!$A$5:$A$42</c:f>
              <c:numCache>
                <c:formatCode>##\+##.00</c:formatCode>
                <c:ptCount val="38"/>
                <c:pt idx="0">
                  <c:v>32600</c:v>
                </c:pt>
                <c:pt idx="1">
                  <c:v>32610</c:v>
                </c:pt>
                <c:pt idx="2">
                  <c:v>32625</c:v>
                </c:pt>
                <c:pt idx="3">
                  <c:v>32650</c:v>
                </c:pt>
                <c:pt idx="4">
                  <c:v>32675</c:v>
                </c:pt>
                <c:pt idx="5">
                  <c:v>32700</c:v>
                </c:pt>
                <c:pt idx="6">
                  <c:v>32725</c:v>
                </c:pt>
                <c:pt idx="7">
                  <c:v>32750</c:v>
                </c:pt>
                <c:pt idx="8">
                  <c:v>32775</c:v>
                </c:pt>
                <c:pt idx="9">
                  <c:v>32800</c:v>
                </c:pt>
                <c:pt idx="10">
                  <c:v>32825</c:v>
                </c:pt>
                <c:pt idx="11">
                  <c:v>32850</c:v>
                </c:pt>
                <c:pt idx="12">
                  <c:v>32875</c:v>
                </c:pt>
                <c:pt idx="13">
                  <c:v>32900</c:v>
                </c:pt>
                <c:pt idx="14">
                  <c:v>32925</c:v>
                </c:pt>
                <c:pt idx="15">
                  <c:v>32942.449999999997</c:v>
                </c:pt>
                <c:pt idx="16">
                  <c:v>32960.76</c:v>
                </c:pt>
                <c:pt idx="17">
                  <c:v>32981</c:v>
                </c:pt>
                <c:pt idx="18">
                  <c:v>33380.28</c:v>
                </c:pt>
                <c:pt idx="19">
                  <c:v>33410.28</c:v>
                </c:pt>
                <c:pt idx="20">
                  <c:v>33447.800000000003</c:v>
                </c:pt>
                <c:pt idx="21">
                  <c:v>33475</c:v>
                </c:pt>
                <c:pt idx="22">
                  <c:v>33500</c:v>
                </c:pt>
                <c:pt idx="23">
                  <c:v>33525</c:v>
                </c:pt>
                <c:pt idx="24">
                  <c:v>33533.4</c:v>
                </c:pt>
                <c:pt idx="25">
                  <c:v>33550</c:v>
                </c:pt>
                <c:pt idx="26">
                  <c:v>33575</c:v>
                </c:pt>
                <c:pt idx="27">
                  <c:v>33600</c:v>
                </c:pt>
                <c:pt idx="28">
                  <c:v>33625</c:v>
                </c:pt>
                <c:pt idx="29">
                  <c:v>33650</c:v>
                </c:pt>
                <c:pt idx="30">
                  <c:v>33675</c:v>
                </c:pt>
                <c:pt idx="31">
                  <c:v>33700</c:v>
                </c:pt>
                <c:pt idx="32">
                  <c:v>33725</c:v>
                </c:pt>
                <c:pt idx="33">
                  <c:v>33750</c:v>
                </c:pt>
                <c:pt idx="34">
                  <c:v>33775</c:v>
                </c:pt>
                <c:pt idx="35">
                  <c:v>33800</c:v>
                </c:pt>
                <c:pt idx="36">
                  <c:v>33828.89</c:v>
                </c:pt>
                <c:pt idx="37">
                  <c:v>33850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6-43E4-AA2E-1AE8C9C6FC1D}"/>
            </c:ext>
          </c:extLst>
        </c:ser>
        <c:ser>
          <c:idx val="1"/>
          <c:order val="1"/>
          <c:tx>
            <c:strRef>
              <c:f>'Earthwork Stg 2'!$B$1:$B$4</c:f>
              <c:strCache>
                <c:ptCount val="4"/>
                <c:pt idx="0">
                  <c:v>EARTHWORK QUANTITIES</c:v>
                </c:pt>
                <c:pt idx="1">
                  <c:v>CUT</c:v>
                </c:pt>
                <c:pt idx="3">
                  <c:v>SQ 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'Earthwork Stg 2'!$B$5:$B$42</c:f>
              <c:numCache>
                <c:formatCode>0</c:formatCode>
                <c:ptCount val="38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48</c:v>
                </c:pt>
                <c:pt idx="12">
                  <c:v>42</c:v>
                </c:pt>
                <c:pt idx="13">
                  <c:v>40</c:v>
                </c:pt>
                <c:pt idx="14">
                  <c:v>36</c:v>
                </c:pt>
                <c:pt idx="15">
                  <c:v>34</c:v>
                </c:pt>
                <c:pt idx="16">
                  <c:v>38</c:v>
                </c:pt>
                <c:pt idx="17">
                  <c:v>19</c:v>
                </c:pt>
                <c:pt idx="18">
                  <c:v>20</c:v>
                </c:pt>
                <c:pt idx="19">
                  <c:v>35</c:v>
                </c:pt>
                <c:pt idx="20">
                  <c:v>32</c:v>
                </c:pt>
                <c:pt idx="21">
                  <c:v>33</c:v>
                </c:pt>
                <c:pt idx="22">
                  <c:v>33</c:v>
                </c:pt>
                <c:pt idx="23">
                  <c:v>35</c:v>
                </c:pt>
                <c:pt idx="24">
                  <c:v>38</c:v>
                </c:pt>
                <c:pt idx="25">
                  <c:v>16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13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12</c:v>
                </c:pt>
                <c:pt idx="36">
                  <c:v>11</c:v>
                </c:pt>
                <c:pt idx="3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86-43E4-AA2E-1AE8C9C6FC1D}"/>
            </c:ext>
          </c:extLst>
        </c:ser>
        <c:ser>
          <c:idx val="2"/>
          <c:order val="2"/>
          <c:tx>
            <c:strRef>
              <c:f>'Earthwork Stg 2'!$C$1:$C$4</c:f>
              <c:strCache>
                <c:ptCount val="4"/>
                <c:pt idx="0">
                  <c:v>EARTHWORK QUANTITIES</c:v>
                </c:pt>
                <c:pt idx="1">
                  <c:v>FILL</c:v>
                </c:pt>
                <c:pt idx="3">
                  <c:v>SQ 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'Earthwork Stg 2'!$C$5:$C$42</c:f>
              <c:numCache>
                <c:formatCode>0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20</c:v>
                </c:pt>
                <c:pt idx="11">
                  <c:v>25</c:v>
                </c:pt>
                <c:pt idx="12">
                  <c:v>35</c:v>
                </c:pt>
                <c:pt idx="13">
                  <c:v>55</c:v>
                </c:pt>
                <c:pt idx="14">
                  <c:v>109</c:v>
                </c:pt>
                <c:pt idx="15">
                  <c:v>153</c:v>
                </c:pt>
                <c:pt idx="16">
                  <c:v>272</c:v>
                </c:pt>
                <c:pt idx="17">
                  <c:v>310</c:v>
                </c:pt>
                <c:pt idx="18">
                  <c:v>6</c:v>
                </c:pt>
                <c:pt idx="19">
                  <c:v>6</c:v>
                </c:pt>
                <c:pt idx="20">
                  <c:v>120</c:v>
                </c:pt>
                <c:pt idx="21">
                  <c:v>151</c:v>
                </c:pt>
                <c:pt idx="22">
                  <c:v>99</c:v>
                </c:pt>
                <c:pt idx="23">
                  <c:v>83</c:v>
                </c:pt>
                <c:pt idx="24">
                  <c:v>92</c:v>
                </c:pt>
                <c:pt idx="25">
                  <c:v>64</c:v>
                </c:pt>
                <c:pt idx="26">
                  <c:v>73</c:v>
                </c:pt>
                <c:pt idx="27">
                  <c:v>78</c:v>
                </c:pt>
                <c:pt idx="28">
                  <c:v>71</c:v>
                </c:pt>
                <c:pt idx="29">
                  <c:v>61</c:v>
                </c:pt>
                <c:pt idx="30">
                  <c:v>49</c:v>
                </c:pt>
                <c:pt idx="31">
                  <c:v>38</c:v>
                </c:pt>
                <c:pt idx="32">
                  <c:v>17</c:v>
                </c:pt>
                <c:pt idx="33">
                  <c:v>16</c:v>
                </c:pt>
                <c:pt idx="34">
                  <c:v>11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86-43E4-AA2E-1AE8C9C6FC1D}"/>
            </c:ext>
          </c:extLst>
        </c:ser>
        <c:ser>
          <c:idx val="3"/>
          <c:order val="3"/>
          <c:tx>
            <c:strRef>
              <c:f>'Earthwork Stg 2'!$D$1:$D$4</c:f>
              <c:strCache>
                <c:ptCount val="4"/>
                <c:pt idx="0">
                  <c:v>EARTHWORK QUANTITIES</c:v>
                </c:pt>
                <c:pt idx="1">
                  <c:v>ADD'L CUT FOR BENCHING</c:v>
                </c:pt>
                <c:pt idx="3">
                  <c:v>SQ FT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'Earthwork Stg 2'!$D$5:$D$42</c:f>
              <c:numCache>
                <c:formatCode>0</c:formatCode>
                <c:ptCount val="38"/>
                <c:pt idx="10">
                  <c:v>95.460999999999999</c:v>
                </c:pt>
                <c:pt idx="11">
                  <c:v>87</c:v>
                </c:pt>
                <c:pt idx="12">
                  <c:v>104</c:v>
                </c:pt>
                <c:pt idx="13">
                  <c:v>114</c:v>
                </c:pt>
                <c:pt idx="14">
                  <c:v>241.274</c:v>
                </c:pt>
                <c:pt idx="15">
                  <c:v>175.97200000000001</c:v>
                </c:pt>
                <c:pt idx="16">
                  <c:v>317.24900000000002</c:v>
                </c:pt>
                <c:pt idx="17">
                  <c:v>270.63299999999998</c:v>
                </c:pt>
                <c:pt idx="20">
                  <c:v>185.21600000000001</c:v>
                </c:pt>
                <c:pt idx="21">
                  <c:v>182.934</c:v>
                </c:pt>
                <c:pt idx="22">
                  <c:v>151.84399999999999</c:v>
                </c:pt>
                <c:pt idx="23">
                  <c:v>87.022999999999996</c:v>
                </c:pt>
                <c:pt idx="24">
                  <c:v>71.974000000000004</c:v>
                </c:pt>
                <c:pt idx="25">
                  <c:v>57.094999999999999</c:v>
                </c:pt>
                <c:pt idx="26">
                  <c:v>94.448999999999998</c:v>
                </c:pt>
                <c:pt idx="27">
                  <c:v>93.31</c:v>
                </c:pt>
                <c:pt idx="28">
                  <c:v>115.604</c:v>
                </c:pt>
                <c:pt idx="29">
                  <c:v>114</c:v>
                </c:pt>
                <c:pt idx="30">
                  <c:v>80</c:v>
                </c:pt>
                <c:pt idx="31">
                  <c:v>81</c:v>
                </c:pt>
                <c:pt idx="32">
                  <c:v>59</c:v>
                </c:pt>
                <c:pt idx="33">
                  <c:v>73.891000000000005</c:v>
                </c:pt>
                <c:pt idx="34">
                  <c:v>42.625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86-43E4-AA2E-1AE8C9C6FC1D}"/>
            </c:ext>
          </c:extLst>
        </c:ser>
        <c:ser>
          <c:idx val="4"/>
          <c:order val="4"/>
          <c:tx>
            <c:strRef>
              <c:f>'Earthwork Stg 2'!$E$1:$E$4</c:f>
              <c:strCache>
                <c:ptCount val="4"/>
                <c:pt idx="0">
                  <c:v>EARTHWORK QUANTITIES</c:v>
                </c:pt>
                <c:pt idx="1">
                  <c:v>ADD'L FILL FOR BENCHING</c:v>
                </c:pt>
                <c:pt idx="3">
                  <c:v>SQ 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'Earthwork Stg 2'!$E$5:$E$42</c:f>
              <c:numCache>
                <c:formatCode>0</c:formatCode>
                <c:ptCount val="38"/>
                <c:pt idx="10">
                  <c:v>92.090999999999994</c:v>
                </c:pt>
                <c:pt idx="11">
                  <c:v>77.137</c:v>
                </c:pt>
                <c:pt idx="12">
                  <c:v>91.373999999999995</c:v>
                </c:pt>
                <c:pt idx="13">
                  <c:v>108.717</c:v>
                </c:pt>
                <c:pt idx="14">
                  <c:v>234.1</c:v>
                </c:pt>
                <c:pt idx="15">
                  <c:v>172.05100000000002</c:v>
                </c:pt>
                <c:pt idx="16">
                  <c:v>310.73500000000001</c:v>
                </c:pt>
                <c:pt idx="17">
                  <c:v>262.94299999999998</c:v>
                </c:pt>
                <c:pt idx="20">
                  <c:v>181.751</c:v>
                </c:pt>
                <c:pt idx="21">
                  <c:v>181.21299999999999</c:v>
                </c:pt>
                <c:pt idx="22">
                  <c:v>150.18299999999999</c:v>
                </c:pt>
                <c:pt idx="23">
                  <c:v>85.539999999999992</c:v>
                </c:pt>
                <c:pt idx="24">
                  <c:v>70.626000000000005</c:v>
                </c:pt>
                <c:pt idx="25">
                  <c:v>52.272999999999996</c:v>
                </c:pt>
                <c:pt idx="26">
                  <c:v>87.78</c:v>
                </c:pt>
                <c:pt idx="27">
                  <c:v>86.015000000000001</c:v>
                </c:pt>
                <c:pt idx="28">
                  <c:v>108.17400000000001</c:v>
                </c:pt>
                <c:pt idx="29">
                  <c:v>104.271</c:v>
                </c:pt>
                <c:pt idx="30">
                  <c:v>70.989000000000004</c:v>
                </c:pt>
                <c:pt idx="31">
                  <c:v>77.638000000000005</c:v>
                </c:pt>
                <c:pt idx="32">
                  <c:v>52.914000000000001</c:v>
                </c:pt>
                <c:pt idx="33">
                  <c:v>71.13600000000001</c:v>
                </c:pt>
                <c:pt idx="34">
                  <c:v>42.625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86-43E4-AA2E-1AE8C9C6FC1D}"/>
            </c:ext>
          </c:extLst>
        </c:ser>
        <c:ser>
          <c:idx val="5"/>
          <c:order val="5"/>
          <c:tx>
            <c:strRef>
              <c:f>'Earthwork Stg 2'!$F$1:$F$4</c:f>
              <c:strCache>
                <c:ptCount val="4"/>
                <c:pt idx="0">
                  <c:v>EARTHWORK QUANTITIES</c:v>
                </c:pt>
                <c:pt idx="1">
                  <c:v>TOTAL CUT</c:v>
                </c:pt>
                <c:pt idx="3">
                  <c:v>SQ FT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'Earthwork Stg 2'!$F$5:$F$42</c:f>
              <c:numCache>
                <c:formatCode>0</c:formatCode>
                <c:ptCount val="38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19</c:v>
                </c:pt>
                <c:pt idx="10">
                  <c:v>113.461</c:v>
                </c:pt>
                <c:pt idx="11">
                  <c:v>135</c:v>
                </c:pt>
                <c:pt idx="12">
                  <c:v>146</c:v>
                </c:pt>
                <c:pt idx="13">
                  <c:v>154</c:v>
                </c:pt>
                <c:pt idx="14">
                  <c:v>277.274</c:v>
                </c:pt>
                <c:pt idx="15">
                  <c:v>209.97200000000001</c:v>
                </c:pt>
                <c:pt idx="16">
                  <c:v>355.24900000000002</c:v>
                </c:pt>
                <c:pt idx="17">
                  <c:v>289.63299999999998</c:v>
                </c:pt>
                <c:pt idx="18">
                  <c:v>20</c:v>
                </c:pt>
                <c:pt idx="19">
                  <c:v>35</c:v>
                </c:pt>
                <c:pt idx="20">
                  <c:v>217.21600000000001</c:v>
                </c:pt>
                <c:pt idx="21">
                  <c:v>215.934</c:v>
                </c:pt>
                <c:pt idx="22">
                  <c:v>184.84399999999999</c:v>
                </c:pt>
                <c:pt idx="23">
                  <c:v>122.023</c:v>
                </c:pt>
                <c:pt idx="24">
                  <c:v>109.974</c:v>
                </c:pt>
                <c:pt idx="25">
                  <c:v>73.094999999999999</c:v>
                </c:pt>
                <c:pt idx="26">
                  <c:v>109.449</c:v>
                </c:pt>
                <c:pt idx="27">
                  <c:v>108.31</c:v>
                </c:pt>
                <c:pt idx="28">
                  <c:v>130.60399999999998</c:v>
                </c:pt>
                <c:pt idx="29">
                  <c:v>129</c:v>
                </c:pt>
                <c:pt idx="30">
                  <c:v>93</c:v>
                </c:pt>
                <c:pt idx="31">
                  <c:v>93</c:v>
                </c:pt>
                <c:pt idx="32">
                  <c:v>72</c:v>
                </c:pt>
                <c:pt idx="33">
                  <c:v>86.891000000000005</c:v>
                </c:pt>
                <c:pt idx="34">
                  <c:v>55.625</c:v>
                </c:pt>
                <c:pt idx="35">
                  <c:v>12</c:v>
                </c:pt>
                <c:pt idx="36">
                  <c:v>11</c:v>
                </c:pt>
                <c:pt idx="3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86-43E4-AA2E-1AE8C9C6FC1D}"/>
            </c:ext>
          </c:extLst>
        </c:ser>
        <c:ser>
          <c:idx val="6"/>
          <c:order val="6"/>
          <c:tx>
            <c:strRef>
              <c:f>'Earthwork Stg 2'!$G$1:$G$4</c:f>
              <c:strCache>
                <c:ptCount val="4"/>
                <c:pt idx="0">
                  <c:v>EARTHWORK QUANTITIES</c:v>
                </c:pt>
                <c:pt idx="1">
                  <c:v>TOTAL FILL</c:v>
                </c:pt>
                <c:pt idx="3">
                  <c:v>SQ FT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2'!$G$5:$G$42</c:f>
              <c:numCache>
                <c:formatCode>0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112.09099999999999</c:v>
                </c:pt>
                <c:pt idx="11">
                  <c:v>102.137</c:v>
                </c:pt>
                <c:pt idx="12">
                  <c:v>126.374</c:v>
                </c:pt>
                <c:pt idx="13">
                  <c:v>163.71699999999998</c:v>
                </c:pt>
                <c:pt idx="14">
                  <c:v>343.1</c:v>
                </c:pt>
                <c:pt idx="15">
                  <c:v>325.05100000000004</c:v>
                </c:pt>
                <c:pt idx="16">
                  <c:v>582.73500000000001</c:v>
                </c:pt>
                <c:pt idx="17">
                  <c:v>572.94299999999998</c:v>
                </c:pt>
                <c:pt idx="18">
                  <c:v>6</c:v>
                </c:pt>
                <c:pt idx="19">
                  <c:v>6</c:v>
                </c:pt>
                <c:pt idx="20">
                  <c:v>301.75099999999998</c:v>
                </c:pt>
                <c:pt idx="21">
                  <c:v>332.21299999999997</c:v>
                </c:pt>
                <c:pt idx="22">
                  <c:v>249.18299999999999</c:v>
                </c:pt>
                <c:pt idx="23">
                  <c:v>168.54</c:v>
                </c:pt>
                <c:pt idx="24">
                  <c:v>162.626</c:v>
                </c:pt>
                <c:pt idx="25">
                  <c:v>116.273</c:v>
                </c:pt>
                <c:pt idx="26">
                  <c:v>160.78</c:v>
                </c:pt>
                <c:pt idx="27">
                  <c:v>164.01499999999999</c:v>
                </c:pt>
                <c:pt idx="28">
                  <c:v>179.17400000000001</c:v>
                </c:pt>
                <c:pt idx="29">
                  <c:v>165.27100000000002</c:v>
                </c:pt>
                <c:pt idx="30">
                  <c:v>119.989</c:v>
                </c:pt>
                <c:pt idx="31">
                  <c:v>115.63800000000001</c:v>
                </c:pt>
                <c:pt idx="32">
                  <c:v>69.914000000000001</c:v>
                </c:pt>
                <c:pt idx="33">
                  <c:v>87.13600000000001</c:v>
                </c:pt>
                <c:pt idx="34">
                  <c:v>53.625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86-43E4-AA2E-1AE8C9C6FC1D}"/>
            </c:ext>
          </c:extLst>
        </c:ser>
        <c:ser>
          <c:idx val="7"/>
          <c:order val="7"/>
          <c:tx>
            <c:strRef>
              <c:f>'Earthwork Stg 2'!$H$1:$H$4</c:f>
              <c:strCache>
                <c:ptCount val="4"/>
                <c:pt idx="0">
                  <c:v>EARTHWORK QUANTITIES</c:v>
                </c:pt>
                <c:pt idx="1">
                  <c:v>TOTAL FILL</c:v>
                </c:pt>
                <c:pt idx="2">
                  <c:v>ADD'L CUT FOR SUBGRADE STABILIZATION</c:v>
                </c:pt>
                <c:pt idx="3">
                  <c:v>SQ 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2'!$H$5:$H$42</c:f>
            </c:numRef>
          </c:val>
          <c:extLst>
            <c:ext xmlns:c16="http://schemas.microsoft.com/office/drawing/2014/chart" uri="{C3380CC4-5D6E-409C-BE32-E72D297353CC}">
              <c16:uniqueId val="{00000007-0686-43E4-AA2E-1AE8C9C6FC1D}"/>
            </c:ext>
          </c:extLst>
        </c:ser>
        <c:ser>
          <c:idx val="8"/>
          <c:order val="8"/>
          <c:tx>
            <c:strRef>
              <c:f>'Earthwork Stg 2'!$I$1:$I$4</c:f>
              <c:strCache>
                <c:ptCount val="4"/>
                <c:pt idx="0">
                  <c:v>EARTHWORK QUANTITIES</c:v>
                </c:pt>
                <c:pt idx="1">
                  <c:v>TOTAL FILL</c:v>
                </c:pt>
                <c:pt idx="2">
                  <c:v>Cut Volume (cu. yd.)</c:v>
                </c:pt>
                <c:pt idx="3">
                  <c:v>SQ FT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2'!$I$5:$I$42</c:f>
            </c:numRef>
          </c:val>
          <c:extLst>
            <c:ext xmlns:c16="http://schemas.microsoft.com/office/drawing/2014/chart" uri="{C3380CC4-5D6E-409C-BE32-E72D297353CC}">
              <c16:uniqueId val="{00000008-0686-43E4-AA2E-1AE8C9C6FC1D}"/>
            </c:ext>
          </c:extLst>
        </c:ser>
        <c:ser>
          <c:idx val="9"/>
          <c:order val="9"/>
          <c:tx>
            <c:strRef>
              <c:f>'Earthwork Stg 2'!$J$1:$J$4</c:f>
              <c:strCache>
                <c:ptCount val="4"/>
                <c:pt idx="0">
                  <c:v>EARTHWORK QUANTITIES</c:v>
                </c:pt>
                <c:pt idx="1">
                  <c:v>203</c:v>
                </c:pt>
                <c:pt idx="2">
                  <c:v>EXCAVATION</c:v>
                </c:pt>
                <c:pt idx="3">
                  <c:v>CU YD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2'!$J$5:$J$42</c:f>
              <c:numCache>
                <c:formatCode>0</c:formatCode>
                <c:ptCount val="38"/>
                <c:pt idx="1">
                  <c:v>1.8518518518518519</c:v>
                </c:pt>
                <c:pt idx="2">
                  <c:v>5.5555555555555554</c:v>
                </c:pt>
                <c:pt idx="3">
                  <c:v>10.185185185185185</c:v>
                </c:pt>
                <c:pt idx="4">
                  <c:v>11.574074074074074</c:v>
                </c:pt>
                <c:pt idx="5">
                  <c:v>12.5</c:v>
                </c:pt>
                <c:pt idx="6">
                  <c:v>12.962962962962964</c:v>
                </c:pt>
                <c:pt idx="7">
                  <c:v>13.888888888888889</c:v>
                </c:pt>
                <c:pt idx="8">
                  <c:v>15.74074074074074</c:v>
                </c:pt>
                <c:pt idx="9">
                  <c:v>17.12962962962963</c:v>
                </c:pt>
                <c:pt idx="10">
                  <c:v>61.324537037037047</c:v>
                </c:pt>
                <c:pt idx="11">
                  <c:v>115.02824074074076</c:v>
                </c:pt>
                <c:pt idx="12">
                  <c:v>130.09259259259258</c:v>
                </c:pt>
                <c:pt idx="13">
                  <c:v>138.88888888888889</c:v>
                </c:pt>
                <c:pt idx="14">
                  <c:v>199.66388888888889</c:v>
                </c:pt>
                <c:pt idx="15">
                  <c:v>157.45264259256632</c:v>
                </c:pt>
                <c:pt idx="16">
                  <c:v>191.65178722227404</c:v>
                </c:pt>
                <c:pt idx="17">
                  <c:v>241.7113274073831</c:v>
                </c:pt>
                <c:pt idx="19">
                  <c:v>30.555555555555557</c:v>
                </c:pt>
                <c:pt idx="20">
                  <c:v>175.24341333335235</c:v>
                </c:pt>
                <c:pt idx="21">
                  <c:v>218.17925925923589</c:v>
                </c:pt>
                <c:pt idx="22">
                  <c:v>185.54537037037039</c:v>
                </c:pt>
                <c:pt idx="23">
                  <c:v>142.06805555555553</c:v>
                </c:pt>
                <c:pt idx="24">
                  <c:v>36.088422222228481</c:v>
                </c:pt>
                <c:pt idx="25">
                  <c:v>56.276766666661743</c:v>
                </c:pt>
                <c:pt idx="26">
                  <c:v>84.511111111111106</c:v>
                </c:pt>
                <c:pt idx="27">
                  <c:v>100.81435185185185</c:v>
                </c:pt>
                <c:pt idx="28">
                  <c:v>110.60833333333332</c:v>
                </c:pt>
                <c:pt idx="29">
                  <c:v>120.18703703703703</c:v>
                </c:pt>
                <c:pt idx="30">
                  <c:v>102.77777777777777</c:v>
                </c:pt>
                <c:pt idx="31">
                  <c:v>86.111111111111114</c:v>
                </c:pt>
                <c:pt idx="32">
                  <c:v>76.388888888888886</c:v>
                </c:pt>
                <c:pt idx="33">
                  <c:v>73.560648148148161</c:v>
                </c:pt>
                <c:pt idx="34">
                  <c:v>65.979629629629642</c:v>
                </c:pt>
                <c:pt idx="35">
                  <c:v>31.30787037037037</c:v>
                </c:pt>
                <c:pt idx="36">
                  <c:v>12.304999999999753</c:v>
                </c:pt>
                <c:pt idx="37">
                  <c:v>9.773148148148417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686-43E4-AA2E-1AE8C9C6FC1D}"/>
            </c:ext>
          </c:extLst>
        </c:ser>
        <c:ser>
          <c:idx val="10"/>
          <c:order val="10"/>
          <c:tx>
            <c:strRef>
              <c:f>'Earthwork Stg 2'!$K$1:$K$4</c:f>
              <c:strCache>
                <c:ptCount val="4"/>
                <c:pt idx="0">
                  <c:v>EARTHWORK QUANTITIES</c:v>
                </c:pt>
                <c:pt idx="1">
                  <c:v>203</c:v>
                </c:pt>
                <c:pt idx="2">
                  <c:v>Fill Volume (cu. yd.)</c:v>
                </c:pt>
                <c:pt idx="3">
                  <c:v>CU YD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2'!$K$5:$K$42</c:f>
            </c:numRef>
          </c:val>
          <c:extLst>
            <c:ext xmlns:c16="http://schemas.microsoft.com/office/drawing/2014/chart" uri="{C3380CC4-5D6E-409C-BE32-E72D297353CC}">
              <c16:uniqueId val="{0000000A-0686-43E4-AA2E-1AE8C9C6FC1D}"/>
            </c:ext>
          </c:extLst>
        </c:ser>
        <c:ser>
          <c:idx val="11"/>
          <c:order val="11"/>
          <c:tx>
            <c:strRef>
              <c:f>'Earthwork Stg 2'!$L$1:$L$4</c:f>
              <c:strCache>
                <c:ptCount val="4"/>
                <c:pt idx="0">
                  <c:v>EARTHWORK QUANTITIES</c:v>
                </c:pt>
                <c:pt idx="1">
                  <c:v>203</c:v>
                </c:pt>
                <c:pt idx="2">
                  <c:v>EMBANKMENT</c:v>
                </c:pt>
                <c:pt idx="3">
                  <c:v>CU YD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2'!$L$5:$L$42</c:f>
              <c:numCache>
                <c:formatCode>0</c:formatCode>
                <c:ptCount val="38"/>
                <c:pt idx="1">
                  <c:v>0.18518518518518517</c:v>
                </c:pt>
                <c:pt idx="2">
                  <c:v>0.55555555555555558</c:v>
                </c:pt>
                <c:pt idx="3">
                  <c:v>0.92592592592592593</c:v>
                </c:pt>
                <c:pt idx="4">
                  <c:v>0.92592592592592593</c:v>
                </c:pt>
                <c:pt idx="5">
                  <c:v>0.92592592592592593</c:v>
                </c:pt>
                <c:pt idx="6">
                  <c:v>1.3888888888888888</c:v>
                </c:pt>
                <c:pt idx="7">
                  <c:v>1.8518518518518519</c:v>
                </c:pt>
                <c:pt idx="8">
                  <c:v>2.3148148148148149</c:v>
                </c:pt>
                <c:pt idx="9">
                  <c:v>3.7037037037037037</c:v>
                </c:pt>
                <c:pt idx="10">
                  <c:v>54.208796296296292</c:v>
                </c:pt>
                <c:pt idx="11">
                  <c:v>99.17962962962963</c:v>
                </c:pt>
                <c:pt idx="12">
                  <c:v>105.79212962962963</c:v>
                </c:pt>
                <c:pt idx="13">
                  <c:v>134.30138888888891</c:v>
                </c:pt>
                <c:pt idx="14">
                  <c:v>234.63749999999999</c:v>
                </c:pt>
                <c:pt idx="15">
                  <c:v>215.91175833329737</c:v>
                </c:pt>
                <c:pt idx="16">
                  <c:v>307.80669740749062</c:v>
                </c:pt>
                <c:pt idx="17">
                  <c:v>433.16523555551197</c:v>
                </c:pt>
                <c:pt idx="19">
                  <c:v>6.666666666666667</c:v>
                </c:pt>
                <c:pt idx="20">
                  <c:v>213.82995407409729</c:v>
                </c:pt>
                <c:pt idx="21">
                  <c:v>319.33001481478061</c:v>
                </c:pt>
                <c:pt idx="22">
                  <c:v>269.1648148148148</c:v>
                </c:pt>
                <c:pt idx="23">
                  <c:v>193.39027777777775</c:v>
                </c:pt>
                <c:pt idx="24">
                  <c:v>51.514711111120036</c:v>
                </c:pt>
                <c:pt idx="25">
                  <c:v>85.735618518511004</c:v>
                </c:pt>
                <c:pt idx="26">
                  <c:v>128.26527777777778</c:v>
                </c:pt>
                <c:pt idx="27">
                  <c:v>150.36805555555554</c:v>
                </c:pt>
                <c:pt idx="28">
                  <c:v>158.88379629629628</c:v>
                </c:pt>
                <c:pt idx="29">
                  <c:v>159.4652777777778</c:v>
                </c:pt>
                <c:pt idx="30">
                  <c:v>132.06481481481481</c:v>
                </c:pt>
                <c:pt idx="31">
                  <c:v>109.08657407407408</c:v>
                </c:pt>
                <c:pt idx="32">
                  <c:v>85.903703703703712</c:v>
                </c:pt>
                <c:pt idx="33">
                  <c:v>72.708333333333343</c:v>
                </c:pt>
                <c:pt idx="34">
                  <c:v>65.167129629629642</c:v>
                </c:pt>
                <c:pt idx="35">
                  <c:v>25.752314814814813</c:v>
                </c:pt>
                <c:pt idx="36">
                  <c:v>1.0699999999999785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686-43E4-AA2E-1AE8C9C6FC1D}"/>
            </c:ext>
          </c:extLst>
        </c:ser>
        <c:ser>
          <c:idx val="12"/>
          <c:order val="12"/>
          <c:tx>
            <c:strRef>
              <c:f>'Earthwork Stg 2'!$N$1:$N$4</c:f>
              <c:strCache>
                <c:ptCount val="4"/>
                <c:pt idx="0">
                  <c:v>EARTHWORK QUANTITIES</c:v>
                </c:pt>
                <c:pt idx="1">
                  <c:v>203</c:v>
                </c:pt>
                <c:pt idx="2">
                  <c:v>Subgrade Stabilization Areas
(SQ. yd.)</c:v>
                </c:pt>
                <c:pt idx="3">
                  <c:v>CU YD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2'!$N$5:$N$42</c:f>
              <c:numCache>
                <c:formatCode>0.00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53.333333333333336</c:v>
                </c:pt>
                <c:pt idx="12">
                  <c:v>109.58333333333334</c:v>
                </c:pt>
                <c:pt idx="13">
                  <c:v>114.58333333333333</c:v>
                </c:pt>
                <c:pt idx="14">
                  <c:v>118.19444444444444</c:v>
                </c:pt>
                <c:pt idx="15">
                  <c:v>84.438611111097032</c:v>
                </c:pt>
                <c:pt idx="16">
                  <c:v>90.024166666690988</c:v>
                </c:pt>
                <c:pt idx="17">
                  <c:v>88.831111111102175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686-43E4-AA2E-1AE8C9C6FC1D}"/>
            </c:ext>
          </c:extLst>
        </c:ser>
        <c:ser>
          <c:idx val="13"/>
          <c:order val="13"/>
          <c:tx>
            <c:strRef>
              <c:f>'Earthwork Stg 2'!$O$1:$O$4</c:f>
              <c:strCache>
                <c:ptCount val="4"/>
                <c:pt idx="0">
                  <c:v>EARTHWORK QUANTITIES</c:v>
                </c:pt>
                <c:pt idx="1">
                  <c:v>203</c:v>
                </c:pt>
                <c:pt idx="2">
                  <c:v>Subgrade Stabilization Volumes
(cu. yd.)</c:v>
                </c:pt>
                <c:pt idx="3">
                  <c:v>CU YD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2'!$O$5:$O$42</c:f>
              <c:numCache>
                <c:formatCode>0.00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17.777777777777779</c:v>
                </c:pt>
                <c:pt idx="12">
                  <c:v>36.527777777777779</c:v>
                </c:pt>
                <c:pt idx="13">
                  <c:v>38.194444444444443</c:v>
                </c:pt>
                <c:pt idx="14">
                  <c:v>39.398148148148145</c:v>
                </c:pt>
                <c:pt idx="15">
                  <c:v>28.146203703699008</c:v>
                </c:pt>
                <c:pt idx="16">
                  <c:v>30.008055555563665</c:v>
                </c:pt>
                <c:pt idx="17">
                  <c:v>29.610370370367392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686-43E4-AA2E-1AE8C9C6FC1D}"/>
            </c:ext>
          </c:extLst>
        </c:ser>
        <c:ser>
          <c:idx val="14"/>
          <c:order val="14"/>
          <c:tx>
            <c:strRef>
              <c:f>'Earthwork Stg 2'!$P$1:$P$4</c:f>
              <c:strCache>
                <c:ptCount val="4"/>
                <c:pt idx="0">
                  <c:v>EARTHWORK QUANTITIES</c:v>
                </c:pt>
                <c:pt idx="1">
                  <c:v>204</c:v>
                </c:pt>
                <c:pt idx="2">
                  <c:v>EXCAVATION OF SUBGRADE</c:v>
                </c:pt>
                <c:pt idx="3">
                  <c:v>CU YD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2'!$P$5:$P$42</c:f>
              <c:numCache>
                <c:formatCode>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17.777777777777779</c:v>
                </c:pt>
                <c:pt idx="12">
                  <c:v>36.527777777777779</c:v>
                </c:pt>
                <c:pt idx="13">
                  <c:v>38.194444444444443</c:v>
                </c:pt>
                <c:pt idx="14">
                  <c:v>39.398148148148145</c:v>
                </c:pt>
                <c:pt idx="15">
                  <c:v>28.146203703699008</c:v>
                </c:pt>
                <c:pt idx="16">
                  <c:v>30.008055555563665</c:v>
                </c:pt>
                <c:pt idx="17">
                  <c:v>29.610370370367392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686-43E4-AA2E-1AE8C9C6FC1D}"/>
            </c:ext>
          </c:extLst>
        </c:ser>
        <c:ser>
          <c:idx val="15"/>
          <c:order val="15"/>
          <c:tx>
            <c:strRef>
              <c:f>'Earthwork Stg 2'!$Q$1:$Q$4</c:f>
              <c:strCache>
                <c:ptCount val="4"/>
                <c:pt idx="0">
                  <c:v>EARTHWORK QUANTITIES</c:v>
                </c:pt>
                <c:pt idx="1">
                  <c:v>204</c:v>
                </c:pt>
                <c:pt idx="2">
                  <c:v>GRANULAR MATERIAL, TYPE B</c:v>
                </c:pt>
                <c:pt idx="3">
                  <c:v>CU YD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2'!$Q$5:$Q$42</c:f>
              <c:numCache>
                <c:formatCode>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17.777777777777779</c:v>
                </c:pt>
                <c:pt idx="12">
                  <c:v>36.527777777777779</c:v>
                </c:pt>
                <c:pt idx="13">
                  <c:v>38.194444444444443</c:v>
                </c:pt>
                <c:pt idx="14">
                  <c:v>39.398148148148145</c:v>
                </c:pt>
                <c:pt idx="15">
                  <c:v>28.146203703699008</c:v>
                </c:pt>
                <c:pt idx="16">
                  <c:v>30.008055555563665</c:v>
                </c:pt>
                <c:pt idx="17">
                  <c:v>29.610370370367392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686-43E4-AA2E-1AE8C9C6FC1D}"/>
            </c:ext>
          </c:extLst>
        </c:ser>
        <c:ser>
          <c:idx val="16"/>
          <c:order val="16"/>
          <c:tx>
            <c:strRef>
              <c:f>'Earthwork Stg 2'!$R$1:$R$4</c:f>
              <c:strCache>
                <c:ptCount val="4"/>
                <c:pt idx="0">
                  <c:v>EARTHWORK QUANTITIES</c:v>
                </c:pt>
                <c:pt idx="1">
                  <c:v>204</c:v>
                </c:pt>
                <c:pt idx="2">
                  <c:v>GEOTEXTILE FABRIC</c:v>
                </c:pt>
                <c:pt idx="3">
                  <c:v>SQ YD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'Earthwork Stg 2'!$R$5:$R$42</c:f>
              <c:numCache>
                <c:formatCode>0</c:formatCode>
                <c:ptCount val="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53.333333333333336</c:v>
                </c:pt>
                <c:pt idx="12">
                  <c:v>109.58333333333334</c:v>
                </c:pt>
                <c:pt idx="13">
                  <c:v>114.58333333333333</c:v>
                </c:pt>
                <c:pt idx="14">
                  <c:v>118.19444444444444</c:v>
                </c:pt>
                <c:pt idx="15">
                  <c:v>84.438611111097032</c:v>
                </c:pt>
                <c:pt idx="16">
                  <c:v>90.024166666690988</c:v>
                </c:pt>
                <c:pt idx="17">
                  <c:v>88.831111111102175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686-43E4-AA2E-1AE8C9C6F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300560"/>
        <c:axId val="420301640"/>
      </c:barChart>
      <c:catAx>
        <c:axId val="420300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301640"/>
        <c:crosses val="autoZero"/>
        <c:auto val="1"/>
        <c:lblAlgn val="ctr"/>
        <c:lblOffset val="100"/>
        <c:noMultiLvlLbl val="0"/>
      </c:catAx>
      <c:valAx>
        <c:axId val="42030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\+##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300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6FA7176-C5CE-491C-83B7-1A2CB4B48CB7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C15C-AE2B-5BE1-6920-D973ED86B2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ott Piazza" id="{F7AAAFDB-2C59-4738-A5BA-4AEF27359354}" userId="S::Scott.Piazza@mottmac.com::64a92c3b-9eb5-4429-99b2-7058804b21d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6" dT="2024-10-14T15:20:10.76" personId="{F7AAAFDB-2C59-4738-A5BA-4AEF27359354}" id="{3D7DFF24-DAC3-4AF0-9B8A-29B76BB8F3F1}">
    <text xml:space="preserve">No longer used; Per Stg2C comments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5B31-247C-4FA9-96AD-B0A86D58F5B1}">
  <dimension ref="A1:Y48"/>
  <sheetViews>
    <sheetView zoomScaleNormal="100" workbookViewId="0">
      <pane ySplit="4" topLeftCell="A5" activePane="bottomLeft" state="frozen"/>
      <selection pane="bottomLeft" activeCell="L47" sqref="A1:L47"/>
    </sheetView>
  </sheetViews>
  <sheetFormatPr defaultRowHeight="15" x14ac:dyDescent="0.25"/>
  <cols>
    <col min="1" max="1" width="12.7109375" bestFit="1" customWidth="1"/>
    <col min="2" max="2" width="8.5703125" style="59" bestFit="1" customWidth="1"/>
    <col min="3" max="3" width="8.28515625" style="60" bestFit="1" customWidth="1"/>
    <col min="4" max="7" width="10.7109375" style="61" customWidth="1"/>
    <col min="8" max="8" width="15.140625" style="61" hidden="1" customWidth="1"/>
    <col min="9" max="9" width="9" style="61" hidden="1" customWidth="1"/>
    <col min="10" max="10" width="20.7109375" customWidth="1"/>
    <col min="11" max="11" width="16.7109375" hidden="1" customWidth="1"/>
    <col min="12" max="12" width="20.7109375" customWidth="1"/>
    <col min="13" max="13" width="9.140625" customWidth="1"/>
    <col min="14" max="18" width="16.7109375" customWidth="1"/>
    <col min="19" max="20" width="9.140625" customWidth="1"/>
    <col min="21" max="21" width="29.7109375" customWidth="1"/>
    <col min="22" max="23" width="9.140625" customWidth="1"/>
    <col min="24" max="24" width="128.28515625" customWidth="1"/>
    <col min="25" max="25" width="12.140625" customWidth="1"/>
  </cols>
  <sheetData>
    <row r="1" spans="1:25" ht="15.75" thickBot="1" x14ac:dyDescent="0.3">
      <c r="A1" s="123" t="s">
        <v>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  <c r="M1" s="106"/>
      <c r="N1" s="106"/>
      <c r="O1" s="106"/>
      <c r="P1" s="106"/>
      <c r="Q1" s="106"/>
      <c r="R1" s="107"/>
    </row>
    <row r="2" spans="1:25" ht="15" customHeight="1" x14ac:dyDescent="0.25">
      <c r="A2" s="136" t="s">
        <v>3</v>
      </c>
      <c r="B2" s="139" t="s">
        <v>4</v>
      </c>
      <c r="C2" s="139" t="s">
        <v>5</v>
      </c>
      <c r="D2" s="139" t="s">
        <v>37</v>
      </c>
      <c r="E2" s="139" t="s">
        <v>45</v>
      </c>
      <c r="F2" s="141" t="s">
        <v>46</v>
      </c>
      <c r="G2" s="141" t="s">
        <v>47</v>
      </c>
      <c r="H2" s="92"/>
      <c r="I2" s="92"/>
      <c r="J2" s="129">
        <v>203</v>
      </c>
      <c r="K2" s="129"/>
      <c r="L2" s="130"/>
      <c r="N2" s="94"/>
      <c r="O2" s="63"/>
      <c r="P2" s="131">
        <v>204</v>
      </c>
      <c r="Q2" s="132"/>
      <c r="R2" s="133"/>
      <c r="T2" s="65">
        <v>659</v>
      </c>
      <c r="U2" s="64" t="s">
        <v>44</v>
      </c>
      <c r="V2" s="65">
        <v>2000</v>
      </c>
      <c r="W2" s="65" t="s">
        <v>21</v>
      </c>
    </row>
    <row r="3" spans="1:25" ht="60.75" thickBot="1" x14ac:dyDescent="0.3">
      <c r="A3" s="137"/>
      <c r="B3" s="140"/>
      <c r="C3" s="140"/>
      <c r="D3" s="140"/>
      <c r="E3" s="140"/>
      <c r="F3" s="142"/>
      <c r="G3" s="142"/>
      <c r="H3" s="68" t="s">
        <v>39</v>
      </c>
      <c r="I3" s="11" t="s">
        <v>35</v>
      </c>
      <c r="J3" s="93" t="s">
        <v>1</v>
      </c>
      <c r="K3" s="93" t="s">
        <v>36</v>
      </c>
      <c r="L3" s="103" t="s">
        <v>2</v>
      </c>
      <c r="N3" s="95" t="s">
        <v>42</v>
      </c>
      <c r="O3" s="68" t="s">
        <v>43</v>
      </c>
      <c r="P3" s="69" t="s">
        <v>38</v>
      </c>
      <c r="Q3" s="69" t="s">
        <v>40</v>
      </c>
      <c r="R3" s="69" t="s">
        <v>41</v>
      </c>
      <c r="Y3" s="47"/>
    </row>
    <row r="4" spans="1:25" ht="15.75" thickBot="1" x14ac:dyDescent="0.3">
      <c r="A4" s="138"/>
      <c r="B4" s="48" t="s">
        <v>6</v>
      </c>
      <c r="C4" s="48" t="s">
        <v>6</v>
      </c>
      <c r="D4" s="48" t="s">
        <v>6</v>
      </c>
      <c r="E4" s="48" t="s">
        <v>6</v>
      </c>
      <c r="F4" s="48" t="s">
        <v>6</v>
      </c>
      <c r="G4" s="48" t="s">
        <v>6</v>
      </c>
      <c r="H4" s="82" t="s">
        <v>6</v>
      </c>
      <c r="I4" s="48"/>
      <c r="J4" s="3" t="s">
        <v>0</v>
      </c>
      <c r="K4" s="3"/>
      <c r="L4" s="15" t="s">
        <v>0</v>
      </c>
      <c r="N4" s="96"/>
      <c r="O4" s="48"/>
      <c r="P4" s="81" t="s">
        <v>0</v>
      </c>
      <c r="Q4" s="81" t="s">
        <v>0</v>
      </c>
      <c r="R4" s="81" t="s">
        <v>13</v>
      </c>
      <c r="T4" s="126" t="s">
        <v>33</v>
      </c>
      <c r="U4" s="127"/>
      <c r="V4" s="127"/>
      <c r="W4" s="128"/>
      <c r="X4" s="46" t="s">
        <v>34</v>
      </c>
    </row>
    <row r="5" spans="1:25" x14ac:dyDescent="0.25">
      <c r="A5" s="4">
        <v>32600</v>
      </c>
      <c r="B5" s="49">
        <v>0</v>
      </c>
      <c r="C5" s="49">
        <v>0</v>
      </c>
      <c r="D5" s="50"/>
      <c r="E5" s="50"/>
      <c r="F5" s="50">
        <f>B5+D5</f>
        <v>0</v>
      </c>
      <c r="G5" s="50">
        <f>C5+E5</f>
        <v>0</v>
      </c>
      <c r="H5" s="50"/>
      <c r="I5" s="50"/>
      <c r="J5" s="10"/>
      <c r="K5" s="10"/>
      <c r="L5" s="16"/>
      <c r="N5" s="97"/>
      <c r="O5" s="10"/>
      <c r="P5" s="16"/>
      <c r="Q5" s="16"/>
      <c r="R5" s="16"/>
      <c r="T5" s="36">
        <v>659</v>
      </c>
      <c r="U5" s="39" t="s">
        <v>14</v>
      </c>
      <c r="V5" s="7">
        <f>+V2*(111/1000)</f>
        <v>222</v>
      </c>
      <c r="W5" s="41" t="s">
        <v>20</v>
      </c>
      <c r="X5" s="45" t="s">
        <v>27</v>
      </c>
    </row>
    <row r="6" spans="1:25" x14ac:dyDescent="0.25">
      <c r="A6" s="6">
        <v>32610</v>
      </c>
      <c r="B6" s="51">
        <v>10</v>
      </c>
      <c r="C6" s="51">
        <v>1</v>
      </c>
      <c r="D6" s="51"/>
      <c r="E6" s="51"/>
      <c r="F6" s="50">
        <f>B6+D6</f>
        <v>10</v>
      </c>
      <c r="G6" s="50">
        <f t="shared" ref="G6:G23" si="0">C6+E6</f>
        <v>1</v>
      </c>
      <c r="H6" s="51"/>
      <c r="I6" s="52">
        <f>((F6+F5)/2*(A6-A5))/27</f>
        <v>1.8518518518518519</v>
      </c>
      <c r="J6" s="7">
        <f>I6</f>
        <v>1.8518518518518519</v>
      </c>
      <c r="K6" s="52">
        <f>((G6+G5)/2*(A6-A5))/27</f>
        <v>0.18518518518518517</v>
      </c>
      <c r="L6" s="17">
        <f>K6</f>
        <v>0.18518518518518517</v>
      </c>
      <c r="N6" s="98">
        <f t="shared" ref="N6:N22" si="1">((H6+H5)/2*(A6-A5))/9</f>
        <v>0</v>
      </c>
      <c r="O6" s="70">
        <f t="shared" ref="O6:O22" si="2">((H6+H5)/2*(A6-A5))/27</f>
        <v>0</v>
      </c>
      <c r="P6" s="71">
        <f>O6</f>
        <v>0</v>
      </c>
      <c r="Q6" s="71">
        <f>+P6</f>
        <v>0</v>
      </c>
      <c r="R6" s="71">
        <f>+N6</f>
        <v>0</v>
      </c>
      <c r="T6" s="36">
        <v>659</v>
      </c>
      <c r="U6" s="39" t="s">
        <v>15</v>
      </c>
      <c r="V6" s="7">
        <f>0.05*V2</f>
        <v>100</v>
      </c>
      <c r="W6" s="41" t="s">
        <v>21</v>
      </c>
      <c r="X6" s="43" t="s">
        <v>28</v>
      </c>
    </row>
    <row r="7" spans="1:25" x14ac:dyDescent="0.25">
      <c r="A7" s="6">
        <v>32625</v>
      </c>
      <c r="B7" s="51">
        <v>10</v>
      </c>
      <c r="C7" s="51">
        <v>1</v>
      </c>
      <c r="D7" s="51"/>
      <c r="E7" s="51"/>
      <c r="F7" s="50">
        <f t="shared" ref="F7:F23" si="3">B7+D7</f>
        <v>10</v>
      </c>
      <c r="G7" s="50">
        <f t="shared" si="0"/>
        <v>1</v>
      </c>
      <c r="H7" s="51"/>
      <c r="I7" s="52">
        <f>((F7+F6)/2*(A7-A6))/27</f>
        <v>5.5555555555555554</v>
      </c>
      <c r="J7" s="7">
        <f t="shared" ref="J7:J22" si="4">I7</f>
        <v>5.5555555555555554</v>
      </c>
      <c r="K7" s="52">
        <f t="shared" ref="K7:K22" si="5">((G7+G6)/2*(A7-A6))/27</f>
        <v>0.55555555555555558</v>
      </c>
      <c r="L7" s="17">
        <f t="shared" ref="L7:L22" si="6">K7</f>
        <v>0.55555555555555558</v>
      </c>
      <c r="N7" s="98">
        <f t="shared" si="1"/>
        <v>0</v>
      </c>
      <c r="O7" s="70">
        <f t="shared" si="2"/>
        <v>0</v>
      </c>
      <c r="P7" s="71">
        <f t="shared" ref="P7:P42" si="7">O7</f>
        <v>0</v>
      </c>
      <c r="Q7" s="71">
        <f t="shared" ref="Q7:Q22" si="8">+P7</f>
        <v>0</v>
      </c>
      <c r="R7" s="71">
        <f t="shared" ref="R7:R22" si="9">+N7</f>
        <v>0</v>
      </c>
      <c r="T7" s="36">
        <v>659</v>
      </c>
      <c r="U7" s="39" t="s">
        <v>16</v>
      </c>
      <c r="V7" s="7">
        <f>0.05*V2</f>
        <v>100</v>
      </c>
      <c r="W7" s="41" t="s">
        <v>21</v>
      </c>
      <c r="X7" s="43" t="s">
        <v>28</v>
      </c>
    </row>
    <row r="8" spans="1:25" x14ac:dyDescent="0.25">
      <c r="A8" s="6">
        <v>32650</v>
      </c>
      <c r="B8" s="51">
        <v>12</v>
      </c>
      <c r="C8" s="51">
        <v>1</v>
      </c>
      <c r="D8" s="51"/>
      <c r="E8" s="51"/>
      <c r="F8" s="50">
        <f t="shared" si="3"/>
        <v>12</v>
      </c>
      <c r="G8" s="50">
        <f t="shared" si="0"/>
        <v>1</v>
      </c>
      <c r="H8" s="51"/>
      <c r="I8" s="52">
        <f t="shared" ref="I8:I22" si="10">((F8+F7)/2*(A8-A7))/27</f>
        <v>10.185185185185185</v>
      </c>
      <c r="J8" s="7">
        <f t="shared" si="4"/>
        <v>10.185185185185185</v>
      </c>
      <c r="K8" s="52">
        <f t="shared" si="5"/>
        <v>0.92592592592592593</v>
      </c>
      <c r="L8" s="17">
        <f t="shared" si="6"/>
        <v>0.92592592592592593</v>
      </c>
      <c r="N8" s="98">
        <f t="shared" si="1"/>
        <v>0</v>
      </c>
      <c r="O8" s="70">
        <f t="shared" si="2"/>
        <v>0</v>
      </c>
      <c r="P8" s="71">
        <f t="shared" si="7"/>
        <v>0</v>
      </c>
      <c r="Q8" s="71">
        <f t="shared" si="8"/>
        <v>0</v>
      </c>
      <c r="R8" s="71">
        <f t="shared" si="9"/>
        <v>0</v>
      </c>
      <c r="T8" s="36">
        <v>659</v>
      </c>
      <c r="U8" s="39" t="s">
        <v>17</v>
      </c>
      <c r="V8" s="37">
        <f>+V2*((0.03)*(9)*(0.0005)+V7*((0.02)*9*(0.0005)))</f>
        <v>18.27</v>
      </c>
      <c r="W8" s="41" t="s">
        <v>22</v>
      </c>
      <c r="X8" s="43" t="s">
        <v>29</v>
      </c>
    </row>
    <row r="9" spans="1:25" x14ac:dyDescent="0.25">
      <c r="A9" s="6">
        <v>32675</v>
      </c>
      <c r="B9" s="51">
        <v>13</v>
      </c>
      <c r="C9" s="51">
        <v>1</v>
      </c>
      <c r="D9" s="51"/>
      <c r="E9" s="51"/>
      <c r="F9" s="50">
        <f t="shared" si="3"/>
        <v>13</v>
      </c>
      <c r="G9" s="50">
        <f t="shared" si="0"/>
        <v>1</v>
      </c>
      <c r="H9" s="51"/>
      <c r="I9" s="52">
        <f t="shared" si="10"/>
        <v>11.574074074074074</v>
      </c>
      <c r="J9" s="7">
        <f t="shared" si="4"/>
        <v>11.574074074074074</v>
      </c>
      <c r="K9" s="52">
        <f t="shared" si="5"/>
        <v>0.92592592592592593</v>
      </c>
      <c r="L9" s="17">
        <f t="shared" si="6"/>
        <v>0.92592592592592593</v>
      </c>
      <c r="N9" s="98">
        <f t="shared" si="1"/>
        <v>0</v>
      </c>
      <c r="O9" s="70">
        <f t="shared" si="2"/>
        <v>0</v>
      </c>
      <c r="P9" s="71">
        <f t="shared" si="7"/>
        <v>0</v>
      </c>
      <c r="Q9" s="71">
        <f t="shared" si="8"/>
        <v>0</v>
      </c>
      <c r="R9" s="71">
        <f t="shared" si="9"/>
        <v>0</v>
      </c>
      <c r="T9" s="36">
        <v>659</v>
      </c>
      <c r="U9" s="39" t="s">
        <v>18</v>
      </c>
      <c r="V9" s="37">
        <f>+V2*(9/43560)</f>
        <v>0.41322314049586778</v>
      </c>
      <c r="W9" s="41" t="s">
        <v>23</v>
      </c>
      <c r="X9" s="43" t="s">
        <v>30</v>
      </c>
    </row>
    <row r="10" spans="1:25" x14ac:dyDescent="0.25">
      <c r="A10" s="6">
        <v>32700</v>
      </c>
      <c r="B10" s="51">
        <v>14</v>
      </c>
      <c r="C10" s="51">
        <v>1</v>
      </c>
      <c r="D10" s="51"/>
      <c r="E10" s="51"/>
      <c r="F10" s="50">
        <f t="shared" si="3"/>
        <v>14</v>
      </c>
      <c r="G10" s="50">
        <f t="shared" si="0"/>
        <v>1</v>
      </c>
      <c r="H10" s="51"/>
      <c r="I10" s="52">
        <f t="shared" si="10"/>
        <v>12.5</v>
      </c>
      <c r="J10" s="7">
        <f t="shared" si="4"/>
        <v>12.5</v>
      </c>
      <c r="K10" s="52">
        <f t="shared" si="5"/>
        <v>0.92592592592592593</v>
      </c>
      <c r="L10" s="17">
        <f t="shared" si="6"/>
        <v>0.92592592592592593</v>
      </c>
      <c r="N10" s="98">
        <f t="shared" si="1"/>
        <v>0</v>
      </c>
      <c r="O10" s="70">
        <f t="shared" si="2"/>
        <v>0</v>
      </c>
      <c r="P10" s="71">
        <f t="shared" si="7"/>
        <v>0</v>
      </c>
      <c r="Q10" s="71">
        <f t="shared" si="8"/>
        <v>0</v>
      </c>
      <c r="R10" s="71">
        <f t="shared" si="9"/>
        <v>0</v>
      </c>
      <c r="T10" s="36">
        <v>659</v>
      </c>
      <c r="U10" s="39" t="s">
        <v>19</v>
      </c>
      <c r="V10" s="27">
        <f>2*((0.3)*V2*9)/1000</f>
        <v>10.8</v>
      </c>
      <c r="W10" s="41" t="s">
        <v>24</v>
      </c>
      <c r="X10" s="43" t="s">
        <v>31</v>
      </c>
    </row>
    <row r="11" spans="1:25" ht="15.75" thickBot="1" x14ac:dyDescent="0.3">
      <c r="A11" s="6">
        <v>32725</v>
      </c>
      <c r="B11" s="51">
        <v>14</v>
      </c>
      <c r="C11" s="51">
        <v>2</v>
      </c>
      <c r="D11" s="51"/>
      <c r="E11" s="51"/>
      <c r="F11" s="50">
        <f t="shared" si="3"/>
        <v>14</v>
      </c>
      <c r="G11" s="50">
        <f t="shared" si="0"/>
        <v>2</v>
      </c>
      <c r="H11" s="51"/>
      <c r="I11" s="52">
        <f t="shared" si="10"/>
        <v>12.962962962962964</v>
      </c>
      <c r="J11" s="7">
        <f t="shared" si="4"/>
        <v>12.962962962962964</v>
      </c>
      <c r="K11" s="52">
        <f t="shared" si="5"/>
        <v>1.3888888888888888</v>
      </c>
      <c r="L11" s="17">
        <f t="shared" si="6"/>
        <v>1.3888888888888888</v>
      </c>
      <c r="N11" s="98">
        <f t="shared" si="1"/>
        <v>0</v>
      </c>
      <c r="O11" s="70">
        <f t="shared" si="2"/>
        <v>0</v>
      </c>
      <c r="P11" s="71">
        <f t="shared" si="7"/>
        <v>0</v>
      </c>
      <c r="Q11" s="71">
        <f t="shared" si="8"/>
        <v>0</v>
      </c>
      <c r="R11" s="71">
        <f t="shared" si="9"/>
        <v>0</v>
      </c>
      <c r="T11" s="115">
        <v>659</v>
      </c>
      <c r="U11" s="116" t="s">
        <v>25</v>
      </c>
      <c r="V11" s="67">
        <f>+(V2*0.25*9*3)/1000</f>
        <v>13.5</v>
      </c>
      <c r="W11" s="117" t="s">
        <v>26</v>
      </c>
      <c r="X11" s="118" t="s">
        <v>32</v>
      </c>
    </row>
    <row r="12" spans="1:25" x14ac:dyDescent="0.25">
      <c r="A12" s="6">
        <v>32750</v>
      </c>
      <c r="B12" s="51">
        <v>16</v>
      </c>
      <c r="C12" s="51">
        <v>2</v>
      </c>
      <c r="D12" s="51"/>
      <c r="E12" s="51"/>
      <c r="F12" s="50">
        <f t="shared" si="3"/>
        <v>16</v>
      </c>
      <c r="G12" s="50">
        <f t="shared" si="0"/>
        <v>2</v>
      </c>
      <c r="H12" s="51"/>
      <c r="I12" s="52">
        <f t="shared" si="10"/>
        <v>13.888888888888889</v>
      </c>
      <c r="J12" s="7">
        <f t="shared" si="4"/>
        <v>13.888888888888889</v>
      </c>
      <c r="K12" s="52">
        <f t="shared" si="5"/>
        <v>1.8518518518518519</v>
      </c>
      <c r="L12" s="17">
        <f t="shared" si="6"/>
        <v>1.8518518518518519</v>
      </c>
      <c r="N12" s="98">
        <f t="shared" si="1"/>
        <v>0</v>
      </c>
      <c r="O12" s="70">
        <f t="shared" si="2"/>
        <v>0</v>
      </c>
      <c r="P12" s="71">
        <f t="shared" si="7"/>
        <v>0</v>
      </c>
      <c r="Q12" s="71">
        <f t="shared" si="8"/>
        <v>0</v>
      </c>
      <c r="R12" s="71">
        <f t="shared" si="9"/>
        <v>0</v>
      </c>
    </row>
    <row r="13" spans="1:25" x14ac:dyDescent="0.25">
      <c r="A13" s="6">
        <v>32775</v>
      </c>
      <c r="B13" s="51">
        <v>18</v>
      </c>
      <c r="C13" s="51">
        <v>3</v>
      </c>
      <c r="D13" s="51"/>
      <c r="E13" s="51"/>
      <c r="F13" s="50">
        <f t="shared" si="3"/>
        <v>18</v>
      </c>
      <c r="G13" s="50">
        <f t="shared" si="0"/>
        <v>3</v>
      </c>
      <c r="H13" s="51"/>
      <c r="I13" s="52">
        <f t="shared" si="10"/>
        <v>15.74074074074074</v>
      </c>
      <c r="J13" s="7">
        <f t="shared" si="4"/>
        <v>15.74074074074074</v>
      </c>
      <c r="K13" s="52">
        <f t="shared" si="5"/>
        <v>2.3148148148148149</v>
      </c>
      <c r="L13" s="17">
        <f t="shared" si="6"/>
        <v>2.3148148148148149</v>
      </c>
      <c r="N13" s="98">
        <f t="shared" si="1"/>
        <v>0</v>
      </c>
      <c r="O13" s="70">
        <f t="shared" si="2"/>
        <v>0</v>
      </c>
      <c r="P13" s="71">
        <f t="shared" si="7"/>
        <v>0</v>
      </c>
      <c r="Q13" s="71">
        <f t="shared" si="8"/>
        <v>0</v>
      </c>
      <c r="R13" s="71">
        <f t="shared" si="9"/>
        <v>0</v>
      </c>
      <c r="Y13" s="53"/>
    </row>
    <row r="14" spans="1:25" x14ac:dyDescent="0.25">
      <c r="A14" s="6">
        <v>32800</v>
      </c>
      <c r="B14" s="51">
        <v>19</v>
      </c>
      <c r="C14" s="51">
        <v>5</v>
      </c>
      <c r="D14" s="51"/>
      <c r="E14" s="51"/>
      <c r="F14" s="50">
        <f t="shared" si="3"/>
        <v>19</v>
      </c>
      <c r="G14" s="50">
        <f t="shared" si="0"/>
        <v>5</v>
      </c>
      <c r="H14" s="51"/>
      <c r="I14" s="52">
        <f t="shared" si="10"/>
        <v>17.12962962962963</v>
      </c>
      <c r="J14" s="7">
        <f t="shared" si="4"/>
        <v>17.12962962962963</v>
      </c>
      <c r="K14" s="52">
        <f t="shared" si="5"/>
        <v>3.7037037037037037</v>
      </c>
      <c r="L14" s="17">
        <f t="shared" si="6"/>
        <v>3.7037037037037037</v>
      </c>
      <c r="N14" s="98">
        <f t="shared" si="1"/>
        <v>0</v>
      </c>
      <c r="O14" s="70">
        <f t="shared" si="2"/>
        <v>0</v>
      </c>
      <c r="P14" s="71">
        <f t="shared" si="7"/>
        <v>0</v>
      </c>
      <c r="Q14" s="71">
        <f t="shared" si="8"/>
        <v>0</v>
      </c>
      <c r="R14" s="71">
        <f t="shared" si="9"/>
        <v>0</v>
      </c>
    </row>
    <row r="15" spans="1:25" x14ac:dyDescent="0.25">
      <c r="A15" s="6">
        <v>32825</v>
      </c>
      <c r="B15" s="51">
        <v>18</v>
      </c>
      <c r="C15" s="51">
        <v>20</v>
      </c>
      <c r="D15" s="51">
        <v>95.460999999999999</v>
      </c>
      <c r="E15" s="51">
        <f>D15-3.37</f>
        <v>92.090999999999994</v>
      </c>
      <c r="F15" s="50">
        <f t="shared" si="3"/>
        <v>113.461</v>
      </c>
      <c r="G15" s="50">
        <f t="shared" si="0"/>
        <v>112.09099999999999</v>
      </c>
      <c r="H15" s="51"/>
      <c r="I15" s="52">
        <f t="shared" si="10"/>
        <v>61.324537037037047</v>
      </c>
      <c r="J15" s="7">
        <f t="shared" si="4"/>
        <v>61.324537037037047</v>
      </c>
      <c r="K15" s="52">
        <f t="shared" si="5"/>
        <v>54.208796296296292</v>
      </c>
      <c r="L15" s="17">
        <f t="shared" si="6"/>
        <v>54.208796296296292</v>
      </c>
      <c r="N15" s="98">
        <f t="shared" si="1"/>
        <v>0</v>
      </c>
      <c r="O15" s="70">
        <f t="shared" si="2"/>
        <v>0</v>
      </c>
      <c r="P15" s="71">
        <f t="shared" si="7"/>
        <v>0</v>
      </c>
      <c r="Q15" s="71">
        <f t="shared" si="8"/>
        <v>0</v>
      </c>
      <c r="R15" s="71">
        <f t="shared" si="9"/>
        <v>0</v>
      </c>
      <c r="Y15" s="53"/>
    </row>
    <row r="16" spans="1:25" x14ac:dyDescent="0.25">
      <c r="A16" s="6">
        <v>32850</v>
      </c>
      <c r="B16" s="51">
        <v>48</v>
      </c>
      <c r="C16" s="51">
        <v>25</v>
      </c>
      <c r="D16" s="51">
        <v>87</v>
      </c>
      <c r="E16" s="51">
        <f>D16-8.928-0.935</f>
        <v>77.137</v>
      </c>
      <c r="F16" s="50">
        <f>B16+D16</f>
        <v>135</v>
      </c>
      <c r="G16" s="50">
        <f>C16+E16</f>
        <v>102.137</v>
      </c>
      <c r="H16" s="66">
        <v>38.4</v>
      </c>
      <c r="I16" s="52">
        <f>((F16+F15)/2*(A16-A15))/27</f>
        <v>115.02824074074076</v>
      </c>
      <c r="J16" s="7">
        <f t="shared" si="4"/>
        <v>115.02824074074076</v>
      </c>
      <c r="K16" s="52">
        <f>((G16+G15)/2*(A16-A15))/27</f>
        <v>99.17962962962963</v>
      </c>
      <c r="L16" s="17">
        <f t="shared" si="6"/>
        <v>99.17962962962963</v>
      </c>
      <c r="N16" s="98">
        <f t="shared" si="1"/>
        <v>53.333333333333336</v>
      </c>
      <c r="O16" s="70">
        <f t="shared" si="2"/>
        <v>17.777777777777779</v>
      </c>
      <c r="P16" s="71">
        <f t="shared" si="7"/>
        <v>17.777777777777779</v>
      </c>
      <c r="Q16" s="71">
        <f>+P16</f>
        <v>17.777777777777779</v>
      </c>
      <c r="R16" s="71">
        <f t="shared" si="9"/>
        <v>53.333333333333336</v>
      </c>
    </row>
    <row r="17" spans="1:25" x14ac:dyDescent="0.25">
      <c r="A17" s="6">
        <v>32875</v>
      </c>
      <c r="B17" s="51">
        <v>42</v>
      </c>
      <c r="C17" s="51">
        <v>35</v>
      </c>
      <c r="D17" s="51">
        <v>104</v>
      </c>
      <c r="E17" s="51">
        <f>D17-2.01-10.616</f>
        <v>91.373999999999995</v>
      </c>
      <c r="F17" s="50">
        <f>B17+D17</f>
        <v>146</v>
      </c>
      <c r="G17" s="50">
        <f>C17+E17</f>
        <v>126.374</v>
      </c>
      <c r="H17" s="66">
        <v>40.5</v>
      </c>
      <c r="I17" s="52">
        <f>((F17+F16)/2*(A17-A16))/27</f>
        <v>130.09259259259258</v>
      </c>
      <c r="J17" s="7">
        <f t="shared" si="4"/>
        <v>130.09259259259258</v>
      </c>
      <c r="K17" s="52">
        <f>((G17+G16)/2*(A17-A16))/27</f>
        <v>105.79212962962963</v>
      </c>
      <c r="L17" s="17">
        <f t="shared" si="6"/>
        <v>105.79212962962963</v>
      </c>
      <c r="N17" s="98">
        <f t="shared" si="1"/>
        <v>109.58333333333334</v>
      </c>
      <c r="O17" s="70">
        <f t="shared" si="2"/>
        <v>36.527777777777779</v>
      </c>
      <c r="P17" s="71">
        <f t="shared" si="7"/>
        <v>36.527777777777779</v>
      </c>
      <c r="Q17" s="71">
        <f t="shared" si="8"/>
        <v>36.527777777777779</v>
      </c>
      <c r="R17" s="71">
        <f t="shared" si="9"/>
        <v>109.58333333333334</v>
      </c>
      <c r="Y17" s="53"/>
    </row>
    <row r="18" spans="1:25" x14ac:dyDescent="0.25">
      <c r="A18" s="6">
        <v>32900</v>
      </c>
      <c r="B18" s="51">
        <v>40</v>
      </c>
      <c r="C18" s="51">
        <v>55</v>
      </c>
      <c r="D18" s="51">
        <v>114</v>
      </c>
      <c r="E18" s="51">
        <f>D18-1.985-3.298</f>
        <v>108.717</v>
      </c>
      <c r="F18" s="50">
        <f t="shared" si="3"/>
        <v>154</v>
      </c>
      <c r="G18" s="50">
        <f t="shared" si="0"/>
        <v>163.71699999999998</v>
      </c>
      <c r="H18" s="66">
        <v>42</v>
      </c>
      <c r="I18" s="52">
        <f t="shared" si="10"/>
        <v>138.88888888888889</v>
      </c>
      <c r="J18" s="7">
        <f>I18</f>
        <v>138.88888888888889</v>
      </c>
      <c r="K18" s="52">
        <f t="shared" si="5"/>
        <v>134.30138888888891</v>
      </c>
      <c r="L18" s="17">
        <f t="shared" si="6"/>
        <v>134.30138888888891</v>
      </c>
      <c r="N18" s="98">
        <f t="shared" si="1"/>
        <v>114.58333333333333</v>
      </c>
      <c r="O18" s="70">
        <f t="shared" si="2"/>
        <v>38.194444444444443</v>
      </c>
      <c r="P18" s="71">
        <f t="shared" si="7"/>
        <v>38.194444444444443</v>
      </c>
      <c r="Q18" s="71">
        <f t="shared" si="8"/>
        <v>38.194444444444443</v>
      </c>
      <c r="R18" s="71">
        <f t="shared" si="9"/>
        <v>114.58333333333333</v>
      </c>
    </row>
    <row r="19" spans="1:25" x14ac:dyDescent="0.25">
      <c r="A19" s="6">
        <v>32925</v>
      </c>
      <c r="B19" s="51">
        <v>36</v>
      </c>
      <c r="C19" s="51">
        <v>109</v>
      </c>
      <c r="D19" s="51">
        <f>200+41.274</f>
        <v>241.274</v>
      </c>
      <c r="E19" s="51">
        <f>D19-0.466-6.708</f>
        <v>234.1</v>
      </c>
      <c r="F19" s="50">
        <f t="shared" si="3"/>
        <v>277.274</v>
      </c>
      <c r="G19" s="50">
        <f t="shared" si="0"/>
        <v>343.1</v>
      </c>
      <c r="H19" s="66">
        <v>43.1</v>
      </c>
      <c r="I19" s="52">
        <f t="shared" si="10"/>
        <v>199.66388888888889</v>
      </c>
      <c r="J19" s="7">
        <f t="shared" si="4"/>
        <v>199.66388888888889</v>
      </c>
      <c r="K19" s="52">
        <f t="shared" si="5"/>
        <v>234.63749999999999</v>
      </c>
      <c r="L19" s="17">
        <f t="shared" si="6"/>
        <v>234.63749999999999</v>
      </c>
      <c r="N19" s="98">
        <f t="shared" si="1"/>
        <v>118.19444444444444</v>
      </c>
      <c r="O19" s="70">
        <f t="shared" si="2"/>
        <v>39.398148148148145</v>
      </c>
      <c r="P19" s="71">
        <f t="shared" si="7"/>
        <v>39.398148148148145</v>
      </c>
      <c r="Q19" s="71">
        <f t="shared" si="8"/>
        <v>39.398148148148145</v>
      </c>
      <c r="R19" s="71">
        <f t="shared" si="9"/>
        <v>118.19444444444444</v>
      </c>
      <c r="Y19" s="53"/>
    </row>
    <row r="20" spans="1:25" x14ac:dyDescent="0.25">
      <c r="A20" s="6">
        <v>32942.449999999997</v>
      </c>
      <c r="B20" s="51">
        <v>34</v>
      </c>
      <c r="C20" s="51">
        <v>153</v>
      </c>
      <c r="D20" s="51">
        <f>118.98+56.992</f>
        <v>175.97200000000001</v>
      </c>
      <c r="E20" s="51">
        <f>D20-1.118-2.803</f>
        <v>172.05100000000002</v>
      </c>
      <c r="F20" s="50">
        <f t="shared" si="3"/>
        <v>209.97200000000001</v>
      </c>
      <c r="G20" s="50">
        <f t="shared" si="0"/>
        <v>325.05100000000004</v>
      </c>
      <c r="H20" s="66">
        <v>44</v>
      </c>
      <c r="I20" s="52">
        <f t="shared" si="10"/>
        <v>157.45264259256632</v>
      </c>
      <c r="J20" s="7">
        <f t="shared" si="4"/>
        <v>157.45264259256632</v>
      </c>
      <c r="K20" s="52">
        <f t="shared" si="5"/>
        <v>215.91175833329737</v>
      </c>
      <c r="L20" s="17">
        <f t="shared" si="6"/>
        <v>215.91175833329737</v>
      </c>
      <c r="N20" s="98">
        <f t="shared" si="1"/>
        <v>84.438611111097032</v>
      </c>
      <c r="O20" s="70">
        <f t="shared" si="2"/>
        <v>28.146203703699008</v>
      </c>
      <c r="P20" s="71">
        <f t="shared" si="7"/>
        <v>28.146203703699008</v>
      </c>
      <c r="Q20" s="71">
        <f t="shared" si="8"/>
        <v>28.146203703699008</v>
      </c>
      <c r="R20" s="71">
        <f t="shared" si="9"/>
        <v>84.438611111097032</v>
      </c>
    </row>
    <row r="21" spans="1:25" x14ac:dyDescent="0.25">
      <c r="A21" s="6">
        <v>32960.76</v>
      </c>
      <c r="B21" s="51">
        <v>38</v>
      </c>
      <c r="C21" s="51">
        <v>272</v>
      </c>
      <c r="D21" s="51">
        <f>199.399+117.85</f>
        <v>317.24900000000002</v>
      </c>
      <c r="E21" s="51">
        <f>D21-2.334-4.18</f>
        <v>310.73500000000001</v>
      </c>
      <c r="F21" s="50">
        <f t="shared" si="3"/>
        <v>355.24900000000002</v>
      </c>
      <c r="G21" s="50">
        <f t="shared" si="0"/>
        <v>582.73500000000001</v>
      </c>
      <c r="H21" s="66">
        <v>44.5</v>
      </c>
      <c r="I21" s="52">
        <f t="shared" si="10"/>
        <v>191.65178722227404</v>
      </c>
      <c r="J21" s="7">
        <f t="shared" si="4"/>
        <v>191.65178722227404</v>
      </c>
      <c r="K21" s="52">
        <f t="shared" si="5"/>
        <v>307.80669740749062</v>
      </c>
      <c r="L21" s="17">
        <f t="shared" si="6"/>
        <v>307.80669740749062</v>
      </c>
      <c r="N21" s="98">
        <f t="shared" si="1"/>
        <v>90.024166666690988</v>
      </c>
      <c r="O21" s="70">
        <f t="shared" si="2"/>
        <v>30.008055555563665</v>
      </c>
      <c r="P21" s="71">
        <f t="shared" si="7"/>
        <v>30.008055555563665</v>
      </c>
      <c r="Q21" s="71">
        <f t="shared" si="8"/>
        <v>30.008055555563665</v>
      </c>
      <c r="R21" s="71">
        <f t="shared" si="9"/>
        <v>90.024166666690988</v>
      </c>
      <c r="Y21" s="53"/>
    </row>
    <row r="22" spans="1:25" ht="15.75" thickBot="1" x14ac:dyDescent="0.3">
      <c r="A22" s="54">
        <v>32981</v>
      </c>
      <c r="B22" s="55">
        <v>19</v>
      </c>
      <c r="C22" s="55">
        <v>310</v>
      </c>
      <c r="D22" s="55">
        <v>270.63299999999998</v>
      </c>
      <c r="E22" s="55">
        <f>D22-7.69</f>
        <v>262.94299999999998</v>
      </c>
      <c r="F22" s="91">
        <f t="shared" si="3"/>
        <v>289.63299999999998</v>
      </c>
      <c r="G22" s="91">
        <f t="shared" si="0"/>
        <v>572.94299999999998</v>
      </c>
      <c r="H22" s="67">
        <v>34.5</v>
      </c>
      <c r="I22" s="55">
        <f t="shared" si="10"/>
        <v>241.7113274073831</v>
      </c>
      <c r="J22" s="38">
        <f t="shared" si="4"/>
        <v>241.7113274073831</v>
      </c>
      <c r="K22" s="38">
        <f t="shared" si="5"/>
        <v>433.16523555551197</v>
      </c>
      <c r="L22" s="104">
        <f t="shared" si="6"/>
        <v>433.16523555551197</v>
      </c>
      <c r="N22" s="99">
        <f t="shared" si="1"/>
        <v>88.831111111102175</v>
      </c>
      <c r="O22" s="72">
        <f t="shared" si="2"/>
        <v>29.610370370367392</v>
      </c>
      <c r="P22" s="73">
        <f t="shared" si="7"/>
        <v>29.610370370367392</v>
      </c>
      <c r="Q22" s="74">
        <f t="shared" si="8"/>
        <v>29.610370370367392</v>
      </c>
      <c r="R22" s="73">
        <f t="shared" si="9"/>
        <v>88.831111111102175</v>
      </c>
      <c r="Y22" s="53"/>
    </row>
    <row r="23" spans="1:25" x14ac:dyDescent="0.25">
      <c r="A23" s="4">
        <v>33380.28</v>
      </c>
      <c r="B23" s="49">
        <v>20</v>
      </c>
      <c r="C23" s="49">
        <v>6</v>
      </c>
      <c r="D23" s="49"/>
      <c r="E23" s="49"/>
      <c r="F23" s="50">
        <f t="shared" si="3"/>
        <v>20</v>
      </c>
      <c r="G23" s="50">
        <f t="shared" si="0"/>
        <v>6</v>
      </c>
      <c r="H23" s="49"/>
      <c r="I23" s="49"/>
      <c r="J23" s="56"/>
      <c r="K23" s="56"/>
      <c r="L23" s="105"/>
      <c r="N23" s="100"/>
      <c r="O23" s="75"/>
      <c r="P23" s="76"/>
      <c r="Q23" s="76"/>
      <c r="R23" s="76"/>
    </row>
    <row r="24" spans="1:25" x14ac:dyDescent="0.25">
      <c r="A24" s="6">
        <v>33410.28</v>
      </c>
      <c r="B24" s="51">
        <v>35</v>
      </c>
      <c r="C24" s="51">
        <v>6</v>
      </c>
      <c r="D24" s="51"/>
      <c r="E24" s="51"/>
      <c r="F24" s="50">
        <f t="shared" ref="F24:F46" si="11">B24+D24</f>
        <v>35</v>
      </c>
      <c r="G24" s="50">
        <f t="shared" ref="G24:G46" si="12">C24+E24</f>
        <v>6</v>
      </c>
      <c r="H24" s="51"/>
      <c r="I24" s="52">
        <f>((F24+F23)/2*(A24-A23))/27</f>
        <v>30.555555555555557</v>
      </c>
      <c r="J24" s="7">
        <f>I24</f>
        <v>30.555555555555557</v>
      </c>
      <c r="K24" s="52">
        <f>((G24+G23)/2*(A24-A23))/27</f>
        <v>6.666666666666667</v>
      </c>
      <c r="L24" s="17">
        <f>K24</f>
        <v>6.666666666666667</v>
      </c>
      <c r="N24" s="98">
        <f t="shared" ref="N24:N42" si="13">((H24+H23)/2*(A24-A23))/9</f>
        <v>0</v>
      </c>
      <c r="O24" s="70">
        <f t="shared" ref="O24:O42" si="14">((H24+H23)/2*(A24-A23))/27</f>
        <v>0</v>
      </c>
      <c r="P24" s="71">
        <f t="shared" si="7"/>
        <v>0</v>
      </c>
      <c r="Q24" s="71">
        <f>+P24</f>
        <v>0</v>
      </c>
      <c r="R24" s="71">
        <f>+N24</f>
        <v>0</v>
      </c>
      <c r="Y24" s="53"/>
    </row>
    <row r="25" spans="1:25" x14ac:dyDescent="0.25">
      <c r="A25" s="6">
        <v>33447.800000000003</v>
      </c>
      <c r="B25" s="51">
        <v>32</v>
      </c>
      <c r="C25" s="51">
        <v>120</v>
      </c>
      <c r="D25" s="51">
        <v>185.21600000000001</v>
      </c>
      <c r="E25" s="51">
        <f>D25-3.465</f>
        <v>181.751</v>
      </c>
      <c r="F25" s="50">
        <f t="shared" si="11"/>
        <v>217.21600000000001</v>
      </c>
      <c r="G25" s="50">
        <f t="shared" si="12"/>
        <v>301.75099999999998</v>
      </c>
      <c r="H25" s="51"/>
      <c r="I25" s="52">
        <f t="shared" ref="I25:I39" si="15">((F25+F24)/2*(A25-A24))/27</f>
        <v>175.24341333335235</v>
      </c>
      <c r="J25" s="7">
        <f t="shared" ref="J25:J39" si="16">I25</f>
        <v>175.24341333335235</v>
      </c>
      <c r="K25" s="52">
        <f t="shared" ref="K25:K39" si="17">((G25+G24)/2*(A25-A24))/27</f>
        <v>213.82995407409729</v>
      </c>
      <c r="L25" s="17">
        <f t="shared" ref="L25:L39" si="18">K25</f>
        <v>213.82995407409729</v>
      </c>
      <c r="N25" s="98">
        <f t="shared" si="13"/>
        <v>0</v>
      </c>
      <c r="O25" s="70">
        <f t="shared" si="14"/>
        <v>0</v>
      </c>
      <c r="P25" s="71">
        <f t="shared" si="7"/>
        <v>0</v>
      </c>
      <c r="Q25" s="71">
        <f t="shared" ref="Q25:Q42" si="19">+P25</f>
        <v>0</v>
      </c>
      <c r="R25" s="71">
        <f t="shared" ref="R25:R42" si="20">+N25</f>
        <v>0</v>
      </c>
    </row>
    <row r="26" spans="1:25" x14ac:dyDescent="0.25">
      <c r="A26" s="6">
        <v>33475</v>
      </c>
      <c r="B26" s="51">
        <v>33</v>
      </c>
      <c r="C26" s="51">
        <v>151</v>
      </c>
      <c r="D26" s="51">
        <v>182.934</v>
      </c>
      <c r="E26" s="51">
        <f>D26-1.721</f>
        <v>181.21299999999999</v>
      </c>
      <c r="F26" s="50">
        <f t="shared" si="11"/>
        <v>215.934</v>
      </c>
      <c r="G26" s="50">
        <f t="shared" si="12"/>
        <v>332.21299999999997</v>
      </c>
      <c r="H26" s="51"/>
      <c r="I26" s="52">
        <f t="shared" si="15"/>
        <v>218.17925925923589</v>
      </c>
      <c r="J26" s="7">
        <f t="shared" si="16"/>
        <v>218.17925925923589</v>
      </c>
      <c r="K26" s="52">
        <f t="shared" si="17"/>
        <v>319.33001481478061</v>
      </c>
      <c r="L26" s="17">
        <f t="shared" si="18"/>
        <v>319.33001481478061</v>
      </c>
      <c r="N26" s="98">
        <f t="shared" si="13"/>
        <v>0</v>
      </c>
      <c r="O26" s="70">
        <f t="shared" si="14"/>
        <v>0</v>
      </c>
      <c r="P26" s="71">
        <f t="shared" si="7"/>
        <v>0</v>
      </c>
      <c r="Q26" s="71">
        <f t="shared" si="19"/>
        <v>0</v>
      </c>
      <c r="R26" s="71">
        <f t="shared" si="20"/>
        <v>0</v>
      </c>
      <c r="Y26" s="53"/>
    </row>
    <row r="27" spans="1:25" x14ac:dyDescent="0.25">
      <c r="A27" s="6">
        <v>33500</v>
      </c>
      <c r="B27" s="51">
        <v>33</v>
      </c>
      <c r="C27" s="51">
        <v>99</v>
      </c>
      <c r="D27" s="51">
        <v>151.84399999999999</v>
      </c>
      <c r="E27" s="51">
        <f>D27-1.661</f>
        <v>150.18299999999999</v>
      </c>
      <c r="F27" s="50">
        <f t="shared" si="11"/>
        <v>184.84399999999999</v>
      </c>
      <c r="G27" s="50">
        <f t="shared" si="12"/>
        <v>249.18299999999999</v>
      </c>
      <c r="H27" s="51"/>
      <c r="I27" s="52">
        <f t="shared" si="15"/>
        <v>185.54537037037039</v>
      </c>
      <c r="J27" s="7">
        <f t="shared" si="16"/>
        <v>185.54537037037039</v>
      </c>
      <c r="K27" s="52">
        <f t="shared" si="17"/>
        <v>269.1648148148148</v>
      </c>
      <c r="L27" s="17">
        <f t="shared" si="18"/>
        <v>269.1648148148148</v>
      </c>
      <c r="N27" s="98">
        <f t="shared" si="13"/>
        <v>0</v>
      </c>
      <c r="O27" s="70">
        <f t="shared" si="14"/>
        <v>0</v>
      </c>
      <c r="P27" s="71">
        <f t="shared" si="7"/>
        <v>0</v>
      </c>
      <c r="Q27" s="71">
        <f t="shared" si="19"/>
        <v>0</v>
      </c>
      <c r="R27" s="71">
        <f t="shared" si="20"/>
        <v>0</v>
      </c>
      <c r="Y27" s="53"/>
    </row>
    <row r="28" spans="1:25" x14ac:dyDescent="0.25">
      <c r="A28" s="6">
        <v>33525</v>
      </c>
      <c r="B28" s="51">
        <v>35</v>
      </c>
      <c r="C28" s="51">
        <v>83</v>
      </c>
      <c r="D28" s="51">
        <v>87.022999999999996</v>
      </c>
      <c r="E28" s="51">
        <f>D28-1.483</f>
        <v>85.539999999999992</v>
      </c>
      <c r="F28" s="50">
        <f t="shared" si="11"/>
        <v>122.023</v>
      </c>
      <c r="G28" s="50">
        <f t="shared" si="12"/>
        <v>168.54</v>
      </c>
      <c r="H28" s="51"/>
      <c r="I28" s="52">
        <f t="shared" si="15"/>
        <v>142.06805555555553</v>
      </c>
      <c r="J28" s="7">
        <f t="shared" si="16"/>
        <v>142.06805555555553</v>
      </c>
      <c r="K28" s="52">
        <f t="shared" si="17"/>
        <v>193.39027777777775</v>
      </c>
      <c r="L28" s="17">
        <f t="shared" si="18"/>
        <v>193.39027777777775</v>
      </c>
      <c r="N28" s="98">
        <f t="shared" si="13"/>
        <v>0</v>
      </c>
      <c r="O28" s="70">
        <f t="shared" si="14"/>
        <v>0</v>
      </c>
      <c r="P28" s="71">
        <f t="shared" si="7"/>
        <v>0</v>
      </c>
      <c r="Q28" s="71">
        <f t="shared" si="19"/>
        <v>0</v>
      </c>
      <c r="R28" s="71">
        <f t="shared" si="20"/>
        <v>0</v>
      </c>
      <c r="Y28" s="53"/>
    </row>
    <row r="29" spans="1:25" x14ac:dyDescent="0.25">
      <c r="A29" s="6">
        <v>33533.4</v>
      </c>
      <c r="B29" s="51">
        <v>38</v>
      </c>
      <c r="C29" s="51">
        <v>92</v>
      </c>
      <c r="D29" s="51">
        <v>71.974000000000004</v>
      </c>
      <c r="E29" s="51">
        <f>D29-1.348</f>
        <v>70.626000000000005</v>
      </c>
      <c r="F29" s="50">
        <f t="shared" si="11"/>
        <v>109.974</v>
      </c>
      <c r="G29" s="50">
        <f t="shared" si="12"/>
        <v>162.626</v>
      </c>
      <c r="H29" s="51"/>
      <c r="I29" s="52">
        <f t="shared" si="15"/>
        <v>36.088422222228481</v>
      </c>
      <c r="J29" s="7">
        <f t="shared" si="16"/>
        <v>36.088422222228481</v>
      </c>
      <c r="K29" s="52">
        <f t="shared" si="17"/>
        <v>51.514711111120036</v>
      </c>
      <c r="L29" s="17">
        <f t="shared" si="18"/>
        <v>51.514711111120036</v>
      </c>
      <c r="N29" s="98">
        <f t="shared" si="13"/>
        <v>0</v>
      </c>
      <c r="O29" s="70">
        <f t="shared" si="14"/>
        <v>0</v>
      </c>
      <c r="P29" s="71">
        <f t="shared" si="7"/>
        <v>0</v>
      </c>
      <c r="Q29" s="71">
        <f t="shared" si="19"/>
        <v>0</v>
      </c>
      <c r="R29" s="71">
        <f t="shared" si="20"/>
        <v>0</v>
      </c>
      <c r="Y29" s="53"/>
    </row>
    <row r="30" spans="1:25" x14ac:dyDescent="0.25">
      <c r="A30" s="6">
        <v>33550</v>
      </c>
      <c r="B30" s="51">
        <v>16</v>
      </c>
      <c r="C30" s="51">
        <v>64</v>
      </c>
      <c r="D30" s="51">
        <v>57.094999999999999</v>
      </c>
      <c r="E30" s="51">
        <f>D30-4.822</f>
        <v>52.272999999999996</v>
      </c>
      <c r="F30" s="50">
        <f t="shared" si="11"/>
        <v>73.094999999999999</v>
      </c>
      <c r="G30" s="50">
        <f t="shared" si="12"/>
        <v>116.273</v>
      </c>
      <c r="H30" s="62"/>
      <c r="I30" s="52">
        <f t="shared" si="15"/>
        <v>56.276766666661743</v>
      </c>
      <c r="J30" s="7">
        <f t="shared" si="16"/>
        <v>56.276766666661743</v>
      </c>
      <c r="K30" s="52">
        <f t="shared" si="17"/>
        <v>85.735618518511004</v>
      </c>
      <c r="L30" s="17">
        <f t="shared" si="18"/>
        <v>85.735618518511004</v>
      </c>
      <c r="N30" s="98">
        <f t="shared" si="13"/>
        <v>0</v>
      </c>
      <c r="O30" s="70">
        <f t="shared" si="14"/>
        <v>0</v>
      </c>
      <c r="P30" s="71">
        <f t="shared" si="7"/>
        <v>0</v>
      </c>
      <c r="Q30" s="71">
        <f t="shared" si="19"/>
        <v>0</v>
      </c>
      <c r="R30" s="71">
        <f t="shared" si="20"/>
        <v>0</v>
      </c>
      <c r="Y30" s="53"/>
    </row>
    <row r="31" spans="1:25" x14ac:dyDescent="0.25">
      <c r="A31" s="6">
        <v>33575</v>
      </c>
      <c r="B31" s="51">
        <v>15</v>
      </c>
      <c r="C31" s="51">
        <v>73</v>
      </c>
      <c r="D31" s="51">
        <v>94.448999999999998</v>
      </c>
      <c r="E31" s="51">
        <f>D31-6.669</f>
        <v>87.78</v>
      </c>
      <c r="F31" s="50">
        <f t="shared" si="11"/>
        <v>109.449</v>
      </c>
      <c r="G31" s="50">
        <f t="shared" si="12"/>
        <v>160.78</v>
      </c>
      <c r="H31" s="51"/>
      <c r="I31" s="52">
        <f t="shared" si="15"/>
        <v>84.511111111111106</v>
      </c>
      <c r="J31" s="7">
        <f t="shared" si="16"/>
        <v>84.511111111111106</v>
      </c>
      <c r="K31" s="52">
        <f t="shared" si="17"/>
        <v>128.26527777777778</v>
      </c>
      <c r="L31" s="17">
        <f t="shared" si="18"/>
        <v>128.26527777777778</v>
      </c>
      <c r="N31" s="98">
        <f t="shared" si="13"/>
        <v>0</v>
      </c>
      <c r="O31" s="70">
        <f t="shared" si="14"/>
        <v>0</v>
      </c>
      <c r="P31" s="71">
        <f t="shared" si="7"/>
        <v>0</v>
      </c>
      <c r="Q31" s="71">
        <f t="shared" si="19"/>
        <v>0</v>
      </c>
      <c r="R31" s="71">
        <f t="shared" si="20"/>
        <v>0</v>
      </c>
      <c r="Y31" s="53"/>
    </row>
    <row r="32" spans="1:25" x14ac:dyDescent="0.25">
      <c r="A32" s="6">
        <v>33600</v>
      </c>
      <c r="B32" s="51">
        <v>15</v>
      </c>
      <c r="C32" s="51">
        <v>78</v>
      </c>
      <c r="D32" s="51">
        <v>93.31</v>
      </c>
      <c r="E32" s="51">
        <f>D32-7.295</f>
        <v>86.015000000000001</v>
      </c>
      <c r="F32" s="50">
        <f t="shared" si="11"/>
        <v>108.31</v>
      </c>
      <c r="G32" s="50">
        <f t="shared" si="12"/>
        <v>164.01499999999999</v>
      </c>
      <c r="H32" s="51"/>
      <c r="I32" s="52">
        <f t="shared" si="15"/>
        <v>100.81435185185185</v>
      </c>
      <c r="J32" s="7">
        <f t="shared" si="16"/>
        <v>100.81435185185185</v>
      </c>
      <c r="K32" s="52">
        <f t="shared" si="17"/>
        <v>150.36805555555554</v>
      </c>
      <c r="L32" s="17">
        <f t="shared" si="18"/>
        <v>150.36805555555554</v>
      </c>
      <c r="N32" s="98">
        <f t="shared" si="13"/>
        <v>0</v>
      </c>
      <c r="O32" s="70">
        <f t="shared" si="14"/>
        <v>0</v>
      </c>
      <c r="P32" s="71">
        <f t="shared" si="7"/>
        <v>0</v>
      </c>
      <c r="Q32" s="71">
        <f t="shared" si="19"/>
        <v>0</v>
      </c>
      <c r="R32" s="71">
        <f t="shared" si="20"/>
        <v>0</v>
      </c>
      <c r="Y32" s="53"/>
    </row>
    <row r="33" spans="1:25" x14ac:dyDescent="0.25">
      <c r="A33" s="6">
        <v>33625</v>
      </c>
      <c r="B33" s="51">
        <v>15</v>
      </c>
      <c r="C33" s="51">
        <v>71</v>
      </c>
      <c r="D33" s="51">
        <v>115.604</v>
      </c>
      <c r="E33" s="51">
        <f>D33-7.43</f>
        <v>108.17400000000001</v>
      </c>
      <c r="F33" s="50">
        <f t="shared" si="11"/>
        <v>130.60399999999998</v>
      </c>
      <c r="G33" s="50">
        <f t="shared" si="12"/>
        <v>179.17400000000001</v>
      </c>
      <c r="H33" s="51"/>
      <c r="I33" s="52">
        <f t="shared" si="15"/>
        <v>110.60833333333332</v>
      </c>
      <c r="J33" s="7">
        <f t="shared" si="16"/>
        <v>110.60833333333332</v>
      </c>
      <c r="K33" s="52">
        <f t="shared" si="17"/>
        <v>158.88379629629628</v>
      </c>
      <c r="L33" s="17">
        <f t="shared" si="18"/>
        <v>158.88379629629628</v>
      </c>
      <c r="N33" s="98">
        <f t="shared" si="13"/>
        <v>0</v>
      </c>
      <c r="O33" s="70">
        <f t="shared" si="14"/>
        <v>0</v>
      </c>
      <c r="P33" s="71">
        <f t="shared" si="7"/>
        <v>0</v>
      </c>
      <c r="Q33" s="71">
        <f t="shared" si="19"/>
        <v>0</v>
      </c>
      <c r="R33" s="71">
        <f t="shared" si="20"/>
        <v>0</v>
      </c>
    </row>
    <row r="34" spans="1:25" x14ac:dyDescent="0.25">
      <c r="A34" s="12">
        <v>33650</v>
      </c>
      <c r="B34" s="51">
        <v>15</v>
      </c>
      <c r="C34" s="51">
        <v>61</v>
      </c>
      <c r="D34" s="51">
        <v>114</v>
      </c>
      <c r="E34" s="51">
        <f>D34-9.729</f>
        <v>104.271</v>
      </c>
      <c r="F34" s="50">
        <f t="shared" si="11"/>
        <v>129</v>
      </c>
      <c r="G34" s="50">
        <f t="shared" si="12"/>
        <v>165.27100000000002</v>
      </c>
      <c r="H34" s="51"/>
      <c r="I34" s="52">
        <f t="shared" si="15"/>
        <v>120.18703703703703</v>
      </c>
      <c r="J34" s="7">
        <f t="shared" si="16"/>
        <v>120.18703703703703</v>
      </c>
      <c r="K34" s="52">
        <f t="shared" si="17"/>
        <v>159.4652777777778</v>
      </c>
      <c r="L34" s="17">
        <f t="shared" si="18"/>
        <v>159.4652777777778</v>
      </c>
      <c r="N34" s="98">
        <f t="shared" si="13"/>
        <v>0</v>
      </c>
      <c r="O34" s="70">
        <f t="shared" si="14"/>
        <v>0</v>
      </c>
      <c r="P34" s="71">
        <f t="shared" si="7"/>
        <v>0</v>
      </c>
      <c r="Q34" s="71">
        <f t="shared" si="19"/>
        <v>0</v>
      </c>
      <c r="R34" s="71">
        <f t="shared" si="20"/>
        <v>0</v>
      </c>
    </row>
    <row r="35" spans="1:25" x14ac:dyDescent="0.25">
      <c r="A35" s="6">
        <v>33675</v>
      </c>
      <c r="B35" s="51">
        <v>13</v>
      </c>
      <c r="C35" s="51">
        <v>49</v>
      </c>
      <c r="D35" s="51">
        <v>80</v>
      </c>
      <c r="E35" s="51">
        <f>D35-9.011</f>
        <v>70.989000000000004</v>
      </c>
      <c r="F35" s="50">
        <f t="shared" si="11"/>
        <v>93</v>
      </c>
      <c r="G35" s="50">
        <f t="shared" si="12"/>
        <v>119.989</v>
      </c>
      <c r="H35" s="51"/>
      <c r="I35" s="52">
        <f t="shared" si="15"/>
        <v>102.77777777777777</v>
      </c>
      <c r="J35" s="7">
        <f t="shared" si="16"/>
        <v>102.77777777777777</v>
      </c>
      <c r="K35" s="52">
        <f t="shared" si="17"/>
        <v>132.06481481481481</v>
      </c>
      <c r="L35" s="17">
        <f t="shared" si="18"/>
        <v>132.06481481481481</v>
      </c>
      <c r="N35" s="98">
        <f t="shared" si="13"/>
        <v>0</v>
      </c>
      <c r="O35" s="70">
        <f t="shared" si="14"/>
        <v>0</v>
      </c>
      <c r="P35" s="71">
        <f t="shared" si="7"/>
        <v>0</v>
      </c>
      <c r="Q35" s="71">
        <f t="shared" si="19"/>
        <v>0</v>
      </c>
      <c r="R35" s="71">
        <f t="shared" si="20"/>
        <v>0</v>
      </c>
    </row>
    <row r="36" spans="1:25" x14ac:dyDescent="0.25">
      <c r="A36" s="6">
        <v>33700</v>
      </c>
      <c r="B36" s="51">
        <v>12</v>
      </c>
      <c r="C36" s="51">
        <v>38</v>
      </c>
      <c r="D36" s="51">
        <v>81</v>
      </c>
      <c r="E36" s="51">
        <f>D36-3.362</f>
        <v>77.638000000000005</v>
      </c>
      <c r="F36" s="50">
        <f t="shared" si="11"/>
        <v>93</v>
      </c>
      <c r="G36" s="50">
        <f t="shared" si="12"/>
        <v>115.63800000000001</v>
      </c>
      <c r="H36" s="51"/>
      <c r="I36" s="52">
        <f t="shared" si="15"/>
        <v>86.111111111111114</v>
      </c>
      <c r="J36" s="7">
        <f t="shared" si="16"/>
        <v>86.111111111111114</v>
      </c>
      <c r="K36" s="52">
        <f t="shared" si="17"/>
        <v>109.08657407407408</v>
      </c>
      <c r="L36" s="17">
        <f t="shared" si="18"/>
        <v>109.08657407407408</v>
      </c>
      <c r="N36" s="98">
        <f t="shared" si="13"/>
        <v>0</v>
      </c>
      <c r="O36" s="70">
        <f t="shared" si="14"/>
        <v>0</v>
      </c>
      <c r="P36" s="71">
        <f t="shared" si="7"/>
        <v>0</v>
      </c>
      <c r="Q36" s="71">
        <f t="shared" si="19"/>
        <v>0</v>
      </c>
      <c r="R36" s="71">
        <f t="shared" si="20"/>
        <v>0</v>
      </c>
    </row>
    <row r="37" spans="1:25" x14ac:dyDescent="0.25">
      <c r="A37" s="6">
        <v>33725</v>
      </c>
      <c r="B37" s="51">
        <v>13</v>
      </c>
      <c r="C37" s="51">
        <v>17</v>
      </c>
      <c r="D37" s="51">
        <v>59</v>
      </c>
      <c r="E37" s="51">
        <f>D37-6.086</f>
        <v>52.914000000000001</v>
      </c>
      <c r="F37" s="50">
        <f t="shared" si="11"/>
        <v>72</v>
      </c>
      <c r="G37" s="50">
        <f t="shared" si="12"/>
        <v>69.914000000000001</v>
      </c>
      <c r="H37" s="51"/>
      <c r="I37" s="52">
        <f t="shared" si="15"/>
        <v>76.388888888888886</v>
      </c>
      <c r="J37" s="7">
        <f t="shared" si="16"/>
        <v>76.388888888888886</v>
      </c>
      <c r="K37" s="52">
        <f t="shared" si="17"/>
        <v>85.903703703703712</v>
      </c>
      <c r="L37" s="17">
        <f t="shared" si="18"/>
        <v>85.903703703703712</v>
      </c>
      <c r="N37" s="98">
        <f t="shared" si="13"/>
        <v>0</v>
      </c>
      <c r="O37" s="70">
        <f t="shared" si="14"/>
        <v>0</v>
      </c>
      <c r="P37" s="71">
        <f t="shared" si="7"/>
        <v>0</v>
      </c>
      <c r="Q37" s="71">
        <f t="shared" si="19"/>
        <v>0</v>
      </c>
      <c r="R37" s="71">
        <f t="shared" si="20"/>
        <v>0</v>
      </c>
    </row>
    <row r="38" spans="1:25" x14ac:dyDescent="0.25">
      <c r="A38" s="6">
        <v>33750</v>
      </c>
      <c r="B38" s="51">
        <v>13</v>
      </c>
      <c r="C38" s="51">
        <v>16</v>
      </c>
      <c r="D38" s="51">
        <v>73.891000000000005</v>
      </c>
      <c r="E38" s="51">
        <f>D38-2.755</f>
        <v>71.13600000000001</v>
      </c>
      <c r="F38" s="50">
        <f t="shared" si="11"/>
        <v>86.891000000000005</v>
      </c>
      <c r="G38" s="50">
        <f t="shared" si="12"/>
        <v>87.13600000000001</v>
      </c>
      <c r="H38" s="51"/>
      <c r="I38" s="52">
        <f t="shared" si="15"/>
        <v>73.560648148148161</v>
      </c>
      <c r="J38" s="7">
        <f t="shared" si="16"/>
        <v>73.560648148148161</v>
      </c>
      <c r="K38" s="52">
        <f t="shared" si="17"/>
        <v>72.708333333333343</v>
      </c>
      <c r="L38" s="17">
        <f t="shared" si="18"/>
        <v>72.708333333333343</v>
      </c>
      <c r="N38" s="98">
        <f t="shared" si="13"/>
        <v>0</v>
      </c>
      <c r="O38" s="70">
        <f t="shared" si="14"/>
        <v>0</v>
      </c>
      <c r="P38" s="71">
        <f t="shared" si="7"/>
        <v>0</v>
      </c>
      <c r="Q38" s="71">
        <f t="shared" si="19"/>
        <v>0</v>
      </c>
      <c r="R38" s="71">
        <f t="shared" si="20"/>
        <v>0</v>
      </c>
    </row>
    <row r="39" spans="1:25" x14ac:dyDescent="0.25">
      <c r="A39" s="6">
        <v>33775</v>
      </c>
      <c r="B39" s="51">
        <v>13</v>
      </c>
      <c r="C39" s="51">
        <v>11</v>
      </c>
      <c r="D39" s="51">
        <v>42.625</v>
      </c>
      <c r="E39" s="51">
        <f>D39</f>
        <v>42.625</v>
      </c>
      <c r="F39" s="50">
        <f t="shared" si="11"/>
        <v>55.625</v>
      </c>
      <c r="G39" s="50">
        <f t="shared" si="12"/>
        <v>53.625</v>
      </c>
      <c r="H39" s="51"/>
      <c r="I39" s="52">
        <f t="shared" si="15"/>
        <v>65.979629629629642</v>
      </c>
      <c r="J39" s="7">
        <f t="shared" si="16"/>
        <v>65.979629629629642</v>
      </c>
      <c r="K39" s="52">
        <f t="shared" si="17"/>
        <v>65.167129629629642</v>
      </c>
      <c r="L39" s="17">
        <f t="shared" si="18"/>
        <v>65.167129629629642</v>
      </c>
      <c r="N39" s="98">
        <f t="shared" si="13"/>
        <v>0</v>
      </c>
      <c r="O39" s="70">
        <f t="shared" si="14"/>
        <v>0</v>
      </c>
      <c r="P39" s="71">
        <f>O39</f>
        <v>0</v>
      </c>
      <c r="Q39" s="71">
        <f t="shared" si="19"/>
        <v>0</v>
      </c>
      <c r="R39" s="71">
        <f t="shared" si="20"/>
        <v>0</v>
      </c>
    </row>
    <row r="40" spans="1:25" x14ac:dyDescent="0.25">
      <c r="A40" s="6">
        <v>33800</v>
      </c>
      <c r="B40" s="51">
        <v>12</v>
      </c>
      <c r="C40" s="51">
        <v>2</v>
      </c>
      <c r="D40" s="51"/>
      <c r="E40" s="51"/>
      <c r="F40" s="50">
        <f t="shared" si="11"/>
        <v>12</v>
      </c>
      <c r="G40" s="50">
        <f t="shared" si="12"/>
        <v>2</v>
      </c>
      <c r="H40" s="51"/>
      <c r="I40" s="52">
        <f t="shared" ref="I40:I43" si="21">((F40+F39)/2*(A40-A39))/27</f>
        <v>31.30787037037037</v>
      </c>
      <c r="J40" s="7">
        <f>I40</f>
        <v>31.30787037037037</v>
      </c>
      <c r="K40" s="52">
        <f t="shared" ref="K40:K43" si="22">((G40+G39)/2*(A40-A39))/27</f>
        <v>25.752314814814813</v>
      </c>
      <c r="L40" s="17">
        <f t="shared" ref="L40:L43" si="23">K40</f>
        <v>25.752314814814813</v>
      </c>
      <c r="N40" s="98">
        <f t="shared" si="13"/>
        <v>0</v>
      </c>
      <c r="O40" s="70">
        <f t="shared" si="14"/>
        <v>0</v>
      </c>
      <c r="P40" s="71">
        <f t="shared" si="7"/>
        <v>0</v>
      </c>
      <c r="Q40" s="71">
        <f t="shared" si="19"/>
        <v>0</v>
      </c>
      <c r="R40" s="71">
        <f t="shared" si="20"/>
        <v>0</v>
      </c>
    </row>
    <row r="41" spans="1:25" x14ac:dyDescent="0.25">
      <c r="A41" s="12">
        <v>33828.89</v>
      </c>
      <c r="B41" s="51">
        <v>11</v>
      </c>
      <c r="C41" s="51">
        <v>0</v>
      </c>
      <c r="D41" s="51"/>
      <c r="E41" s="51"/>
      <c r="F41" s="50">
        <f t="shared" si="11"/>
        <v>11</v>
      </c>
      <c r="G41" s="50">
        <f t="shared" si="12"/>
        <v>0</v>
      </c>
      <c r="H41" s="51"/>
      <c r="I41" s="52">
        <f t="shared" si="21"/>
        <v>12.304999999999753</v>
      </c>
      <c r="J41" s="7">
        <f t="shared" ref="J41:J43" si="24">I41</f>
        <v>12.304999999999753</v>
      </c>
      <c r="K41" s="52">
        <f t="shared" si="22"/>
        <v>1.0699999999999785</v>
      </c>
      <c r="L41" s="17">
        <f t="shared" si="23"/>
        <v>1.0699999999999785</v>
      </c>
      <c r="N41" s="98">
        <f t="shared" si="13"/>
        <v>0</v>
      </c>
      <c r="O41" s="70">
        <f t="shared" si="14"/>
        <v>0</v>
      </c>
      <c r="P41" s="71">
        <f t="shared" si="7"/>
        <v>0</v>
      </c>
      <c r="Q41" s="71">
        <f t="shared" si="19"/>
        <v>0</v>
      </c>
      <c r="R41" s="71">
        <f t="shared" si="20"/>
        <v>0</v>
      </c>
    </row>
    <row r="42" spans="1:25" x14ac:dyDescent="0.25">
      <c r="A42" s="12">
        <v>33850</v>
      </c>
      <c r="B42" s="51">
        <v>14</v>
      </c>
      <c r="C42" s="51">
        <v>0</v>
      </c>
      <c r="D42" s="51"/>
      <c r="E42" s="51"/>
      <c r="F42" s="50">
        <f t="shared" si="11"/>
        <v>14</v>
      </c>
      <c r="G42" s="50">
        <f t="shared" si="12"/>
        <v>0</v>
      </c>
      <c r="H42" s="51"/>
      <c r="I42" s="52">
        <f t="shared" si="21"/>
        <v>9.773148148148417</v>
      </c>
      <c r="J42" s="7">
        <f>I42</f>
        <v>9.773148148148417</v>
      </c>
      <c r="K42" s="52">
        <f t="shared" si="22"/>
        <v>0</v>
      </c>
      <c r="L42" s="17">
        <f t="shared" si="23"/>
        <v>0</v>
      </c>
      <c r="N42" s="98">
        <f t="shared" si="13"/>
        <v>0</v>
      </c>
      <c r="O42" s="70">
        <f t="shared" si="14"/>
        <v>0</v>
      </c>
      <c r="P42" s="71">
        <f t="shared" si="7"/>
        <v>0</v>
      </c>
      <c r="Q42" s="71">
        <f t="shared" si="19"/>
        <v>0</v>
      </c>
      <c r="R42" s="71">
        <f t="shared" si="20"/>
        <v>0</v>
      </c>
    </row>
    <row r="43" spans="1:25" x14ac:dyDescent="0.25">
      <c r="A43" s="12">
        <v>33875</v>
      </c>
      <c r="B43" s="108">
        <v>9</v>
      </c>
      <c r="C43" s="108">
        <v>0</v>
      </c>
      <c r="D43" s="51"/>
      <c r="E43" s="51"/>
      <c r="F43" s="110">
        <f t="shared" si="11"/>
        <v>9</v>
      </c>
      <c r="G43" s="110">
        <f t="shared" si="12"/>
        <v>0</v>
      </c>
      <c r="H43" s="51"/>
      <c r="I43" s="52">
        <f t="shared" si="21"/>
        <v>10.648148148148149</v>
      </c>
      <c r="J43" s="7">
        <f t="shared" si="24"/>
        <v>10.648148148148149</v>
      </c>
      <c r="K43" s="52">
        <f t="shared" si="22"/>
        <v>0</v>
      </c>
      <c r="L43" s="17">
        <f t="shared" si="23"/>
        <v>0</v>
      </c>
      <c r="N43" s="101"/>
      <c r="O43" s="77"/>
      <c r="P43" s="78"/>
      <c r="Q43" s="78"/>
      <c r="R43" s="78"/>
    </row>
    <row r="44" spans="1:25" x14ac:dyDescent="0.25">
      <c r="A44" s="12">
        <v>33885.300000000003</v>
      </c>
      <c r="B44" s="108">
        <v>0</v>
      </c>
      <c r="C44" s="108">
        <v>0</v>
      </c>
      <c r="D44" s="111"/>
      <c r="E44" s="111"/>
      <c r="F44" s="110">
        <f t="shared" si="11"/>
        <v>0</v>
      </c>
      <c r="G44" s="110">
        <f t="shared" si="12"/>
        <v>0</v>
      </c>
      <c r="H44" s="111"/>
      <c r="I44" s="111"/>
      <c r="J44" s="2"/>
      <c r="K44" s="13"/>
      <c r="L44" s="20"/>
      <c r="N44" s="101"/>
      <c r="O44" s="77"/>
      <c r="P44" s="78"/>
      <c r="Q44" s="78"/>
      <c r="R44" s="78"/>
    </row>
    <row r="45" spans="1:25" x14ac:dyDescent="0.25">
      <c r="A45" s="12">
        <v>33900</v>
      </c>
      <c r="B45" s="108">
        <v>0</v>
      </c>
      <c r="C45" s="108">
        <v>0</v>
      </c>
      <c r="D45" s="57"/>
      <c r="E45" s="57"/>
      <c r="F45" s="112">
        <f t="shared" si="11"/>
        <v>0</v>
      </c>
      <c r="G45" s="112">
        <f t="shared" si="12"/>
        <v>0</v>
      </c>
      <c r="H45" s="57"/>
      <c r="I45" s="57"/>
      <c r="J45" s="13"/>
      <c r="K45" s="13"/>
      <c r="L45" s="20"/>
      <c r="N45" s="101"/>
      <c r="O45" s="77"/>
      <c r="P45" s="78"/>
      <c r="Q45" s="78"/>
      <c r="R45" s="78"/>
    </row>
    <row r="46" spans="1:25" ht="15.75" thickBot="1" x14ac:dyDescent="0.3">
      <c r="A46" s="12">
        <v>33925</v>
      </c>
      <c r="B46" s="108">
        <v>0</v>
      </c>
      <c r="C46" s="108">
        <v>0</v>
      </c>
      <c r="D46" s="57"/>
      <c r="E46" s="57"/>
      <c r="F46" s="112">
        <f t="shared" si="11"/>
        <v>0</v>
      </c>
      <c r="G46" s="112">
        <f t="shared" si="12"/>
        <v>0</v>
      </c>
      <c r="H46" s="57"/>
      <c r="I46" s="57"/>
      <c r="J46" s="13"/>
      <c r="K46" s="13"/>
      <c r="L46" s="20"/>
      <c r="N46" s="99"/>
      <c r="O46" s="72"/>
      <c r="P46" s="73"/>
      <c r="Q46" s="73"/>
      <c r="R46" s="73"/>
      <c r="Y46" s="53"/>
    </row>
    <row r="47" spans="1:25" ht="31.5" customHeight="1" thickBot="1" x14ac:dyDescent="0.3">
      <c r="A47" s="134" t="s">
        <v>7</v>
      </c>
      <c r="B47" s="135"/>
      <c r="C47" s="135"/>
      <c r="D47" s="109"/>
      <c r="E47" s="109"/>
      <c r="F47" s="109"/>
      <c r="G47" s="109"/>
      <c r="H47" s="109"/>
      <c r="I47" s="109"/>
      <c r="J47" s="21">
        <f>SUM(J6:J46)</f>
        <v>3066.1326927777764</v>
      </c>
      <c r="K47" s="21"/>
      <c r="L47" s="22">
        <f>SUM(L6:L46)</f>
        <v>3826.1482490740682</v>
      </c>
      <c r="N47" s="102"/>
      <c r="O47" s="79"/>
      <c r="P47" s="80">
        <f>SUM(P6:P46)</f>
        <v>219.66277777777822</v>
      </c>
      <c r="Q47" s="80">
        <f t="shared" ref="Q47:R47" si="25">SUM(Q6:Q46)</f>
        <v>219.66277777777822</v>
      </c>
      <c r="R47" s="80">
        <f t="shared" si="25"/>
        <v>658.98833333333459</v>
      </c>
    </row>
    <row r="48" spans="1:25" x14ac:dyDescent="0.25">
      <c r="J48" s="1"/>
      <c r="K48" s="1"/>
      <c r="L48" s="1"/>
      <c r="N48" s="1"/>
      <c r="O48" s="1"/>
      <c r="P48" s="1"/>
      <c r="Q48" s="1"/>
      <c r="R48" s="1"/>
      <c r="Y48" s="1"/>
    </row>
  </sheetData>
  <mergeCells count="12">
    <mergeCell ref="A1:L1"/>
    <mergeCell ref="T4:W4"/>
    <mergeCell ref="J2:L2"/>
    <mergeCell ref="P2:R2"/>
    <mergeCell ref="A47:C47"/>
    <mergeCell ref="A2:A4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orientation="portrait" horizontalDpi="300" r:id="rId1"/>
  <headerFooter>
    <oddFooter>&amp;C_x000D_&amp;1#&amp;"Calibri"&amp;10&amp;K000000 Mott MacDonald Restricted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9FD0-7537-4F77-834E-1B78FDB81BC4}">
  <dimension ref="A1:K49"/>
  <sheetViews>
    <sheetView tabSelected="1" zoomScale="85" zoomScaleNormal="85" workbookViewId="0">
      <pane ySplit="4" topLeftCell="A5" activePane="bottomLeft" state="frozen"/>
      <selection pane="bottomLeft" activeCell="D47" sqref="A1:D47"/>
    </sheetView>
  </sheetViews>
  <sheetFormatPr defaultRowHeight="15" x14ac:dyDescent="0.25"/>
  <cols>
    <col min="1" max="1" width="12.7109375" bestFit="1" customWidth="1"/>
    <col min="2" max="2" width="8.5703125" style="59" bestFit="1" customWidth="1"/>
    <col min="3" max="4" width="10.7109375" style="61" customWidth="1"/>
    <col min="7" max="7" width="29.7109375" customWidth="1"/>
    <col min="10" max="10" width="128.28515625" customWidth="1"/>
    <col min="11" max="11" width="12.140625" customWidth="1"/>
  </cols>
  <sheetData>
    <row r="1" spans="1:11" ht="15.75" thickBot="1" x14ac:dyDescent="0.3">
      <c r="A1" s="123" t="s">
        <v>50</v>
      </c>
      <c r="B1" s="124"/>
      <c r="C1" s="124"/>
      <c r="D1" s="125"/>
    </row>
    <row r="2" spans="1:11" ht="15" customHeight="1" x14ac:dyDescent="0.25">
      <c r="A2" s="136" t="s">
        <v>3</v>
      </c>
      <c r="B2" s="141" t="s">
        <v>10</v>
      </c>
      <c r="C2" s="141" t="s">
        <v>48</v>
      </c>
      <c r="D2" s="147" t="s">
        <v>21</v>
      </c>
      <c r="F2" s="65">
        <v>659</v>
      </c>
      <c r="G2" s="64" t="s">
        <v>44</v>
      </c>
      <c r="H2" s="89">
        <f>D47</f>
        <v>2233.4494444444463</v>
      </c>
      <c r="I2" s="65" t="s">
        <v>21</v>
      </c>
    </row>
    <row r="3" spans="1:11" ht="15.75" thickBot="1" x14ac:dyDescent="0.3">
      <c r="A3" s="137"/>
      <c r="B3" s="145"/>
      <c r="C3" s="145"/>
      <c r="D3" s="148"/>
      <c r="K3" s="47"/>
    </row>
    <row r="4" spans="1:11" ht="15.75" thickBot="1" x14ac:dyDescent="0.3">
      <c r="A4" s="138"/>
      <c r="B4" s="146"/>
      <c r="C4" s="146"/>
      <c r="D4" s="149"/>
      <c r="F4" s="126" t="s">
        <v>33</v>
      </c>
      <c r="G4" s="127"/>
      <c r="H4" s="127"/>
      <c r="I4" s="128"/>
      <c r="J4" s="46" t="s">
        <v>34</v>
      </c>
    </row>
    <row r="5" spans="1:11" x14ac:dyDescent="0.25">
      <c r="A5" s="4">
        <v>32600</v>
      </c>
      <c r="B5" s="49">
        <v>0</v>
      </c>
      <c r="C5" s="50"/>
      <c r="D5" s="83"/>
      <c r="F5" s="36">
        <v>659</v>
      </c>
      <c r="G5" s="39" t="s">
        <v>14</v>
      </c>
      <c r="H5" s="7">
        <f>+H2*(111/1000)</f>
        <v>247.91288833333354</v>
      </c>
      <c r="I5" s="41" t="s">
        <v>20</v>
      </c>
      <c r="J5" s="45" t="s">
        <v>27</v>
      </c>
    </row>
    <row r="6" spans="1:11" x14ac:dyDescent="0.25">
      <c r="A6" s="6">
        <v>32610</v>
      </c>
      <c r="B6" s="51">
        <v>6</v>
      </c>
      <c r="C6" s="51">
        <f t="shared" ref="C6:C22" si="0">((A6-A5)/2)*(B6+B5)</f>
        <v>30</v>
      </c>
      <c r="D6" s="84">
        <f>C6/9</f>
        <v>3.3333333333333335</v>
      </c>
      <c r="F6" s="36">
        <v>659</v>
      </c>
      <c r="G6" s="39" t="s">
        <v>15</v>
      </c>
      <c r="H6" s="7">
        <f>0.05*H2</f>
        <v>111.67247222222232</v>
      </c>
      <c r="I6" s="41" t="s">
        <v>21</v>
      </c>
      <c r="J6" s="43" t="s">
        <v>28</v>
      </c>
    </row>
    <row r="7" spans="1:11" x14ac:dyDescent="0.25">
      <c r="A7" s="6">
        <v>32625</v>
      </c>
      <c r="B7" s="51">
        <v>6</v>
      </c>
      <c r="C7" s="51">
        <f t="shared" si="0"/>
        <v>90</v>
      </c>
      <c r="D7" s="84">
        <f t="shared" ref="D7:D21" si="1">C7/9</f>
        <v>10</v>
      </c>
      <c r="F7" s="36">
        <v>659</v>
      </c>
      <c r="G7" s="39" t="s">
        <v>16</v>
      </c>
      <c r="H7" s="7">
        <f>0.05*H2</f>
        <v>111.67247222222232</v>
      </c>
      <c r="I7" s="41" t="s">
        <v>21</v>
      </c>
      <c r="J7" s="43" t="s">
        <v>28</v>
      </c>
    </row>
    <row r="8" spans="1:11" x14ac:dyDescent="0.25">
      <c r="A8" s="6">
        <v>32650</v>
      </c>
      <c r="B8" s="51">
        <v>6</v>
      </c>
      <c r="C8" s="51">
        <f t="shared" si="0"/>
        <v>150</v>
      </c>
      <c r="D8" s="84">
        <f t="shared" si="1"/>
        <v>16.666666666666668</v>
      </c>
      <c r="F8" s="36">
        <v>659</v>
      </c>
      <c r="G8" s="39" t="s">
        <v>17</v>
      </c>
      <c r="H8" s="37">
        <f>(+H2*((30/1000)*(9)*(1/2000)))+(H7*((20/1000)*9*(1/2000)))</f>
        <v>0.31156619750000025</v>
      </c>
      <c r="I8" s="41" t="s">
        <v>22</v>
      </c>
      <c r="J8" s="43" t="s">
        <v>29</v>
      </c>
    </row>
    <row r="9" spans="1:11" x14ac:dyDescent="0.25">
      <c r="A9" s="6">
        <v>32675</v>
      </c>
      <c r="B9" s="51">
        <v>6</v>
      </c>
      <c r="C9" s="51">
        <f t="shared" si="0"/>
        <v>150</v>
      </c>
      <c r="D9" s="84">
        <f t="shared" si="1"/>
        <v>16.666666666666668</v>
      </c>
      <c r="F9" s="36">
        <v>659</v>
      </c>
      <c r="G9" s="39" t="s">
        <v>18</v>
      </c>
      <c r="H9" s="37">
        <f>+H2*(9/43560)</f>
        <v>0.46145649678604261</v>
      </c>
      <c r="I9" s="41" t="s">
        <v>23</v>
      </c>
      <c r="J9" s="43" t="s">
        <v>30</v>
      </c>
    </row>
    <row r="10" spans="1:11" x14ac:dyDescent="0.25">
      <c r="A10" s="6">
        <v>32700</v>
      </c>
      <c r="B10" s="51">
        <v>6</v>
      </c>
      <c r="C10" s="51">
        <f t="shared" si="0"/>
        <v>150</v>
      </c>
      <c r="D10" s="84">
        <f t="shared" si="1"/>
        <v>16.666666666666668</v>
      </c>
      <c r="F10" s="36">
        <v>659</v>
      </c>
      <c r="G10" s="39" t="s">
        <v>19</v>
      </c>
      <c r="H10" s="27">
        <f>2*((0.3)*H2)*(9/1000)</f>
        <v>12.060627000000007</v>
      </c>
      <c r="I10" s="41" t="s">
        <v>24</v>
      </c>
      <c r="J10" s="43" t="s">
        <v>31</v>
      </c>
    </row>
    <row r="11" spans="1:11" ht="15.75" thickBot="1" x14ac:dyDescent="0.3">
      <c r="A11" s="6">
        <v>32725</v>
      </c>
      <c r="B11" s="51">
        <v>7</v>
      </c>
      <c r="C11" s="51">
        <f t="shared" si="0"/>
        <v>162.5</v>
      </c>
      <c r="D11" s="84">
        <f t="shared" si="1"/>
        <v>18.055555555555557</v>
      </c>
      <c r="F11" s="119">
        <v>659</v>
      </c>
      <c r="G11" s="120" t="s">
        <v>25</v>
      </c>
      <c r="H11" s="55">
        <f>+(H2*0.25*(9/1000))*3</f>
        <v>15.07578375000001</v>
      </c>
      <c r="I11" s="121" t="s">
        <v>26</v>
      </c>
      <c r="J11" s="122" t="s">
        <v>32</v>
      </c>
    </row>
    <row r="12" spans="1:11" x14ac:dyDescent="0.25">
      <c r="A12" s="6">
        <v>32750</v>
      </c>
      <c r="B12" s="51">
        <v>8</v>
      </c>
      <c r="C12" s="51">
        <f t="shared" si="0"/>
        <v>187.5</v>
      </c>
      <c r="D12" s="84">
        <f t="shared" si="1"/>
        <v>20.833333333333332</v>
      </c>
    </row>
    <row r="13" spans="1:11" x14ac:dyDescent="0.25">
      <c r="A13" s="6">
        <v>32775</v>
      </c>
      <c r="B13" s="51">
        <v>10</v>
      </c>
      <c r="C13" s="51">
        <f t="shared" si="0"/>
        <v>225</v>
      </c>
      <c r="D13" s="84">
        <f t="shared" si="1"/>
        <v>25</v>
      </c>
      <c r="K13" s="53"/>
    </row>
    <row r="14" spans="1:11" x14ac:dyDescent="0.25">
      <c r="A14" s="6">
        <v>32800</v>
      </c>
      <c r="B14" s="51">
        <v>13</v>
      </c>
      <c r="C14" s="51">
        <f t="shared" si="0"/>
        <v>287.5</v>
      </c>
      <c r="D14" s="84">
        <f t="shared" si="1"/>
        <v>31.944444444444443</v>
      </c>
    </row>
    <row r="15" spans="1:11" x14ac:dyDescent="0.25">
      <c r="A15" s="6">
        <v>32825</v>
      </c>
      <c r="B15" s="51">
        <v>25</v>
      </c>
      <c r="C15" s="51">
        <f t="shared" si="0"/>
        <v>475</v>
      </c>
      <c r="D15" s="84">
        <f t="shared" si="1"/>
        <v>52.777777777777779</v>
      </c>
      <c r="K15" s="53"/>
    </row>
    <row r="16" spans="1:11" x14ac:dyDescent="0.25">
      <c r="A16" s="6">
        <v>32850</v>
      </c>
      <c r="B16" s="51">
        <v>27</v>
      </c>
      <c r="C16" s="51">
        <f t="shared" si="0"/>
        <v>650</v>
      </c>
      <c r="D16" s="84">
        <f t="shared" si="1"/>
        <v>72.222222222222229</v>
      </c>
    </row>
    <row r="17" spans="1:11" x14ac:dyDescent="0.25">
      <c r="A17" s="6">
        <v>32875</v>
      </c>
      <c r="B17" s="51">
        <v>28</v>
      </c>
      <c r="C17" s="51">
        <f t="shared" si="0"/>
        <v>687.5</v>
      </c>
      <c r="D17" s="84">
        <f t="shared" si="1"/>
        <v>76.388888888888886</v>
      </c>
      <c r="K17" s="53"/>
    </row>
    <row r="18" spans="1:11" x14ac:dyDescent="0.25">
      <c r="A18" s="6">
        <v>32900</v>
      </c>
      <c r="B18" s="51">
        <v>36</v>
      </c>
      <c r="C18" s="51">
        <f t="shared" si="0"/>
        <v>800</v>
      </c>
      <c r="D18" s="84">
        <f t="shared" si="1"/>
        <v>88.888888888888886</v>
      </c>
    </row>
    <row r="19" spans="1:11" x14ac:dyDescent="0.25">
      <c r="A19" s="6">
        <v>32925</v>
      </c>
      <c r="B19" s="51">
        <v>52</v>
      </c>
      <c r="C19" s="51">
        <f t="shared" si="0"/>
        <v>1100</v>
      </c>
      <c r="D19" s="84">
        <f t="shared" si="1"/>
        <v>122.22222222222223</v>
      </c>
      <c r="E19" t="s">
        <v>51</v>
      </c>
      <c r="K19" s="53"/>
    </row>
    <row r="20" spans="1:11" x14ac:dyDescent="0.25">
      <c r="A20" s="6">
        <v>32942.449999999997</v>
      </c>
      <c r="B20" s="51">
        <v>60</v>
      </c>
      <c r="C20" s="51">
        <f t="shared" si="0"/>
        <v>977.19999999983702</v>
      </c>
      <c r="D20" s="84">
        <f t="shared" si="1"/>
        <v>108.57777777775966</v>
      </c>
    </row>
    <row r="21" spans="1:11" x14ac:dyDescent="0.25">
      <c r="A21" s="6">
        <v>32960.76</v>
      </c>
      <c r="B21" s="51">
        <v>82</v>
      </c>
      <c r="C21" s="51">
        <f t="shared" si="0"/>
        <v>1300.0100000003513</v>
      </c>
      <c r="D21" s="84">
        <f t="shared" si="1"/>
        <v>144.44555555559458</v>
      </c>
      <c r="K21" s="53"/>
    </row>
    <row r="22" spans="1:11" ht="15.75" thickBot="1" x14ac:dyDescent="0.3">
      <c r="A22" s="54">
        <v>32981</v>
      </c>
      <c r="B22" s="55">
        <v>54</v>
      </c>
      <c r="C22" s="55">
        <f t="shared" si="0"/>
        <v>1376.3199999998615</v>
      </c>
      <c r="D22" s="85">
        <f>C22/9</f>
        <v>152.92444444442904</v>
      </c>
      <c r="K22" s="53"/>
    </row>
    <row r="23" spans="1:11" x14ac:dyDescent="0.25">
      <c r="A23" s="4">
        <v>33380.28</v>
      </c>
      <c r="B23" s="49">
        <v>9</v>
      </c>
      <c r="C23" s="49"/>
      <c r="D23" s="87"/>
    </row>
    <row r="24" spans="1:11" x14ac:dyDescent="0.25">
      <c r="A24" s="6">
        <v>33410.28</v>
      </c>
      <c r="B24" s="51">
        <v>7</v>
      </c>
      <c r="C24" s="86">
        <f t="shared" ref="C24:C43" si="2">((A24-A23)/2)*(B24+B23)</f>
        <v>240</v>
      </c>
      <c r="D24" s="88">
        <f>C24/9</f>
        <v>26.666666666666668</v>
      </c>
      <c r="K24" s="53"/>
    </row>
    <row r="25" spans="1:11" x14ac:dyDescent="0.25">
      <c r="A25" s="6">
        <v>33447.800000000003</v>
      </c>
      <c r="B25" s="51">
        <v>37</v>
      </c>
      <c r="C25" s="86">
        <f t="shared" si="2"/>
        <v>825.44000000008964</v>
      </c>
      <c r="D25" s="88">
        <f t="shared" ref="D25:D40" si="3">C25/9</f>
        <v>91.715555555565516</v>
      </c>
    </row>
    <row r="26" spans="1:11" x14ac:dyDescent="0.25">
      <c r="A26" s="6">
        <v>33475</v>
      </c>
      <c r="B26" s="51">
        <v>44</v>
      </c>
      <c r="C26" s="86">
        <f t="shared" si="2"/>
        <v>1101.5999999998821</v>
      </c>
      <c r="D26" s="88">
        <f t="shared" si="3"/>
        <v>122.3999999999869</v>
      </c>
      <c r="K26" s="53"/>
    </row>
    <row r="27" spans="1:11" x14ac:dyDescent="0.25">
      <c r="A27" s="6">
        <v>33500</v>
      </c>
      <c r="B27" s="51">
        <v>39</v>
      </c>
      <c r="C27" s="86">
        <f t="shared" si="2"/>
        <v>1037.5</v>
      </c>
      <c r="D27" s="88">
        <f t="shared" si="3"/>
        <v>115.27777777777777</v>
      </c>
      <c r="K27" s="53"/>
    </row>
    <row r="28" spans="1:11" x14ac:dyDescent="0.25">
      <c r="A28" s="6">
        <v>33525</v>
      </c>
      <c r="B28" s="51">
        <v>33</v>
      </c>
      <c r="C28" s="86">
        <f t="shared" si="2"/>
        <v>900</v>
      </c>
      <c r="D28" s="88">
        <f t="shared" si="3"/>
        <v>100</v>
      </c>
      <c r="K28" s="53"/>
    </row>
    <row r="29" spans="1:11" x14ac:dyDescent="0.25">
      <c r="A29" s="6">
        <v>33533.5</v>
      </c>
      <c r="B29" s="51">
        <v>31</v>
      </c>
      <c r="C29" s="86">
        <f t="shared" si="2"/>
        <v>272</v>
      </c>
      <c r="D29" s="88">
        <f t="shared" si="3"/>
        <v>30.222222222222221</v>
      </c>
      <c r="K29" s="53"/>
    </row>
    <row r="30" spans="1:11" x14ac:dyDescent="0.25">
      <c r="A30" s="6">
        <v>33550</v>
      </c>
      <c r="B30" s="51">
        <v>24</v>
      </c>
      <c r="C30" s="86">
        <f t="shared" si="2"/>
        <v>453.75</v>
      </c>
      <c r="D30" s="88">
        <f t="shared" si="3"/>
        <v>50.416666666666664</v>
      </c>
      <c r="K30" s="53"/>
    </row>
    <row r="31" spans="1:11" x14ac:dyDescent="0.25">
      <c r="A31" s="6">
        <v>33575</v>
      </c>
      <c r="B31" s="51">
        <v>27</v>
      </c>
      <c r="C31" s="86">
        <f t="shared" si="2"/>
        <v>637.5</v>
      </c>
      <c r="D31" s="88">
        <f t="shared" si="3"/>
        <v>70.833333333333329</v>
      </c>
      <c r="K31" s="53"/>
    </row>
    <row r="32" spans="1:11" x14ac:dyDescent="0.25">
      <c r="A32" s="6">
        <v>33600</v>
      </c>
      <c r="B32" s="51">
        <v>29</v>
      </c>
      <c r="C32" s="86">
        <f t="shared" si="2"/>
        <v>700</v>
      </c>
      <c r="D32" s="88">
        <f t="shared" si="3"/>
        <v>77.777777777777771</v>
      </c>
      <c r="K32" s="53"/>
    </row>
    <row r="33" spans="1:11" x14ac:dyDescent="0.25">
      <c r="A33" s="6">
        <v>33625</v>
      </c>
      <c r="B33" s="51">
        <v>31</v>
      </c>
      <c r="C33" s="86">
        <f t="shared" si="2"/>
        <v>750</v>
      </c>
      <c r="D33" s="88">
        <f t="shared" si="3"/>
        <v>83.333333333333329</v>
      </c>
    </row>
    <row r="34" spans="1:11" x14ac:dyDescent="0.25">
      <c r="A34" s="12">
        <v>33650</v>
      </c>
      <c r="B34" s="51">
        <v>29</v>
      </c>
      <c r="C34" s="86">
        <f t="shared" si="2"/>
        <v>750</v>
      </c>
      <c r="D34" s="88">
        <f t="shared" si="3"/>
        <v>83.333333333333329</v>
      </c>
    </row>
    <row r="35" spans="1:11" x14ac:dyDescent="0.25">
      <c r="A35" s="6">
        <v>33675</v>
      </c>
      <c r="B35" s="51">
        <v>25</v>
      </c>
      <c r="C35" s="86">
        <f t="shared" si="2"/>
        <v>675</v>
      </c>
      <c r="D35" s="88">
        <f t="shared" si="3"/>
        <v>75</v>
      </c>
    </row>
    <row r="36" spans="1:11" x14ac:dyDescent="0.25">
      <c r="A36" s="6">
        <v>33700</v>
      </c>
      <c r="B36" s="51">
        <v>23</v>
      </c>
      <c r="C36" s="86">
        <f t="shared" si="2"/>
        <v>600</v>
      </c>
      <c r="D36" s="88">
        <f t="shared" si="3"/>
        <v>66.666666666666671</v>
      </c>
    </row>
    <row r="37" spans="1:11" x14ac:dyDescent="0.25">
      <c r="A37" s="6">
        <v>33725</v>
      </c>
      <c r="B37" s="51">
        <v>16</v>
      </c>
      <c r="C37" s="86">
        <f t="shared" si="2"/>
        <v>487.5</v>
      </c>
      <c r="D37" s="88">
        <f t="shared" si="3"/>
        <v>54.166666666666664</v>
      </c>
    </row>
    <row r="38" spans="1:11" x14ac:dyDescent="0.25">
      <c r="A38" s="6">
        <v>33750</v>
      </c>
      <c r="B38" s="51">
        <v>23</v>
      </c>
      <c r="C38" s="86">
        <f t="shared" si="2"/>
        <v>487.5</v>
      </c>
      <c r="D38" s="88">
        <f t="shared" si="3"/>
        <v>54.166666666666664</v>
      </c>
    </row>
    <row r="39" spans="1:11" x14ac:dyDescent="0.25">
      <c r="A39" s="6">
        <v>33775</v>
      </c>
      <c r="B39" s="51">
        <v>20</v>
      </c>
      <c r="C39" s="86">
        <f t="shared" si="2"/>
        <v>537.5</v>
      </c>
      <c r="D39" s="88">
        <f t="shared" si="3"/>
        <v>59.722222222222221</v>
      </c>
    </row>
    <row r="40" spans="1:11" x14ac:dyDescent="0.25">
      <c r="A40" s="6">
        <v>33800</v>
      </c>
      <c r="B40" s="51">
        <v>10</v>
      </c>
      <c r="C40" s="86">
        <f t="shared" si="2"/>
        <v>375</v>
      </c>
      <c r="D40" s="88">
        <f t="shared" si="3"/>
        <v>41.666666666666664</v>
      </c>
    </row>
    <row r="41" spans="1:11" x14ac:dyDescent="0.25">
      <c r="A41" s="12">
        <v>33828.89</v>
      </c>
      <c r="B41" s="51">
        <v>6</v>
      </c>
      <c r="C41" s="86">
        <f t="shared" si="2"/>
        <v>231.11999999999534</v>
      </c>
      <c r="D41" s="88">
        <f t="shared" ref="D41:D45" si="4">C41/9</f>
        <v>25.679999999999481</v>
      </c>
    </row>
    <row r="42" spans="1:11" x14ac:dyDescent="0.25">
      <c r="A42" s="12">
        <v>33850</v>
      </c>
      <c r="B42" s="51">
        <v>5</v>
      </c>
      <c r="C42" s="86">
        <f t="shared" si="2"/>
        <v>116.1050000000032</v>
      </c>
      <c r="D42" s="88">
        <f t="shared" si="4"/>
        <v>12.900555555555911</v>
      </c>
    </row>
    <row r="43" spans="1:11" x14ac:dyDescent="0.25">
      <c r="A43" s="12">
        <v>33875</v>
      </c>
      <c r="B43" s="108">
        <v>5</v>
      </c>
      <c r="C43" s="86">
        <f t="shared" si="2"/>
        <v>125</v>
      </c>
      <c r="D43" s="88">
        <f t="shared" si="4"/>
        <v>13.888888888888889</v>
      </c>
    </row>
    <row r="44" spans="1:11" x14ac:dyDescent="0.25">
      <c r="A44" s="12">
        <v>33885.300000000003</v>
      </c>
      <c r="B44" s="13">
        <v>0</v>
      </c>
      <c r="C44" s="86">
        <v>0</v>
      </c>
      <c r="D44" s="88">
        <f t="shared" si="4"/>
        <v>0</v>
      </c>
    </row>
    <row r="45" spans="1:11" x14ac:dyDescent="0.25">
      <c r="A45" s="12">
        <v>33900</v>
      </c>
      <c r="B45" s="13">
        <v>0</v>
      </c>
      <c r="C45" s="86">
        <f>((A45-A44)/2)*(B45+B44)</f>
        <v>0</v>
      </c>
      <c r="D45" s="88">
        <f t="shared" si="4"/>
        <v>0</v>
      </c>
    </row>
    <row r="46" spans="1:11" ht="15.75" thickBot="1" x14ac:dyDescent="0.3">
      <c r="A46" s="54">
        <v>33925</v>
      </c>
      <c r="B46" s="113">
        <v>0</v>
      </c>
      <c r="C46" s="113">
        <v>0</v>
      </c>
      <c r="D46" s="114">
        <v>0</v>
      </c>
      <c r="K46" s="53"/>
    </row>
    <row r="47" spans="1:11" ht="31.5" customHeight="1" thickBot="1" x14ac:dyDescent="0.3">
      <c r="A47" s="143" t="s">
        <v>7</v>
      </c>
      <c r="B47" s="144"/>
      <c r="C47" s="58"/>
      <c r="D47" s="90">
        <f>SUM(D5:D46)</f>
        <v>2233.4494444444463</v>
      </c>
    </row>
    <row r="48" spans="1:11" x14ac:dyDescent="0.25">
      <c r="K48" s="1"/>
    </row>
    <row r="49" spans="1:1" x14ac:dyDescent="0.25">
      <c r="A49" t="s">
        <v>49</v>
      </c>
    </row>
  </sheetData>
  <mergeCells count="7">
    <mergeCell ref="A1:D1"/>
    <mergeCell ref="A2:A4"/>
    <mergeCell ref="F4:I4"/>
    <mergeCell ref="A47:B47"/>
    <mergeCell ref="B2:B4"/>
    <mergeCell ref="C2:C4"/>
    <mergeCell ref="D2:D4"/>
  </mergeCells>
  <pageMargins left="0.7" right="0.7" top="0.75" bottom="0.75" header="0.3" footer="0.3"/>
  <pageSetup orientation="portrait" horizontalDpi="300" r:id="rId1"/>
  <headerFooter>
    <oddFooter>&amp;C_x000D_&amp;1#&amp;"Calibri"&amp;10&amp;K000000 Mott MacDonald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3D33F-5EBD-484E-ADA9-A23E3F60DEA1}">
  <sheetPr>
    <pageSetUpPr fitToPage="1"/>
  </sheetPr>
  <dimension ref="A1:N45"/>
  <sheetViews>
    <sheetView zoomScale="85" zoomScaleNormal="85" workbookViewId="0">
      <pane ySplit="3" topLeftCell="A21" activePane="bottomLeft" state="frozen"/>
      <selection pane="bottomLeft" activeCell="B39" sqref="B39"/>
    </sheetView>
  </sheetViews>
  <sheetFormatPr defaultRowHeight="15" x14ac:dyDescent="0.25"/>
  <cols>
    <col min="1" max="1" width="11.7109375" bestFit="1" customWidth="1"/>
    <col min="2" max="2" width="8.5703125" bestFit="1" customWidth="1"/>
    <col min="3" max="3" width="8.28515625" bestFit="1" customWidth="1"/>
    <col min="4" max="5" width="16.7109375" customWidth="1"/>
    <col min="7" max="7" width="9.140625" style="18"/>
    <col min="8" max="8" width="21.140625" style="19" bestFit="1" customWidth="1"/>
    <col min="11" max="11" width="29.7109375" customWidth="1"/>
    <col min="14" max="14" width="128.28515625" customWidth="1"/>
  </cols>
  <sheetData>
    <row r="1" spans="1:14" ht="15.75" thickBot="1" x14ac:dyDescent="0.3">
      <c r="A1" s="123" t="s">
        <v>8</v>
      </c>
      <c r="B1" s="124"/>
      <c r="C1" s="124"/>
      <c r="D1" s="124"/>
      <c r="E1" s="125"/>
      <c r="F1" s="26"/>
      <c r="G1" s="152" t="s">
        <v>9</v>
      </c>
      <c r="H1" s="153"/>
    </row>
    <row r="2" spans="1:14" x14ac:dyDescent="0.25">
      <c r="A2" s="136" t="s">
        <v>3</v>
      </c>
      <c r="B2" s="150" t="s">
        <v>4</v>
      </c>
      <c r="C2" s="150" t="s">
        <v>5</v>
      </c>
      <c r="D2" s="129">
        <v>203</v>
      </c>
      <c r="E2" s="130"/>
      <c r="F2" s="24"/>
      <c r="G2" s="154" t="s">
        <v>10</v>
      </c>
      <c r="H2" s="28">
        <v>659</v>
      </c>
    </row>
    <row r="3" spans="1:14" ht="15.75" thickBot="1" x14ac:dyDescent="0.3">
      <c r="A3" s="137"/>
      <c r="B3" s="151"/>
      <c r="C3" s="151"/>
      <c r="D3" s="11" t="s">
        <v>1</v>
      </c>
      <c r="E3" s="14" t="s">
        <v>2</v>
      </c>
      <c r="F3" s="24"/>
      <c r="G3" s="155"/>
      <c r="H3" s="29" t="s">
        <v>11</v>
      </c>
    </row>
    <row r="4" spans="1:14" ht="15.75" thickBot="1" x14ac:dyDescent="0.3">
      <c r="A4" s="138"/>
      <c r="B4" s="3" t="s">
        <v>6</v>
      </c>
      <c r="C4" s="3" t="s">
        <v>6</v>
      </c>
      <c r="D4" s="3" t="s">
        <v>0</v>
      </c>
      <c r="E4" s="15" t="s">
        <v>0</v>
      </c>
      <c r="F4" s="25"/>
      <c r="G4" s="32" t="s">
        <v>12</v>
      </c>
      <c r="H4" s="33" t="s">
        <v>13</v>
      </c>
      <c r="J4" s="126" t="s">
        <v>33</v>
      </c>
      <c r="K4" s="127"/>
      <c r="L4" s="127"/>
      <c r="M4" s="128"/>
      <c r="N4" s="46" t="s">
        <v>34</v>
      </c>
    </row>
    <row r="5" spans="1:14" x14ac:dyDescent="0.25">
      <c r="A5" s="4">
        <v>32600</v>
      </c>
      <c r="B5" s="5">
        <v>0</v>
      </c>
      <c r="C5" s="5">
        <v>0</v>
      </c>
      <c r="D5" s="10"/>
      <c r="E5" s="16"/>
      <c r="F5" s="23"/>
      <c r="G5" s="34">
        <v>0</v>
      </c>
      <c r="H5" s="35"/>
      <c r="J5" s="36">
        <v>659</v>
      </c>
      <c r="K5" s="39" t="s">
        <v>14</v>
      </c>
      <c r="L5" s="7">
        <f>+$H$44*(111/1000)</f>
        <v>228.56919583333536</v>
      </c>
      <c r="M5" s="41" t="s">
        <v>20</v>
      </c>
      <c r="N5" s="45" t="s">
        <v>27</v>
      </c>
    </row>
    <row r="6" spans="1:14" x14ac:dyDescent="0.25">
      <c r="A6" s="6">
        <v>32610</v>
      </c>
      <c r="B6" s="2">
        <v>1</v>
      </c>
      <c r="C6" s="2">
        <v>10</v>
      </c>
      <c r="D6" s="7">
        <f>((A6-A5)*(B6+B5)/2)/27</f>
        <v>0.18518518518518517</v>
      </c>
      <c r="E6" s="17">
        <f>((A6-A5)*(C6+C5)/2)/27</f>
        <v>1.8518518518518519</v>
      </c>
      <c r="F6" s="24"/>
      <c r="G6" s="36">
        <v>3.6</v>
      </c>
      <c r="H6" s="17">
        <f>+(G6+G5)/2*(A6-A5)*(1/9)</f>
        <v>2</v>
      </c>
      <c r="J6" s="36">
        <v>659</v>
      </c>
      <c r="K6" s="39" t="s">
        <v>15</v>
      </c>
      <c r="L6" s="7">
        <f>0.05*$H$44</f>
        <v>102.95909722222314</v>
      </c>
      <c r="M6" s="41" t="s">
        <v>21</v>
      </c>
      <c r="N6" s="43" t="s">
        <v>28</v>
      </c>
    </row>
    <row r="7" spans="1:14" x14ac:dyDescent="0.25">
      <c r="A7" s="6">
        <v>32625</v>
      </c>
      <c r="B7" s="2">
        <v>11</v>
      </c>
      <c r="C7" s="2">
        <v>1</v>
      </c>
      <c r="D7" s="7">
        <f>((A7-A6)*(B7+B6)/2)/27</f>
        <v>3.3333333333333335</v>
      </c>
      <c r="E7" s="17">
        <f>((A7-A6)*(C7+C6)/2)/27</f>
        <v>3.0555555555555554</v>
      </c>
      <c r="F7" s="24"/>
      <c r="G7" s="36">
        <v>3.6</v>
      </c>
      <c r="H7" s="17">
        <f t="shared" ref="H7:H42" si="0">+(G7+G6)/2*(A7-A6)*(1/9)</f>
        <v>6</v>
      </c>
      <c r="J7" s="36">
        <v>659</v>
      </c>
      <c r="K7" s="39" t="s">
        <v>16</v>
      </c>
      <c r="L7" s="7">
        <f>0.05*$H$44</f>
        <v>102.95909722222314</v>
      </c>
      <c r="M7" s="41" t="s">
        <v>21</v>
      </c>
      <c r="N7" s="43" t="s">
        <v>28</v>
      </c>
    </row>
    <row r="8" spans="1:14" x14ac:dyDescent="0.25">
      <c r="A8" s="6">
        <v>32650</v>
      </c>
      <c r="B8" s="2">
        <v>13</v>
      </c>
      <c r="C8" s="2">
        <v>0</v>
      </c>
      <c r="D8" s="7">
        <f t="shared" ref="D8:D22" si="1">((A8-A7)*(B8+B7)/2)/27</f>
        <v>11.111111111111111</v>
      </c>
      <c r="E8" s="17">
        <f t="shared" ref="E8:E22" si="2">((A8-A7)*(C8+C7)/2)/27</f>
        <v>0.46296296296296297</v>
      </c>
      <c r="F8" s="24"/>
      <c r="G8" s="36">
        <v>3.7</v>
      </c>
      <c r="H8" s="17">
        <f t="shared" si="0"/>
        <v>10.138888888888889</v>
      </c>
      <c r="J8" s="36">
        <v>659</v>
      </c>
      <c r="K8" s="39" t="s">
        <v>17</v>
      </c>
      <c r="L8" s="37">
        <f>+$H$44*((0.03)*(9)*(0.0005)+$L$7*((0.02)*9*(0.0005)))</f>
        <v>19.359025823967354</v>
      </c>
      <c r="M8" s="41" t="s">
        <v>22</v>
      </c>
      <c r="N8" s="43" t="s">
        <v>29</v>
      </c>
    </row>
    <row r="9" spans="1:14" x14ac:dyDescent="0.25">
      <c r="A9" s="6">
        <v>32675</v>
      </c>
      <c r="B9" s="2">
        <v>14</v>
      </c>
      <c r="C9" s="2">
        <v>0</v>
      </c>
      <c r="D9" s="7">
        <f t="shared" si="1"/>
        <v>12.5</v>
      </c>
      <c r="E9" s="17">
        <f t="shared" si="2"/>
        <v>0</v>
      </c>
      <c r="F9" s="24"/>
      <c r="G9" s="36">
        <v>3.6</v>
      </c>
      <c r="H9" s="17">
        <f t="shared" si="0"/>
        <v>10.138888888888889</v>
      </c>
      <c r="J9" s="36">
        <v>659</v>
      </c>
      <c r="K9" s="39" t="s">
        <v>18</v>
      </c>
      <c r="L9" s="37">
        <f>+$H$44*(9/43560)</f>
        <v>0.42545081496786419</v>
      </c>
      <c r="M9" s="41" t="s">
        <v>23</v>
      </c>
      <c r="N9" s="43" t="s">
        <v>30</v>
      </c>
    </row>
    <row r="10" spans="1:14" x14ac:dyDescent="0.25">
      <c r="A10" s="6">
        <v>32700</v>
      </c>
      <c r="B10" s="2">
        <v>15</v>
      </c>
      <c r="C10" s="2">
        <v>1</v>
      </c>
      <c r="D10" s="7">
        <f t="shared" si="1"/>
        <v>13.425925925925926</v>
      </c>
      <c r="E10" s="17">
        <f t="shared" si="2"/>
        <v>0.46296296296296297</v>
      </c>
      <c r="F10" s="24"/>
      <c r="G10" s="36">
        <v>4.2</v>
      </c>
      <c r="H10" s="17">
        <f t="shared" si="0"/>
        <v>10.833333333333334</v>
      </c>
      <c r="J10" s="36">
        <v>659</v>
      </c>
      <c r="K10" s="39" t="s">
        <v>19</v>
      </c>
      <c r="L10" s="27">
        <f>2*((0.3)*$H$44*9)/1000</f>
        <v>11.119582500000099</v>
      </c>
      <c r="M10" s="41" t="s">
        <v>24</v>
      </c>
      <c r="N10" s="43" t="s">
        <v>31</v>
      </c>
    </row>
    <row r="11" spans="1:14" ht="15.75" thickBot="1" x14ac:dyDescent="0.3">
      <c r="A11" s="6">
        <v>32725</v>
      </c>
      <c r="B11" s="2">
        <v>15</v>
      </c>
      <c r="C11" s="2">
        <v>2</v>
      </c>
      <c r="D11" s="7">
        <f t="shared" si="1"/>
        <v>13.888888888888889</v>
      </c>
      <c r="E11" s="17">
        <f t="shared" si="2"/>
        <v>1.3888888888888888</v>
      </c>
      <c r="F11" s="24"/>
      <c r="G11" s="36">
        <v>4.8</v>
      </c>
      <c r="H11" s="17">
        <f t="shared" si="0"/>
        <v>12.5</v>
      </c>
      <c r="J11" s="30">
        <v>659</v>
      </c>
      <c r="K11" s="40" t="s">
        <v>25</v>
      </c>
      <c r="L11" s="38">
        <f>+($H$44*0.25*9*3)/1000</f>
        <v>13.899478125000122</v>
      </c>
      <c r="M11" s="42" t="s">
        <v>26</v>
      </c>
      <c r="N11" s="44" t="s">
        <v>32</v>
      </c>
    </row>
    <row r="12" spans="1:14" x14ac:dyDescent="0.25">
      <c r="A12" s="6">
        <v>32750</v>
      </c>
      <c r="B12" s="2">
        <v>16</v>
      </c>
      <c r="C12" s="2">
        <v>2</v>
      </c>
      <c r="D12" s="7">
        <f t="shared" si="1"/>
        <v>14.351851851851851</v>
      </c>
      <c r="E12" s="17">
        <f t="shared" si="2"/>
        <v>1.8518518518518519</v>
      </c>
      <c r="F12" s="24"/>
      <c r="G12" s="36">
        <v>5.5</v>
      </c>
      <c r="H12" s="17">
        <f t="shared" si="0"/>
        <v>14.305555555555555</v>
      </c>
    </row>
    <row r="13" spans="1:14" x14ac:dyDescent="0.25">
      <c r="A13" s="6">
        <v>32775</v>
      </c>
      <c r="B13" s="2">
        <v>19</v>
      </c>
      <c r="C13" s="2">
        <v>3</v>
      </c>
      <c r="D13" s="7">
        <f t="shared" si="1"/>
        <v>16.203703703703702</v>
      </c>
      <c r="E13" s="17">
        <f t="shared" si="2"/>
        <v>2.3148148148148149</v>
      </c>
      <c r="F13" s="24"/>
      <c r="G13" s="36">
        <v>6.3</v>
      </c>
      <c r="H13" s="17">
        <f t="shared" si="0"/>
        <v>16.388888888888889</v>
      </c>
    </row>
    <row r="14" spans="1:14" x14ac:dyDescent="0.25">
      <c r="A14" s="6">
        <v>32800</v>
      </c>
      <c r="B14" s="2">
        <v>20</v>
      </c>
      <c r="C14" s="2">
        <v>4</v>
      </c>
      <c r="D14" s="7">
        <f t="shared" si="1"/>
        <v>18.055555555555557</v>
      </c>
      <c r="E14" s="17">
        <f t="shared" si="2"/>
        <v>3.2407407407407409</v>
      </c>
      <c r="F14" s="24"/>
      <c r="G14" s="36">
        <v>7.5</v>
      </c>
      <c r="H14" s="17">
        <f t="shared" si="0"/>
        <v>19.166666666666664</v>
      </c>
    </row>
    <row r="15" spans="1:14" x14ac:dyDescent="0.25">
      <c r="A15" s="6">
        <v>32825</v>
      </c>
      <c r="B15" s="2">
        <v>20</v>
      </c>
      <c r="C15" s="2">
        <v>8</v>
      </c>
      <c r="D15" s="7">
        <f t="shared" si="1"/>
        <v>18.518518518518519</v>
      </c>
      <c r="E15" s="17">
        <f t="shared" si="2"/>
        <v>5.5555555555555554</v>
      </c>
      <c r="F15" s="24"/>
      <c r="G15" s="36">
        <v>10</v>
      </c>
      <c r="H15" s="17">
        <f t="shared" si="0"/>
        <v>24.305555555555554</v>
      </c>
    </row>
    <row r="16" spans="1:14" x14ac:dyDescent="0.25">
      <c r="A16" s="6">
        <v>32850.1</v>
      </c>
      <c r="B16" s="2">
        <v>43</v>
      </c>
      <c r="C16" s="2">
        <v>19</v>
      </c>
      <c r="D16" s="7">
        <f t="shared" si="1"/>
        <v>29.283333333331637</v>
      </c>
      <c r="E16" s="17">
        <f t="shared" si="2"/>
        <v>12.549999999999272</v>
      </c>
      <c r="F16" s="24"/>
      <c r="G16" s="36">
        <f>9.5+13</f>
        <v>22.5</v>
      </c>
      <c r="H16" s="17">
        <f t="shared" si="0"/>
        <v>45.319444444441814</v>
      </c>
    </row>
    <row r="17" spans="1:8" x14ac:dyDescent="0.25">
      <c r="A17" s="6">
        <v>32875</v>
      </c>
      <c r="B17" s="2">
        <v>44</v>
      </c>
      <c r="C17" s="2">
        <v>34</v>
      </c>
      <c r="D17" s="7">
        <f t="shared" si="1"/>
        <v>40.116666666669012</v>
      </c>
      <c r="E17" s="17">
        <f t="shared" si="2"/>
        <v>24.438888888890318</v>
      </c>
      <c r="F17" s="24"/>
      <c r="G17" s="36">
        <f>12.8+18.3</f>
        <v>31.1</v>
      </c>
      <c r="H17" s="17">
        <f t="shared" si="0"/>
        <v>74.146666666670995</v>
      </c>
    </row>
    <row r="18" spans="1:8" x14ac:dyDescent="0.25">
      <c r="A18" s="6">
        <v>32900</v>
      </c>
      <c r="B18" s="2">
        <v>43</v>
      </c>
      <c r="C18" s="2">
        <v>54</v>
      </c>
      <c r="D18" s="7">
        <f t="shared" si="1"/>
        <v>40.277777777777779</v>
      </c>
      <c r="E18" s="17">
        <f t="shared" si="2"/>
        <v>40.74074074074074</v>
      </c>
      <c r="F18" s="24"/>
      <c r="G18" s="36">
        <f>12.5+27.2</f>
        <v>39.700000000000003</v>
      </c>
      <c r="H18" s="17">
        <f t="shared" si="0"/>
        <v>98.333333333333343</v>
      </c>
    </row>
    <row r="19" spans="1:8" x14ac:dyDescent="0.25">
      <c r="A19" s="6">
        <v>32925</v>
      </c>
      <c r="B19" s="2">
        <v>39</v>
      </c>
      <c r="C19" s="2">
        <v>109</v>
      </c>
      <c r="D19" s="7">
        <f t="shared" si="1"/>
        <v>37.962962962962962</v>
      </c>
      <c r="E19" s="17">
        <f t="shared" si="2"/>
        <v>75.462962962962962</v>
      </c>
      <c r="F19" s="24"/>
      <c r="G19" s="36">
        <f>18.3+38.8</f>
        <v>57.099999999999994</v>
      </c>
      <c r="H19" s="17">
        <f t="shared" si="0"/>
        <v>134.44444444444443</v>
      </c>
    </row>
    <row r="20" spans="1:8" x14ac:dyDescent="0.25">
      <c r="A20" s="6">
        <v>32942.449999999997</v>
      </c>
      <c r="B20" s="2">
        <v>152</v>
      </c>
      <c r="C20" s="2">
        <v>36</v>
      </c>
      <c r="D20" s="7">
        <f t="shared" si="1"/>
        <v>61.721296296285999</v>
      </c>
      <c r="E20" s="17">
        <f t="shared" si="2"/>
        <v>46.856481481473665</v>
      </c>
      <c r="F20" s="24"/>
      <c r="G20" s="36">
        <f>19.9+45.8</f>
        <v>65.699999999999989</v>
      </c>
      <c r="H20" s="17">
        <f t="shared" si="0"/>
        <v>119.0477777777579</v>
      </c>
    </row>
    <row r="21" spans="1:8" x14ac:dyDescent="0.25">
      <c r="A21" s="6">
        <v>32960.81</v>
      </c>
      <c r="B21" s="2">
        <v>274</v>
      </c>
      <c r="C21" s="2">
        <v>40</v>
      </c>
      <c r="D21" s="7">
        <f t="shared" si="1"/>
        <v>144.84000000000458</v>
      </c>
      <c r="E21" s="17">
        <f t="shared" si="2"/>
        <v>25.840000000000821</v>
      </c>
      <c r="F21" s="24"/>
      <c r="G21" s="36">
        <f>37.3+53.7</f>
        <v>91</v>
      </c>
      <c r="H21" s="17">
        <f t="shared" si="0"/>
        <v>159.83400000000506</v>
      </c>
    </row>
    <row r="22" spans="1:8" x14ac:dyDescent="0.25">
      <c r="A22" s="6">
        <v>32981</v>
      </c>
      <c r="B22" s="2">
        <v>310</v>
      </c>
      <c r="C22" s="2">
        <v>20</v>
      </c>
      <c r="D22" s="7">
        <f t="shared" si="1"/>
        <v>218.3511111111363</v>
      </c>
      <c r="E22" s="17">
        <f t="shared" si="2"/>
        <v>22.43333333333592</v>
      </c>
      <c r="F22" s="24"/>
      <c r="G22" s="36">
        <v>61.2</v>
      </c>
      <c r="H22" s="17">
        <f t="shared" si="0"/>
        <v>170.71766666668631</v>
      </c>
    </row>
    <row r="23" spans="1:8" x14ac:dyDescent="0.25">
      <c r="A23" s="6"/>
      <c r="B23" s="2"/>
      <c r="C23" s="2"/>
      <c r="D23" s="7"/>
      <c r="E23" s="17"/>
      <c r="F23" s="24"/>
      <c r="G23" s="36"/>
      <c r="H23" s="17"/>
    </row>
    <row r="24" spans="1:8" x14ac:dyDescent="0.25">
      <c r="A24" s="6">
        <v>33377.300000000003</v>
      </c>
      <c r="B24" s="2">
        <v>20</v>
      </c>
      <c r="C24" s="2">
        <v>7</v>
      </c>
      <c r="D24" s="7"/>
      <c r="E24" s="17"/>
      <c r="F24" s="24"/>
      <c r="G24" s="36">
        <v>6.8</v>
      </c>
      <c r="H24" s="17"/>
    </row>
    <row r="25" spans="1:8" x14ac:dyDescent="0.25">
      <c r="A25" s="6">
        <v>33410.199999999997</v>
      </c>
      <c r="B25" s="2">
        <v>35</v>
      </c>
      <c r="C25" s="2">
        <v>6</v>
      </c>
      <c r="D25" s="7">
        <f>((A25-A24)*(B25+B24)/2)/27</f>
        <v>33.509259259253334</v>
      </c>
      <c r="E25" s="17">
        <f>((A25-A24)*(C25+C24)/2)/27</f>
        <v>7.9203703703689694</v>
      </c>
      <c r="F25" s="24"/>
      <c r="G25" s="36">
        <v>4.9000000000000004</v>
      </c>
      <c r="H25" s="17">
        <f t="shared" si="0"/>
        <v>21.384999999996214</v>
      </c>
    </row>
    <row r="26" spans="1:8" x14ac:dyDescent="0.25">
      <c r="A26" s="6">
        <v>33447.699999999997</v>
      </c>
      <c r="B26" s="2">
        <v>32</v>
      </c>
      <c r="C26" s="2">
        <v>122</v>
      </c>
      <c r="D26" s="7">
        <f>((A26-A25)*(B26+B25)/2)/27</f>
        <v>46.527777777777779</v>
      </c>
      <c r="E26" s="17">
        <f>((A26-A25)*(C26+C25)/2)/27</f>
        <v>88.888888888888886</v>
      </c>
      <c r="F26" s="24"/>
      <c r="G26" s="36">
        <f>4.1+37.8</f>
        <v>41.9</v>
      </c>
      <c r="H26" s="17">
        <f t="shared" si="0"/>
        <v>97.5</v>
      </c>
    </row>
    <row r="27" spans="1:8" x14ac:dyDescent="0.25">
      <c r="A27" s="6">
        <v>33475</v>
      </c>
      <c r="B27" s="2">
        <v>151</v>
      </c>
      <c r="C27" s="2">
        <v>33</v>
      </c>
      <c r="D27" s="7">
        <f t="shared" ref="D27:D42" si="3">((A27-A26)*(B27+B26)/2)/27</f>
        <v>92.516666666676528</v>
      </c>
      <c r="E27" s="17">
        <f t="shared" ref="E27:E42" si="4">((A27-A26)*(C27+C26)/2)/27</f>
        <v>78.36111111111947</v>
      </c>
      <c r="F27" s="24"/>
      <c r="G27" s="36">
        <f>3.6+44.2</f>
        <v>47.800000000000004</v>
      </c>
      <c r="H27" s="17">
        <f t="shared" si="0"/>
        <v>136.04500000001448</v>
      </c>
    </row>
    <row r="28" spans="1:8" x14ac:dyDescent="0.25">
      <c r="A28" s="6">
        <v>33500</v>
      </c>
      <c r="B28" s="2">
        <v>33</v>
      </c>
      <c r="C28" s="2">
        <v>97</v>
      </c>
      <c r="D28" s="7">
        <f t="shared" si="3"/>
        <v>85.18518518518519</v>
      </c>
      <c r="E28" s="17">
        <f t="shared" si="4"/>
        <v>60.185185185185183</v>
      </c>
      <c r="F28" s="24"/>
      <c r="G28" s="36">
        <f>3.4+38.5</f>
        <v>41.9</v>
      </c>
      <c r="H28" s="17">
        <f t="shared" si="0"/>
        <v>124.58333333333333</v>
      </c>
    </row>
    <row r="29" spans="1:8" x14ac:dyDescent="0.25">
      <c r="A29" s="6">
        <v>33525</v>
      </c>
      <c r="B29" s="2">
        <v>35</v>
      </c>
      <c r="C29" s="2">
        <v>80</v>
      </c>
      <c r="D29" s="7">
        <f t="shared" si="3"/>
        <v>31.481481481481481</v>
      </c>
      <c r="E29" s="17">
        <f t="shared" si="4"/>
        <v>81.944444444444443</v>
      </c>
      <c r="F29" s="24"/>
      <c r="G29" s="36">
        <f>3.5+31.8</f>
        <v>35.299999999999997</v>
      </c>
      <c r="H29" s="17">
        <f t="shared" si="0"/>
        <v>107.2222222222222</v>
      </c>
    </row>
    <row r="30" spans="1:8" x14ac:dyDescent="0.25">
      <c r="A30" s="6">
        <v>33533.4</v>
      </c>
      <c r="B30" s="2">
        <v>36</v>
      </c>
      <c r="C30" s="2">
        <v>77</v>
      </c>
      <c r="D30" s="7">
        <f t="shared" si="3"/>
        <v>11.044444444446357</v>
      </c>
      <c r="E30" s="17">
        <f t="shared" si="4"/>
        <v>24.422222222226452</v>
      </c>
      <c r="F30" s="24"/>
      <c r="G30" s="36">
        <f>3.5+29.7</f>
        <v>33.200000000000003</v>
      </c>
      <c r="H30" s="17">
        <f t="shared" si="0"/>
        <v>31.966666666672204</v>
      </c>
    </row>
    <row r="31" spans="1:8" x14ac:dyDescent="0.25">
      <c r="A31" s="6">
        <v>33550</v>
      </c>
      <c r="B31" s="2">
        <v>15</v>
      </c>
      <c r="C31" s="2">
        <v>63</v>
      </c>
      <c r="D31" s="7">
        <f t="shared" si="3"/>
        <v>15.677777777776404</v>
      </c>
      <c r="E31" s="17">
        <f t="shared" si="4"/>
        <v>43.037037037033265</v>
      </c>
      <c r="F31" s="24"/>
      <c r="G31" s="36">
        <v>24.2</v>
      </c>
      <c r="H31" s="17">
        <f t="shared" si="0"/>
        <v>52.93555555555092</v>
      </c>
    </row>
    <row r="32" spans="1:8" x14ac:dyDescent="0.25">
      <c r="A32" s="6">
        <v>33575</v>
      </c>
      <c r="B32" s="2">
        <v>14</v>
      </c>
      <c r="C32" s="2">
        <v>71</v>
      </c>
      <c r="D32" s="7">
        <f t="shared" si="3"/>
        <v>13.425925925925926</v>
      </c>
      <c r="E32" s="17">
        <f t="shared" si="4"/>
        <v>62.037037037037038</v>
      </c>
      <c r="F32" s="24"/>
      <c r="G32" s="36">
        <v>27.1</v>
      </c>
      <c r="H32" s="17">
        <f t="shared" si="0"/>
        <v>71.25</v>
      </c>
    </row>
    <row r="33" spans="1:8" x14ac:dyDescent="0.25">
      <c r="A33" s="6">
        <v>33600</v>
      </c>
      <c r="B33" s="2">
        <v>13</v>
      </c>
      <c r="C33" s="2">
        <v>75</v>
      </c>
      <c r="D33" s="7">
        <f t="shared" si="3"/>
        <v>12.5</v>
      </c>
      <c r="E33" s="17">
        <f t="shared" si="4"/>
        <v>67.592592592592595</v>
      </c>
      <c r="F33" s="24"/>
      <c r="G33" s="36">
        <v>29</v>
      </c>
      <c r="H33" s="17">
        <f t="shared" si="0"/>
        <v>77.916666666666657</v>
      </c>
    </row>
    <row r="34" spans="1:8" x14ac:dyDescent="0.25">
      <c r="A34" s="6">
        <v>33625</v>
      </c>
      <c r="B34" s="2">
        <v>14</v>
      </c>
      <c r="C34" s="2">
        <v>64</v>
      </c>
      <c r="D34" s="7">
        <f t="shared" si="3"/>
        <v>12.5</v>
      </c>
      <c r="E34" s="17">
        <f t="shared" si="4"/>
        <v>64.351851851851848</v>
      </c>
      <c r="F34" s="24"/>
      <c r="G34" s="36">
        <v>30.2</v>
      </c>
      <c r="H34" s="17">
        <f t="shared" si="0"/>
        <v>82.222222222222214</v>
      </c>
    </row>
    <row r="35" spans="1:8" x14ac:dyDescent="0.25">
      <c r="A35" s="6">
        <v>33650</v>
      </c>
      <c r="B35" s="2">
        <v>14</v>
      </c>
      <c r="C35" s="2">
        <v>53</v>
      </c>
      <c r="D35" s="7">
        <f t="shared" si="3"/>
        <v>12.962962962962964</v>
      </c>
      <c r="E35" s="17">
        <f t="shared" si="4"/>
        <v>54.166666666666664</v>
      </c>
      <c r="F35" s="24"/>
      <c r="G35" s="36">
        <v>27.8</v>
      </c>
      <c r="H35" s="17">
        <f t="shared" si="0"/>
        <v>80.555555555555557</v>
      </c>
    </row>
    <row r="36" spans="1:8" x14ac:dyDescent="0.25">
      <c r="A36" s="6">
        <v>33675</v>
      </c>
      <c r="B36" s="2">
        <v>12</v>
      </c>
      <c r="C36" s="2">
        <v>42</v>
      </c>
      <c r="D36" s="7">
        <f t="shared" si="3"/>
        <v>12.037037037037036</v>
      </c>
      <c r="E36" s="17">
        <f t="shared" si="4"/>
        <v>43.981481481481481</v>
      </c>
      <c r="F36" s="24"/>
      <c r="G36" s="36">
        <v>24.4</v>
      </c>
      <c r="H36" s="17">
        <f t="shared" si="0"/>
        <v>72.5</v>
      </c>
    </row>
    <row r="37" spans="1:8" x14ac:dyDescent="0.25">
      <c r="A37" s="6">
        <v>33700</v>
      </c>
      <c r="B37" s="2">
        <v>11</v>
      </c>
      <c r="C37" s="2">
        <v>30</v>
      </c>
      <c r="D37" s="7">
        <f t="shared" si="3"/>
        <v>10.648148148148149</v>
      </c>
      <c r="E37" s="17">
        <f t="shared" si="4"/>
        <v>33.333333333333336</v>
      </c>
      <c r="F37" s="24"/>
      <c r="G37" s="36">
        <v>21.5</v>
      </c>
      <c r="H37" s="17">
        <f t="shared" si="0"/>
        <v>63.75</v>
      </c>
    </row>
    <row r="38" spans="1:8" x14ac:dyDescent="0.25">
      <c r="A38" s="6">
        <v>33725</v>
      </c>
      <c r="B38" s="2">
        <v>12</v>
      </c>
      <c r="C38" s="2">
        <v>12</v>
      </c>
      <c r="D38" s="7">
        <f t="shared" si="3"/>
        <v>10.648148148148149</v>
      </c>
      <c r="E38" s="17">
        <f t="shared" si="4"/>
        <v>19.444444444444443</v>
      </c>
      <c r="F38" s="24"/>
      <c r="G38" s="36">
        <v>13.9</v>
      </c>
      <c r="H38" s="17">
        <f t="shared" si="0"/>
        <v>49.166666666666664</v>
      </c>
    </row>
    <row r="39" spans="1:8" x14ac:dyDescent="0.25">
      <c r="A39" s="6">
        <v>33750</v>
      </c>
      <c r="B39" s="2">
        <v>11</v>
      </c>
      <c r="C39" s="2">
        <v>4</v>
      </c>
      <c r="D39" s="7">
        <f t="shared" si="3"/>
        <v>10.648148148148149</v>
      </c>
      <c r="E39" s="17">
        <f t="shared" si="4"/>
        <v>7.4074074074074074</v>
      </c>
      <c r="F39" s="24"/>
      <c r="G39" s="36">
        <v>7.6</v>
      </c>
      <c r="H39" s="17">
        <f t="shared" si="0"/>
        <v>29.861111111111111</v>
      </c>
    </row>
    <row r="40" spans="1:8" x14ac:dyDescent="0.25">
      <c r="A40" s="12">
        <v>33775</v>
      </c>
      <c r="B40" s="13">
        <v>10</v>
      </c>
      <c r="C40" s="13">
        <v>1</v>
      </c>
      <c r="D40" s="7">
        <f t="shared" si="3"/>
        <v>9.7222222222222214</v>
      </c>
      <c r="E40" s="17">
        <f t="shared" si="4"/>
        <v>2.3148148148148149</v>
      </c>
      <c r="F40" s="24"/>
      <c r="G40" s="36">
        <v>4.2</v>
      </c>
      <c r="H40" s="17">
        <f t="shared" si="0"/>
        <v>16.388888888888889</v>
      </c>
    </row>
    <row r="41" spans="1:8" x14ac:dyDescent="0.25">
      <c r="A41" s="12">
        <v>33800</v>
      </c>
      <c r="B41" s="13">
        <v>9</v>
      </c>
      <c r="C41" s="13">
        <v>1</v>
      </c>
      <c r="D41" s="7">
        <f t="shared" si="3"/>
        <v>8.7962962962962958</v>
      </c>
      <c r="E41" s="17">
        <f t="shared" si="4"/>
        <v>0.92592592592592593</v>
      </c>
      <c r="F41" s="24"/>
      <c r="G41" s="36">
        <v>3.5</v>
      </c>
      <c r="H41" s="17">
        <f t="shared" si="0"/>
        <v>10.694444444444445</v>
      </c>
    </row>
    <row r="42" spans="1:8" x14ac:dyDescent="0.25">
      <c r="A42" s="12">
        <v>33828.89</v>
      </c>
      <c r="B42" s="13">
        <v>8</v>
      </c>
      <c r="C42" s="13">
        <v>0</v>
      </c>
      <c r="D42" s="7">
        <f t="shared" si="3"/>
        <v>9.0949999999998159</v>
      </c>
      <c r="E42" s="17">
        <f t="shared" si="4"/>
        <v>0.53499999999998926</v>
      </c>
      <c r="F42" s="24"/>
      <c r="G42" s="36">
        <v>0</v>
      </c>
      <c r="H42" s="17">
        <f t="shared" si="0"/>
        <v>5.6174999999998869</v>
      </c>
    </row>
    <row r="43" spans="1:8" ht="15.75" thickBot="1" x14ac:dyDescent="0.3">
      <c r="A43" s="12"/>
      <c r="B43" s="13"/>
      <c r="C43" s="13"/>
      <c r="D43" s="13"/>
      <c r="E43" s="20"/>
      <c r="F43" s="25"/>
      <c r="G43" s="30"/>
      <c r="H43" s="31"/>
    </row>
    <row r="44" spans="1:8" ht="30" customHeight="1" thickBot="1" x14ac:dyDescent="0.3">
      <c r="A44" s="134" t="s">
        <v>7</v>
      </c>
      <c r="B44" s="135"/>
      <c r="C44" s="135"/>
      <c r="D44" s="21">
        <f>SUM(D6:D43)</f>
        <v>1133.0537037037279</v>
      </c>
      <c r="E44" s="22">
        <f>SUM(E6:E43)</f>
        <v>1009.3574074074112</v>
      </c>
      <c r="F44" s="21"/>
      <c r="G44" s="8"/>
      <c r="H44" s="9">
        <f t="shared" ref="H44" si="5">SUM(H6:H43)</f>
        <v>2059.1819444444627</v>
      </c>
    </row>
    <row r="45" spans="1:8" x14ac:dyDescent="0.25">
      <c r="D45" s="1"/>
      <c r="E45" s="1"/>
    </row>
  </sheetData>
  <mergeCells count="9">
    <mergeCell ref="J4:M4"/>
    <mergeCell ref="D2:E2"/>
    <mergeCell ref="A1:E1"/>
    <mergeCell ref="A44:C44"/>
    <mergeCell ref="A2:A4"/>
    <mergeCell ref="B2:B3"/>
    <mergeCell ref="C2:C3"/>
    <mergeCell ref="G1:H1"/>
    <mergeCell ref="G2:G3"/>
  </mergeCells>
  <pageMargins left="0.7" right="0.7" top="0.75" bottom="0.75" header="0.3" footer="0.3"/>
  <pageSetup scale="78" orientation="landscape" horizontalDpi="1200" verticalDpi="1200" r:id="rId1"/>
  <headerFooter>
    <oddHeader>&amp;C&amp;A</oddHeader>
    <oddFooter>&amp;C&amp;Z&amp;F_x000D_&amp;1#&amp;"Calibri"&amp;10&amp;K000000 Mott MacDonald Restricted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Earthwork Stg 2</vt:lpstr>
      <vt:lpstr>SEEDING</vt:lpstr>
      <vt:lpstr>Earthwork (OLD)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Chappelle, Robert D</dc:creator>
  <cp:lastModifiedBy>Tomsic, Stephen</cp:lastModifiedBy>
  <cp:lastPrinted>2020-03-13T20:40:48Z</cp:lastPrinted>
  <dcterms:created xsi:type="dcterms:W3CDTF">2017-03-31T18:21:39Z</dcterms:created>
  <dcterms:modified xsi:type="dcterms:W3CDTF">2026-01-07T19:35:42Z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f49efa9f-42fe-4312-9503-c89a219c0830_Enabled">
    <vt:lpwstr>true</vt:lpwstr>
  </property>
  <property fmtid="{D5CDD505-2E9C-101B-9397-08002B2CF9AE}" pid="37" name="MSIP_Label_f49efa9f-42fe-4312-9503-c89a219c0830_SetDate">
    <vt:lpwstr>2024-04-04T17:25:38Z</vt:lpwstr>
  </property>
  <property fmtid="{D5CDD505-2E9C-101B-9397-08002B2CF9AE}" pid="38" name="MSIP_Label_f49efa9f-42fe-4312-9503-c89a219c0830_Method">
    <vt:lpwstr>Standard</vt:lpwstr>
  </property>
  <property fmtid="{D5CDD505-2E9C-101B-9397-08002B2CF9AE}" pid="39" name="MSIP_Label_f49efa9f-42fe-4312-9503-c89a219c0830_Name">
    <vt:lpwstr>MM RESTRICTED</vt:lpwstr>
  </property>
  <property fmtid="{D5CDD505-2E9C-101B-9397-08002B2CF9AE}" pid="40" name="MSIP_Label_f49efa9f-42fe-4312-9503-c89a219c0830_SiteId">
    <vt:lpwstr>a2bed0c4-5957-4f73-b0c2-a811407590fb</vt:lpwstr>
  </property>
  <property fmtid="{D5CDD505-2E9C-101B-9397-08002B2CF9AE}" pid="41" name="MSIP_Label_f49efa9f-42fe-4312-9503-c89a219c0830_ActionId">
    <vt:lpwstr>6323597f-9da2-4193-a3a1-9e9d6f3d5b83</vt:lpwstr>
  </property>
  <property fmtid="{D5CDD505-2E9C-101B-9397-08002B2CF9AE}" pid="42" name="MSIP_Label_f49efa9f-42fe-4312-9503-c89a219c0830_ContentBits">
    <vt:lpwstr>2</vt:lpwstr>
  </property>
</Properties>
</file>