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1736\active\173620147\engineering\114496\400-Engineering\Drainage\EngData\From ODOT\"/>
    </mc:Choice>
  </mc:AlternateContent>
  <xr:revisionPtr revIDLastSave="0" documentId="13_ncr:1_{0400C1FA-5FF2-4B2B-BD9F-210725E5D01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14496" sheetId="18" r:id="rId1"/>
  </sheets>
  <definedNames>
    <definedName name="_xlnm.Print_Area" localSheetId="0">'114496'!$B$100:$AB$230</definedName>
    <definedName name="_xlnm.Print_Titles" localSheetId="0">'114496'!$100:$105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3" i="18" l="1"/>
  <c r="T143" i="18" s="1"/>
  <c r="Y155" i="18"/>
  <c r="AB151" i="18"/>
  <c r="AA151" i="18"/>
  <c r="C151" i="18"/>
  <c r="AC151" i="18"/>
  <c r="AC137" i="18"/>
  <c r="AC179" i="18"/>
  <c r="J155" i="18"/>
  <c r="J157" i="18"/>
  <c r="J141" i="18"/>
  <c r="E151" i="18"/>
  <c r="P150" i="18"/>
  <c r="R150" i="18" s="1"/>
  <c r="AE149" i="18"/>
  <c r="S149" i="18"/>
  <c r="E149" i="18"/>
  <c r="P148" i="18"/>
  <c r="R148" i="18" s="1"/>
  <c r="AE147" i="18"/>
  <c r="S147" i="18"/>
  <c r="E147" i="18"/>
  <c r="P146" i="18"/>
  <c r="R146" i="18" s="1"/>
  <c r="AE145" i="18"/>
  <c r="S145" i="18"/>
  <c r="E145" i="18"/>
  <c r="K143" i="18" l="1"/>
  <c r="P144" i="18" l="1"/>
  <c r="R144" i="18" s="1"/>
  <c r="AE143" i="18"/>
  <c r="S143" i="18"/>
  <c r="E143" i="18"/>
  <c r="P142" i="18"/>
  <c r="R142" i="18" s="1"/>
  <c r="AE141" i="18"/>
  <c r="S141" i="18"/>
  <c r="E141" i="18"/>
  <c r="AD137" i="18"/>
  <c r="E137" i="18"/>
  <c r="P136" i="18"/>
  <c r="R136" i="18" s="1"/>
  <c r="AE135" i="18"/>
  <c r="AD135" i="18"/>
  <c r="S135" i="18"/>
  <c r="J135" i="18"/>
  <c r="E135" i="18"/>
  <c r="E155" i="18"/>
  <c r="G155" i="18"/>
  <c r="H155" i="18" s="1"/>
  <c r="J159" i="18"/>
  <c r="J161" i="18" s="1"/>
  <c r="AE155" i="18"/>
  <c r="P156" i="18"/>
  <c r="R156" i="18" s="1"/>
  <c r="E157" i="18"/>
  <c r="AE157" i="18"/>
  <c r="N158" i="18"/>
  <c r="P158" i="18"/>
  <c r="R158" i="18" s="1"/>
  <c r="E159" i="18"/>
  <c r="N160" i="18"/>
  <c r="E161" i="18"/>
  <c r="N162" i="18"/>
  <c r="P162" i="18"/>
  <c r="R162" i="18" s="1"/>
  <c r="E163" i="18"/>
  <c r="N164" i="18"/>
  <c r="AE163" i="18" s="1"/>
  <c r="T135" i="18" l="1"/>
  <c r="P164" i="18"/>
  <c r="R164" i="18" s="1"/>
  <c r="K155" i="18"/>
  <c r="Q156" i="18" s="1"/>
  <c r="F156" i="18" s="1"/>
  <c r="G157" i="18" s="1"/>
  <c r="H157" i="18" s="1"/>
  <c r="K157" i="18" s="1"/>
  <c r="Q158" i="18" s="1"/>
  <c r="F158" i="18" s="1"/>
  <c r="G159" i="18" s="1"/>
  <c r="H159" i="18" s="1"/>
  <c r="K159" i="18" s="1"/>
  <c r="J137" i="18"/>
  <c r="J145" i="18" s="1"/>
  <c r="J147" i="18" s="1"/>
  <c r="V135" i="18"/>
  <c r="U135" i="18"/>
  <c r="T141" i="18"/>
  <c r="K135" i="18"/>
  <c r="Q136" i="18" s="1"/>
  <c r="AE161" i="18"/>
  <c r="P160" i="18"/>
  <c r="R160" i="18" s="1"/>
  <c r="AE159" i="18"/>
  <c r="T145" i="18" l="1"/>
  <c r="U143" i="18"/>
  <c r="AC155" i="18"/>
  <c r="Q160" i="18"/>
  <c r="F160" i="18" s="1"/>
  <c r="G161" i="18" s="1"/>
  <c r="H161" i="18" s="1"/>
  <c r="K161" i="18" s="1"/>
  <c r="AC135" i="18"/>
  <c r="V141" i="18"/>
  <c r="U141" i="18"/>
  <c r="Y135" i="18"/>
  <c r="X135" i="18" s="1"/>
  <c r="W135" i="18"/>
  <c r="AC159" i="18"/>
  <c r="J163" i="18"/>
  <c r="AC157" i="18"/>
  <c r="V143" i="18" l="1"/>
  <c r="U145" i="18"/>
  <c r="V145" i="18"/>
  <c r="J149" i="18"/>
  <c r="J151" i="18" s="1"/>
  <c r="J177" i="18" s="1"/>
  <c r="T147" i="18"/>
  <c r="Y143" i="18"/>
  <c r="W143" i="18"/>
  <c r="Y141" i="18"/>
  <c r="W141" i="18"/>
  <c r="Q162" i="18"/>
  <c r="F162" i="18" s="1"/>
  <c r="G163" i="18" s="1"/>
  <c r="H163" i="18" s="1"/>
  <c r="K163" i="18" s="1"/>
  <c r="AC161" i="18"/>
  <c r="J179" i="18" l="1"/>
  <c r="T149" i="18"/>
  <c r="Y145" i="18"/>
  <c r="W145" i="18"/>
  <c r="U147" i="18"/>
  <c r="V147" i="18"/>
  <c r="Q164" i="18"/>
  <c r="F164" i="18" s="1"/>
  <c r="AC163" i="18"/>
  <c r="W147" i="18" l="1"/>
  <c r="Y147" i="18"/>
  <c r="V149" i="18"/>
  <c r="U149" i="18"/>
  <c r="N178" i="18"/>
  <c r="N176" i="18"/>
  <c r="N174" i="18"/>
  <c r="N172" i="18"/>
  <c r="AE171" i="18" s="1"/>
  <c r="N170" i="18"/>
  <c r="N168" i="18"/>
  <c r="N166" i="18"/>
  <c r="AE165" i="18" s="1"/>
  <c r="J165" i="18"/>
  <c r="E177" i="18"/>
  <c r="E175" i="18"/>
  <c r="E173" i="18"/>
  <c r="E171" i="18"/>
  <c r="E169" i="18"/>
  <c r="E167" i="18"/>
  <c r="E165" i="18"/>
  <c r="E179" i="18"/>
  <c r="P172" i="18"/>
  <c r="R172" i="18" s="1"/>
  <c r="E122" i="18"/>
  <c r="J167" i="18" l="1"/>
  <c r="J169" i="18" s="1"/>
  <c r="J171" i="18" s="1"/>
  <c r="J173" i="18" s="1"/>
  <c r="J175" i="18" s="1"/>
  <c r="Y149" i="18"/>
  <c r="W149" i="18"/>
  <c r="AE177" i="18"/>
  <c r="P178" i="18"/>
  <c r="P176" i="18"/>
  <c r="R176" i="18" s="1"/>
  <c r="AE175" i="18"/>
  <c r="AE173" i="18"/>
  <c r="P174" i="18"/>
  <c r="R174" i="18" s="1"/>
  <c r="AE169" i="18"/>
  <c r="P170" i="18"/>
  <c r="R170" i="18" s="1"/>
  <c r="P166" i="18"/>
  <c r="R166" i="18" s="1"/>
  <c r="AE167" i="18"/>
  <c r="P168" i="18"/>
  <c r="R168" i="18" s="1"/>
  <c r="G200" i="18"/>
  <c r="AA211" i="18"/>
  <c r="AB211" i="18"/>
  <c r="AB204" i="18"/>
  <c r="AA204" i="18"/>
  <c r="J184" i="18"/>
  <c r="N221" i="18"/>
  <c r="O210" i="18" s="1"/>
  <c r="N210" i="18" s="1"/>
  <c r="O208" i="18" s="1"/>
  <c r="N208" i="18" s="1"/>
  <c r="E204" i="18"/>
  <c r="E202" i="18"/>
  <c r="E200" i="18"/>
  <c r="C204" i="18"/>
  <c r="AC204" i="18"/>
  <c r="J200" i="18"/>
  <c r="J202" i="18" s="1"/>
  <c r="J204" i="18" s="1"/>
  <c r="N189" i="18"/>
  <c r="O187" i="18" s="1"/>
  <c r="N187" i="18" s="1"/>
  <c r="E186" i="18"/>
  <c r="E188" i="18"/>
  <c r="R178" i="18" l="1"/>
  <c r="Q178" i="18"/>
  <c r="O203" i="18"/>
  <c r="N203" i="18" s="1"/>
  <c r="P187" i="18"/>
  <c r="R187" i="18" s="1"/>
  <c r="O185" i="18"/>
  <c r="O201" i="18" l="1"/>
  <c r="N201" i="18" s="1"/>
  <c r="N185" i="18"/>
  <c r="P185" i="18" s="1"/>
  <c r="AE202" i="18" l="1"/>
  <c r="P203" i="18"/>
  <c r="R203" i="18" s="1"/>
  <c r="AE200" i="18"/>
  <c r="R185" i="18"/>
  <c r="P201" i="18" l="1"/>
  <c r="R201" i="18" s="1"/>
  <c r="Z190" i="18" l="1"/>
  <c r="AD190" i="18" s="1"/>
  <c r="G226" i="18"/>
  <c r="H226" i="18" s="1"/>
  <c r="E228" i="18"/>
  <c r="E226" i="18"/>
  <c r="AC228" i="18"/>
  <c r="AA228" i="18"/>
  <c r="Z228" i="18" s="1"/>
  <c r="P227" i="18"/>
  <c r="R227" i="18" s="1"/>
  <c r="AE226" i="18"/>
  <c r="J226" i="18"/>
  <c r="J228" i="18" s="1"/>
  <c r="P189" i="18"/>
  <c r="R189" i="18" s="1"/>
  <c r="O219" i="18"/>
  <c r="N219" i="18" s="1"/>
  <c r="J214" i="18"/>
  <c r="J216" i="18" s="1"/>
  <c r="J218" i="18" s="1"/>
  <c r="J207" i="18"/>
  <c r="J209" i="18" s="1"/>
  <c r="G207" i="18"/>
  <c r="H207" i="18" s="1"/>
  <c r="G214" i="18"/>
  <c r="H214" i="18" s="1"/>
  <c r="E209" i="18"/>
  <c r="E207" i="18"/>
  <c r="E220" i="18"/>
  <c r="E218" i="18"/>
  <c r="E216" i="18"/>
  <c r="E214" i="18"/>
  <c r="P208" i="18"/>
  <c r="R208" i="18" s="1"/>
  <c r="AE207" i="18"/>
  <c r="E222" i="18"/>
  <c r="P210" i="18"/>
  <c r="R210" i="18" s="1"/>
  <c r="E211" i="18"/>
  <c r="C211" i="18"/>
  <c r="AC211" i="18"/>
  <c r="B211" i="18"/>
  <c r="AE209" i="18"/>
  <c r="E127" i="18"/>
  <c r="P126" i="18"/>
  <c r="J194" i="18"/>
  <c r="G194" i="18"/>
  <c r="E196" i="18"/>
  <c r="E194" i="18"/>
  <c r="AE194" i="18"/>
  <c r="P195" i="18"/>
  <c r="R195" i="18" s="1"/>
  <c r="AC222" i="18"/>
  <c r="AA222" i="18"/>
  <c r="AD222" i="18" s="1"/>
  <c r="J186" i="18"/>
  <c r="J188" i="18" s="1"/>
  <c r="J190" i="18" s="1"/>
  <c r="E120" i="18"/>
  <c r="AC196" i="18"/>
  <c r="AA196" i="18"/>
  <c r="AD196" i="18" s="1"/>
  <c r="G184" i="18"/>
  <c r="H184" i="18" s="1"/>
  <c r="E190" i="18"/>
  <c r="E184" i="18"/>
  <c r="AC190" i="18"/>
  <c r="P221" i="18" l="1"/>
  <c r="R221" i="18" s="1"/>
  <c r="K207" i="18"/>
  <c r="AD228" i="18"/>
  <c r="K226" i="18"/>
  <c r="Q227" i="18" s="1"/>
  <c r="F227" i="18" s="1"/>
  <c r="G228" i="18" s="1"/>
  <c r="AE184" i="18"/>
  <c r="O217" i="18"/>
  <c r="N217" i="18" s="1"/>
  <c r="P219" i="18"/>
  <c r="R219" i="18" s="1"/>
  <c r="AE218" i="18"/>
  <c r="AE220" i="18"/>
  <c r="J211" i="18"/>
  <c r="J220" i="18" s="1"/>
  <c r="K184" i="18"/>
  <c r="Z179" i="18"/>
  <c r="O121" i="18"/>
  <c r="Q189" i="18" l="1"/>
  <c r="F189" i="18" s="1"/>
  <c r="Q185" i="18"/>
  <c r="F185" i="18" s="1"/>
  <c r="G186" i="18" s="1"/>
  <c r="H186" i="18" s="1"/>
  <c r="K186" i="18" s="1"/>
  <c r="Q187" i="18" s="1"/>
  <c r="F187" i="18" s="1"/>
  <c r="G188" i="18" s="1"/>
  <c r="H188" i="18" s="1"/>
  <c r="K188" i="18" s="1"/>
  <c r="AE211" i="18"/>
  <c r="AC226" i="18"/>
  <c r="O215" i="18"/>
  <c r="N215" i="18" s="1"/>
  <c r="J222" i="18"/>
  <c r="AC184" i="18"/>
  <c r="AD179" i="18"/>
  <c r="AA117" i="18"/>
  <c r="G190" i="18" l="1"/>
  <c r="S188" i="18" s="1"/>
  <c r="T188" i="18" s="1"/>
  <c r="AE216" i="18"/>
  <c r="P217" i="18"/>
  <c r="R217" i="18" s="1"/>
  <c r="B117" i="18"/>
  <c r="B122" i="18"/>
  <c r="AB122" i="18"/>
  <c r="AB117" i="18"/>
  <c r="C117" i="18"/>
  <c r="S184" i="18" l="1"/>
  <c r="T184" i="18" s="1"/>
  <c r="S186" i="18"/>
  <c r="T186" i="18" s="1"/>
  <c r="V186" i="18" s="1"/>
  <c r="V188" i="18"/>
  <c r="U188" i="18"/>
  <c r="P215" i="18"/>
  <c r="R215" i="18" s="1"/>
  <c r="AE214" i="18"/>
  <c r="H194" i="18"/>
  <c r="J125" i="18"/>
  <c r="G125" i="18"/>
  <c r="E131" i="18"/>
  <c r="E129" i="18"/>
  <c r="E125" i="18"/>
  <c r="AE125" i="18"/>
  <c r="J120" i="18"/>
  <c r="J122" i="18" s="1"/>
  <c r="G120" i="18"/>
  <c r="AC131" i="18"/>
  <c r="AA131" i="18"/>
  <c r="P130" i="18"/>
  <c r="R130" i="18" s="1"/>
  <c r="AE129" i="18"/>
  <c r="AC122" i="18"/>
  <c r="AA122" i="18"/>
  <c r="AE122" i="18" s="1"/>
  <c r="C122" i="18"/>
  <c r="G115" i="18"/>
  <c r="H115" i="18" s="1"/>
  <c r="E117" i="18"/>
  <c r="E115" i="18"/>
  <c r="AC117" i="18"/>
  <c r="P116" i="18"/>
  <c r="R116" i="18" s="1"/>
  <c r="AE115" i="18"/>
  <c r="J115" i="18"/>
  <c r="U186" i="18" l="1"/>
  <c r="U184" i="18"/>
  <c r="V184" i="18"/>
  <c r="W188" i="18"/>
  <c r="Y188" i="18"/>
  <c r="Y186" i="18"/>
  <c r="W186" i="18"/>
  <c r="J127" i="18"/>
  <c r="R126" i="18"/>
  <c r="K115" i="18"/>
  <c r="Q116" i="18" s="1"/>
  <c r="F116" i="18" s="1"/>
  <c r="J117" i="18"/>
  <c r="AE127" i="18"/>
  <c r="P128" i="18"/>
  <c r="R128" i="18" s="1"/>
  <c r="AD131" i="18"/>
  <c r="X186" i="18" l="1"/>
  <c r="Y184" i="18"/>
  <c r="Z184" i="18" s="1"/>
  <c r="AD184" i="18" s="1"/>
  <c r="W184" i="18"/>
  <c r="Z186" i="18"/>
  <c r="J129" i="18"/>
  <c r="G117" i="18"/>
  <c r="AE120" i="18"/>
  <c r="P121" i="18"/>
  <c r="AC115" i="18"/>
  <c r="X184" i="18" l="1"/>
  <c r="J131" i="18"/>
  <c r="R121" i="18"/>
  <c r="P109" i="18" l="1"/>
  <c r="Z110" i="18"/>
  <c r="J108" i="18" l="1"/>
  <c r="E110" i="18"/>
  <c r="E108" i="18"/>
  <c r="AE108" i="18" l="1"/>
  <c r="G108" i="18" l="1"/>
  <c r="H108" i="18" s="1"/>
  <c r="AC110" i="18" l="1"/>
  <c r="AD110" i="18"/>
  <c r="R109" i="18"/>
  <c r="J110" i="18"/>
  <c r="K108" i="18" l="1"/>
  <c r="Q109" i="18" s="1"/>
  <c r="F109" i="18" s="1"/>
  <c r="G110" i="18" l="1"/>
  <c r="AC108" i="18"/>
  <c r="S108" i="18" l="1"/>
  <c r="T108" i="18" s="1"/>
  <c r="V108" i="18" l="1"/>
  <c r="U108" i="18"/>
  <c r="W108" i="18" l="1"/>
  <c r="Y108" i="18"/>
  <c r="Z108" i="18" s="1"/>
  <c r="AD108" i="18" l="1"/>
  <c r="X108" i="18"/>
  <c r="H120" i="18" l="1"/>
  <c r="K120" i="18" s="1"/>
  <c r="AC120" i="18" l="1"/>
  <c r="Q121" i="18"/>
  <c r="F121" i="18" s="1"/>
  <c r="H125" i="18"/>
  <c r="G122" i="18" l="1"/>
  <c r="K125" i="18"/>
  <c r="Q126" i="18" s="1"/>
  <c r="F126" i="18" s="1"/>
  <c r="G127" i="18" s="1"/>
  <c r="H127" i="18" s="1"/>
  <c r="K127" i="18" s="1"/>
  <c r="AC125" i="18" l="1"/>
  <c r="Q128" i="18"/>
  <c r="F128" i="18" s="1"/>
  <c r="AC127" i="18"/>
  <c r="G129" i="18" l="1"/>
  <c r="H129" i="18" l="1"/>
  <c r="K129" i="18" s="1"/>
  <c r="Q130" i="18" l="1"/>
  <c r="F130" i="18" s="1"/>
  <c r="AC129" i="18"/>
  <c r="G137" i="18" l="1"/>
  <c r="G143" i="18"/>
  <c r="H143" i="18" s="1"/>
  <c r="G135" i="18"/>
  <c r="G141" i="18"/>
  <c r="H141" i="18" s="1"/>
  <c r="K141" i="18" s="1"/>
  <c r="G131" i="18"/>
  <c r="S155" i="18" s="1"/>
  <c r="T155" i="18" s="1"/>
  <c r="V155" i="18" l="1"/>
  <c r="U155" i="18"/>
  <c r="Q142" i="18"/>
  <c r="AC141" i="18"/>
  <c r="Q144" i="18"/>
  <c r="F144" i="18" s="1"/>
  <c r="AC143" i="18"/>
  <c r="S125" i="18"/>
  <c r="T125" i="18" s="1"/>
  <c r="S115" i="18"/>
  <c r="T115" i="18" s="1"/>
  <c r="U115" i="18" s="1"/>
  <c r="S120" i="18"/>
  <c r="T120" i="18" s="1"/>
  <c r="U120" i="18" s="1"/>
  <c r="S127" i="18"/>
  <c r="T127" i="18" s="1"/>
  <c r="V127" i="18" s="1"/>
  <c r="S129" i="18"/>
  <c r="T129" i="18" s="1"/>
  <c r="V129" i="18" s="1"/>
  <c r="S226" i="18"/>
  <c r="T226" i="18" s="1"/>
  <c r="V125" i="18"/>
  <c r="U125" i="18"/>
  <c r="G147" i="18" l="1"/>
  <c r="H147" i="18" s="1"/>
  <c r="K147" i="18" s="1"/>
  <c r="G145" i="18"/>
  <c r="H145" i="18" s="1"/>
  <c r="K145" i="18" s="1"/>
  <c r="W155" i="18"/>
  <c r="V120" i="18"/>
  <c r="Y120" i="18" s="1"/>
  <c r="U127" i="18"/>
  <c r="U129" i="18"/>
  <c r="V115" i="18"/>
  <c r="W115" i="18" s="1"/>
  <c r="V226" i="18"/>
  <c r="U226" i="18"/>
  <c r="Y129" i="18"/>
  <c r="W129" i="18"/>
  <c r="W125" i="18"/>
  <c r="Y125" i="18"/>
  <c r="Y127" i="18"/>
  <c r="W127" i="18"/>
  <c r="Q146" i="18" l="1"/>
  <c r="AC145" i="18"/>
  <c r="Q148" i="18"/>
  <c r="F148" i="18" s="1"/>
  <c r="AC147" i="18"/>
  <c r="Z129" i="18"/>
  <c r="Z117" i="18" s="1"/>
  <c r="Y115" i="18"/>
  <c r="W120" i="18"/>
  <c r="W226" i="18"/>
  <c r="Y226" i="18"/>
  <c r="X226" i="18" s="1"/>
  <c r="X129" i="18"/>
  <c r="G151" i="18" l="1"/>
  <c r="G149" i="18"/>
  <c r="H149" i="18" s="1"/>
  <c r="K149" i="18" s="1"/>
  <c r="K177" i="18" s="1"/>
  <c r="X127" i="18"/>
  <c r="Z127" i="18"/>
  <c r="Z122" i="18" s="1"/>
  <c r="Z120" i="18" s="1"/>
  <c r="AD129" i="18"/>
  <c r="AD117" i="18"/>
  <c r="Z226" i="18"/>
  <c r="AD226" i="18" s="1"/>
  <c r="AC149" i="18" l="1"/>
  <c r="Q150" i="18"/>
  <c r="AD122" i="18"/>
  <c r="Z125" i="18"/>
  <c r="AD125" i="18" s="1"/>
  <c r="X120" i="18"/>
  <c r="AD120" i="18"/>
  <c r="X115" i="18"/>
  <c r="Z115" i="18"/>
  <c r="AD115" i="18" s="1"/>
  <c r="AD127" i="18"/>
  <c r="X125" i="18"/>
  <c r="K194" i="18" l="1"/>
  <c r="AC194" i="18" s="1"/>
  <c r="J196" i="18"/>
  <c r="Q195" i="18" l="1"/>
  <c r="F195" i="18" s="1"/>
  <c r="H200" i="18" l="1"/>
  <c r="K200" i="18" s="1"/>
  <c r="AC207" i="18"/>
  <c r="G196" i="18"/>
  <c r="S194" i="18" s="1"/>
  <c r="T194" i="18" s="1"/>
  <c r="V194" i="18" l="1"/>
  <c r="U194" i="18"/>
  <c r="AC200" i="18"/>
  <c r="Q201" i="18"/>
  <c r="F201" i="18" s="1"/>
  <c r="Q208" i="18"/>
  <c r="F208" i="18" s="1"/>
  <c r="G202" i="18" l="1"/>
  <c r="H202" i="18" s="1"/>
  <c r="K202" i="18" s="1"/>
  <c r="Y194" i="18"/>
  <c r="X194" i="18" s="1"/>
  <c r="W194" i="18"/>
  <c r="G209" i="18"/>
  <c r="K214" i="18"/>
  <c r="AC202" i="18" l="1"/>
  <c r="Q203" i="18"/>
  <c r="F203" i="18" s="1"/>
  <c r="G204" i="18" s="1"/>
  <c r="Z194" i="18"/>
  <c r="H209" i="18"/>
  <c r="K209" i="18" s="1"/>
  <c r="Q215" i="18"/>
  <c r="F215" i="18" s="1"/>
  <c r="AC214" i="18"/>
  <c r="AD194" i="18" l="1"/>
  <c r="X188" i="18"/>
  <c r="Z188" i="18"/>
  <c r="Q210" i="18"/>
  <c r="F210" i="18" s="1"/>
  <c r="G211" i="18" s="1"/>
  <c r="G216" i="18"/>
  <c r="AC209" i="18" l="1"/>
  <c r="H216" i="18"/>
  <c r="K216" i="18" s="1"/>
  <c r="Q217" i="18" l="1"/>
  <c r="F217" i="18" s="1"/>
  <c r="G218" i="18" s="1"/>
  <c r="AC216" i="18"/>
  <c r="H218" i="18" l="1"/>
  <c r="K218" i="18" s="1"/>
  <c r="AC218" i="18" l="1"/>
  <c r="Q219" i="18"/>
  <c r="F219" i="18" s="1"/>
  <c r="G220" i="18" s="1"/>
  <c r="H220" i="18" l="1"/>
  <c r="K220" i="18" s="1"/>
  <c r="Q221" i="18" l="1"/>
  <c r="F221" i="18" s="1"/>
  <c r="G222" i="18" s="1"/>
  <c r="AC220" i="18"/>
  <c r="S200" i="18" l="1"/>
  <c r="T200" i="18" s="1"/>
  <c r="S202" i="18"/>
  <c r="T202" i="18" s="1"/>
  <c r="S216" i="18"/>
  <c r="T216" i="18" s="1"/>
  <c r="S209" i="18"/>
  <c r="T209" i="18" s="1"/>
  <c r="S214" i="18"/>
  <c r="T214" i="18" s="1"/>
  <c r="S207" i="18"/>
  <c r="T207" i="18" s="1"/>
  <c r="S220" i="18"/>
  <c r="T220" i="18" s="1"/>
  <c r="S218" i="18"/>
  <c r="T218" i="18" s="1"/>
  <c r="V200" i="18"/>
  <c r="U200" i="18"/>
  <c r="U207" i="18" l="1"/>
  <c r="V207" i="18"/>
  <c r="U216" i="18"/>
  <c r="V216" i="18"/>
  <c r="U220" i="18"/>
  <c r="V220" i="18"/>
  <c r="U202" i="18"/>
  <c r="V202" i="18"/>
  <c r="V218" i="18"/>
  <c r="U218" i="18"/>
  <c r="U214" i="18"/>
  <c r="V214" i="18"/>
  <c r="V209" i="18"/>
  <c r="U209" i="18"/>
  <c r="Y200" i="18"/>
  <c r="W200" i="18"/>
  <c r="Y214" i="18" l="1"/>
  <c r="W214" i="18"/>
  <c r="Y220" i="18"/>
  <c r="Z220" i="18" s="1"/>
  <c r="W220" i="18"/>
  <c r="W216" i="18"/>
  <c r="Y216" i="18"/>
  <c r="W218" i="18"/>
  <c r="Y218" i="18"/>
  <c r="Y207" i="18"/>
  <c r="W207" i="18"/>
  <c r="W202" i="18"/>
  <c r="Y202" i="18"/>
  <c r="W209" i="18"/>
  <c r="Y209" i="18"/>
  <c r="Z218" i="18" l="1"/>
  <c r="AD218" i="18" s="1"/>
  <c r="X220" i="18"/>
  <c r="X218" i="18"/>
  <c r="AD220" i="18"/>
  <c r="Z211" i="18"/>
  <c r="Z214" i="18"/>
  <c r="AD214" i="18" s="1"/>
  <c r="X214" i="18" l="1"/>
  <c r="X216" i="18"/>
  <c r="Z216" i="18"/>
  <c r="AD216" i="18" s="1"/>
  <c r="AD211" i="18"/>
  <c r="X209" i="18"/>
  <c r="Z209" i="18"/>
  <c r="AD209" i="18" l="1"/>
  <c r="Z204" i="18"/>
  <c r="Z207" i="18"/>
  <c r="AD207" i="18" s="1"/>
  <c r="X207" i="18"/>
  <c r="AD204" i="18" l="1"/>
  <c r="X202" i="18"/>
  <c r="Z202" i="18"/>
  <c r="AD202" i="18" l="1"/>
  <c r="Z200" i="18"/>
  <c r="AD200" i="18" s="1"/>
  <c r="X200" i="18"/>
  <c r="G165" i="18" l="1"/>
  <c r="H165" i="18" s="1"/>
  <c r="K165" i="18" l="1"/>
  <c r="AC165" i="18" s="1"/>
  <c r="Q166" i="18" l="1"/>
  <c r="F166" i="18" s="1"/>
  <c r="G167" i="18" s="1"/>
  <c r="H167" i="18" s="1"/>
  <c r="K167" i="18" l="1"/>
  <c r="AC167" i="18" s="1"/>
  <c r="Q168" i="18" l="1"/>
  <c r="F168" i="18" s="1"/>
  <c r="G169" i="18" s="1"/>
  <c r="H169" i="18" s="1"/>
  <c r="K169" i="18" l="1"/>
  <c r="AC169" i="18" s="1"/>
  <c r="Q170" i="18" l="1"/>
  <c r="F170" i="18" s="1"/>
  <c r="G171" i="18" s="1"/>
  <c r="H171" i="18" s="1"/>
  <c r="K171" i="18" s="1"/>
  <c r="AC171" i="18" s="1"/>
  <c r="Q172" i="18" l="1"/>
  <c r="F172" i="18" s="1"/>
  <c r="G173" i="18" s="1"/>
  <c r="H173" i="18" s="1"/>
  <c r="K173" i="18" s="1"/>
  <c r="Q174" i="18" s="1"/>
  <c r="F174" i="18" s="1"/>
  <c r="G175" i="18" s="1"/>
  <c r="H175" i="18" s="1"/>
  <c r="K175" i="18" s="1"/>
  <c r="AC173" i="18" l="1"/>
  <c r="Q176" i="18"/>
  <c r="F176" i="18" s="1"/>
  <c r="G177" i="18" s="1"/>
  <c r="H177" i="18" s="1"/>
  <c r="AC175" i="18"/>
  <c r="F178" i="18" l="1"/>
  <c r="G179" i="18" s="1"/>
  <c r="S161" i="18" l="1"/>
  <c r="T161" i="18" s="1"/>
  <c r="S163" i="18"/>
  <c r="T163" i="18" s="1"/>
  <c r="S157" i="18"/>
  <c r="T157" i="18" s="1"/>
  <c r="S159" i="18"/>
  <c r="T159" i="18" s="1"/>
  <c r="S169" i="18"/>
  <c r="T169" i="18" s="1"/>
  <c r="S167" i="18"/>
  <c r="T167" i="18" s="1"/>
  <c r="S177" i="18"/>
  <c r="T177" i="18" s="1"/>
  <c r="S175" i="18"/>
  <c r="T175" i="18" s="1"/>
  <c r="S173" i="18"/>
  <c r="T173" i="18" s="1"/>
  <c r="S165" i="18"/>
  <c r="T165" i="18" s="1"/>
  <c r="S171" i="18"/>
  <c r="T171" i="18" s="1"/>
  <c r="AC177" i="18"/>
  <c r="V157" i="18" l="1"/>
  <c r="U157" i="18"/>
  <c r="U163" i="18"/>
  <c r="V163" i="18"/>
  <c r="V159" i="18"/>
  <c r="U159" i="18"/>
  <c r="U161" i="18"/>
  <c r="V161" i="18"/>
  <c r="V165" i="18"/>
  <c r="U165" i="18"/>
  <c r="V173" i="18"/>
  <c r="U173" i="18"/>
  <c r="U167" i="18"/>
  <c r="V167" i="18"/>
  <c r="U171" i="18"/>
  <c r="V171" i="18"/>
  <c r="U177" i="18"/>
  <c r="V177" i="18"/>
  <c r="U169" i="18"/>
  <c r="V169" i="18"/>
  <c r="U175" i="18"/>
  <c r="V175" i="18"/>
  <c r="W163" i="18" l="1"/>
  <c r="Y163" i="18"/>
  <c r="Y161" i="18"/>
  <c r="W161" i="18"/>
  <c r="X163" i="18"/>
  <c r="Z163" i="18"/>
  <c r="X161" i="18" s="1"/>
  <c r="W159" i="18"/>
  <c r="Y159" i="18"/>
  <c r="Y157" i="18"/>
  <c r="W157" i="18"/>
  <c r="Y169" i="18"/>
  <c r="Z169" i="18" s="1"/>
  <c r="AD169" i="18" s="1"/>
  <c r="W169" i="18"/>
  <c r="Y171" i="18"/>
  <c r="W171" i="18"/>
  <c r="W173" i="18"/>
  <c r="Y173" i="18"/>
  <c r="Z173" i="18" s="1"/>
  <c r="AD173" i="18" s="1"/>
  <c r="W175" i="18"/>
  <c r="Y175" i="18"/>
  <c r="X171" i="18"/>
  <c r="Z171" i="18"/>
  <c r="AD171" i="18" s="1"/>
  <c r="X169" i="18"/>
  <c r="Y177" i="18"/>
  <c r="X177" i="18" s="1"/>
  <c r="W177" i="18"/>
  <c r="W167" i="18"/>
  <c r="Y167" i="18"/>
  <c r="Z167" i="18" s="1"/>
  <c r="W165" i="18"/>
  <c r="Y165" i="18"/>
  <c r="Z161" i="18" l="1"/>
  <c r="Z175" i="18"/>
  <c r="AD175" i="18" s="1"/>
  <c r="X175" i="18"/>
  <c r="X159" i="18"/>
  <c r="AD161" i="18"/>
  <c r="Z157" i="18"/>
  <c r="Z155" i="18" s="1"/>
  <c r="AD163" i="18"/>
  <c r="Z159" i="18"/>
  <c r="AD167" i="18"/>
  <c r="Z165" i="18"/>
  <c r="AD165" i="18" s="1"/>
  <c r="X165" i="18"/>
  <c r="X167" i="18"/>
  <c r="Z177" i="18"/>
  <c r="X173" i="18"/>
  <c r="AD177" i="18" l="1"/>
  <c r="Z151" i="18"/>
  <c r="AD159" i="18"/>
  <c r="X157" i="18"/>
  <c r="AD157" i="18"/>
  <c r="X155" i="18"/>
  <c r="X147" i="18"/>
  <c r="AD151" i="18" l="1"/>
  <c r="X149" i="18"/>
  <c r="Z149" i="18"/>
  <c r="AD155" i="18"/>
  <c r="AD149" i="18" l="1"/>
  <c r="Z147" i="18"/>
  <c r="X145" i="18" l="1"/>
  <c r="Z145" i="18"/>
  <c r="Z143" i="18" s="1"/>
  <c r="AD147" i="18"/>
  <c r="AD145" i="18" l="1"/>
  <c r="X143" i="18"/>
  <c r="X141" i="18" l="1"/>
  <c r="Z141" i="18"/>
  <c r="AD141" i="18" s="1"/>
  <c r="AD143" i="18"/>
</calcChain>
</file>

<file path=xl/sharedStrings.xml><?xml version="1.0" encoding="utf-8"?>
<sst xmlns="http://schemas.openxmlformats.org/spreadsheetml/2006/main" count="369" uniqueCount="115">
  <si>
    <t>DO NOT EDIT THESE #'S!!!  THEY ARE PART OF CALCS.</t>
  </si>
  <si>
    <t>*</t>
  </si>
  <si>
    <t>Q*n/(D^8/3*So^.5)</t>
  </si>
  <si>
    <t>d/D</t>
  </si>
  <si>
    <t>AREA/D^2</t>
  </si>
  <si>
    <t xml:space="preserve">  ***</t>
  </si>
  <si>
    <t>****************</t>
  </si>
  <si>
    <t>********</t>
  </si>
  <si>
    <t>*******</t>
  </si>
  <si>
    <t>***</t>
  </si>
  <si>
    <t>___________________________________________________________</t>
  </si>
  <si>
    <t>_____________________________________</t>
  </si>
  <si>
    <t>MANNING'S N</t>
  </si>
  <si>
    <t>DESIGN YEAR</t>
  </si>
  <si>
    <t>CHECK YEAR</t>
  </si>
  <si>
    <t>PROJECT:</t>
  </si>
  <si>
    <t>HYDRUALIC GRADIENT CONDITION, K =</t>
  </si>
  <si>
    <t>1: NORMAL DEPTH</t>
  </si>
  <si>
    <t>PROJECT NO.:</t>
  </si>
  <si>
    <t>2: FULL DEPTH</t>
  </si>
  <si>
    <t>3: TAILWATER</t>
  </si>
  <si>
    <t xml:space="preserve"> #</t>
  </si>
  <si>
    <t>STA.</t>
  </si>
  <si>
    <t>a</t>
  </si>
  <si>
    <t>A</t>
  </si>
  <si>
    <t>t</t>
  </si>
  <si>
    <t>T</t>
  </si>
  <si>
    <t>i</t>
  </si>
  <si>
    <t>C</t>
  </si>
  <si>
    <t>AC</t>
  </si>
  <si>
    <t>Q</t>
  </si>
  <si>
    <t>SZ</t>
  </si>
  <si>
    <t>L</t>
  </si>
  <si>
    <t>IN INV</t>
  </si>
  <si>
    <t>OUT</t>
  </si>
  <si>
    <t>So</t>
  </si>
  <si>
    <t>Vm</t>
  </si>
  <si>
    <t>Qfull</t>
  </si>
  <si>
    <t>dn</t>
  </si>
  <si>
    <t>Sf</t>
  </si>
  <si>
    <t>H</t>
  </si>
  <si>
    <t>K</t>
  </si>
  <si>
    <t>H'</t>
  </si>
  <si>
    <t>HY GR</t>
  </si>
  <si>
    <t>GRATE</t>
  </si>
  <si>
    <t>STRUCT</t>
  </si>
  <si>
    <t>Q check</t>
  </si>
  <si>
    <t>HGL Check</t>
  </si>
  <si>
    <t>OUTLET</t>
  </si>
  <si>
    <t>CB-2-2B</t>
  </si>
  <si>
    <t>Minimum Depth</t>
  </si>
  <si>
    <t>D?</t>
  </si>
  <si>
    <t>SR 32 EB Sta. 262+00.00, 35.14' Lt</t>
  </si>
  <si>
    <t>Eight Mile Sta. 18+24.04, 51.58' Rt.</t>
  </si>
  <si>
    <t>SR 32 EB Sta. 253+10.48, 19.64' Rt</t>
  </si>
  <si>
    <t>SR 32 EB Sta. 254+59.96, 23.71' Rt</t>
  </si>
  <si>
    <t>I-2-20</t>
  </si>
  <si>
    <t>HW</t>
  </si>
  <si>
    <t>MH-3-72</t>
  </si>
  <si>
    <t>SR 32 EB Sta. 252+43.68, 251.45' Rt.</t>
  </si>
  <si>
    <t>SR 32 EB Sta. 253+24.18, 40.00' Lt.</t>
  </si>
  <si>
    <t>SR 32 EB Sta. 253+61.48, 57.89' Lt,</t>
  </si>
  <si>
    <t>SR 32 EB Sta. 253+33.75, 63.65' Lt.</t>
  </si>
  <si>
    <t>CB-3</t>
  </si>
  <si>
    <t>(Dc+D)/2 --&gt;</t>
  </si>
  <si>
    <t>Eight Mile Sta. 11+71.81, 23.44' Lt.</t>
  </si>
  <si>
    <t>Eight Mile Sta. 12+48.44, 28.96' Rt.</t>
  </si>
  <si>
    <t>Eight Mile Sta. 11+71.97, 24.54' Rt</t>
  </si>
  <si>
    <t>Eight Mile Sta. 12+00.00, 14.00' Lt.</t>
  </si>
  <si>
    <t>Eight Mile Sta. 16+15.00, 14.00' Lt.</t>
  </si>
  <si>
    <t>Eight Mile Sta. 16+15.00, 55.00' Rt.</t>
  </si>
  <si>
    <t>Eight Mile Sta. 11+71.81, 14.00' Lt.</t>
  </si>
  <si>
    <t>Eight Mile Sta. 11+71.81, 14.00' Rt.</t>
  </si>
  <si>
    <t>CB-3a</t>
  </si>
  <si>
    <t>Eight Mile Sta. 13+75.00, 14.00' Lt.</t>
  </si>
  <si>
    <t>Eight Mile Sta. 12+75.00, 14.00' Lt.</t>
  </si>
  <si>
    <t>Eight Mile Sta. 12+00.00, 14.00' Rt.</t>
  </si>
  <si>
    <t>SR 32 WB Sta. 260+95.29, 48.33' Lt.</t>
  </si>
  <si>
    <t>SR 32 WB Sta. 261+56.58, 30.01' Lt.</t>
  </si>
  <si>
    <t>SR 32 EB Sta. 265+63.21, 16' Rt</t>
  </si>
  <si>
    <t>SR 32 EB Sta. 265+63.21, 64.31' Rt.</t>
  </si>
  <si>
    <t>MH-3</t>
  </si>
  <si>
    <t>US 50 Sta. 1675+75, Lt,</t>
  </si>
  <si>
    <t>US 50 Sta. 1673+91, Rt,</t>
  </si>
  <si>
    <t>US 50 Sta. 1677+75, Lt.</t>
  </si>
  <si>
    <t>US 50 Sta. 1679+75, Lt.</t>
  </si>
  <si>
    <t>US 50 Sta. 1681+30, Lt.</t>
  </si>
  <si>
    <t>US 50 Sta. 1681+60, Lt.</t>
  </si>
  <si>
    <t>US 50 Sta. 1682+10, Lt.</t>
  </si>
  <si>
    <t>US 50 Sta. 1684+25, Lt.</t>
  </si>
  <si>
    <t>US 50 Sta. 1684+30, Lt.</t>
  </si>
  <si>
    <t>US 50 Sta. 1684+50, Rt.</t>
  </si>
  <si>
    <t>&lt;== added 8" &amp; 12"</t>
  </si>
  <si>
    <t>&lt;== 12"</t>
  </si>
  <si>
    <t>CALC BY:  ZTM</t>
  </si>
  <si>
    <t>CHECK BY: SNS</t>
  </si>
  <si>
    <t>HAM-COLUMBIA CONNECTOR</t>
  </si>
  <si>
    <t>D3</t>
  </si>
  <si>
    <t>SLOTTED</t>
  </si>
  <si>
    <t>D2</t>
  </si>
  <si>
    <t>&lt;== (12" FULL)</t>
  </si>
  <si>
    <t>EX. CB-2-2B</t>
  </si>
  <si>
    <t>EX. MH-3</t>
  </si>
  <si>
    <t>EX. CB-3</t>
  </si>
  <si>
    <t>D7</t>
  </si>
  <si>
    <t>D4</t>
  </si>
  <si>
    <t>LAST REV: 2/18/2025</t>
  </si>
  <si>
    <t>C.C, STA. 71+50.37, 7.9' RT</t>
  </si>
  <si>
    <t>C.C, STA. 71+70.15, 9.0' RT</t>
  </si>
  <si>
    <t>C.C, STA. 71+31.33, 10.1' RT</t>
  </si>
  <si>
    <t>C.C, STA. 72+03.40, 12.6' RT</t>
  </si>
  <si>
    <t>C.C, STA. 72+47.77, 7.6' RT</t>
  </si>
  <si>
    <t>C.C, STA. 73+05.05, 7.0' RT</t>
  </si>
  <si>
    <t>C.C, STA. 72+99.57, 33.5' RT</t>
  </si>
  <si>
    <t>C.C, STA. 72+71.75, 7.3' 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</si>
</sst>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0070C0"/>
      <name val="Arial"/>
      <family val="2"/>
    </font>
    <font>
      <sz val="10"/>
      <color rgb="FF00B050"/>
      <name val="Arial"/>
      <family val="2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  <font>
      <sz val="11"/>
      <color rgb="FF00B0F0"/>
      <name val="Calibri"/>
      <family val="2"/>
      <scheme val="minor"/>
    </font>
    <font>
      <sz val="10"/>
      <color theme="5"/>
      <name val="Arial"/>
      <family val="2"/>
    </font>
    <font>
      <sz val="10"/>
      <color theme="6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theme="7" tint="0.59999389629810485"/>
        <bgColor indexed="9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2" borderId="0" xfId="1" applyFill="1"/>
    <xf numFmtId="0" fontId="1" fillId="2" borderId="0" xfId="1" applyFill="1" applyAlignment="1">
      <alignment horizontal="center"/>
    </xf>
    <xf numFmtId="0" fontId="1" fillId="3" borderId="0" xfId="1" applyFill="1"/>
    <xf numFmtId="0" fontId="3" fillId="2" borderId="0" xfId="1" applyFont="1" applyFill="1"/>
    <xf numFmtId="22" fontId="1" fillId="2" borderId="0" xfId="1" applyNumberFormat="1" applyFill="1"/>
    <xf numFmtId="0" fontId="1" fillId="3" borderId="0" xfId="1" applyFill="1" applyAlignment="1">
      <alignment horizontal="center"/>
    </xf>
    <xf numFmtId="0" fontId="1" fillId="4" borderId="0" xfId="1" applyFill="1"/>
    <xf numFmtId="0" fontId="1" fillId="0" borderId="0" xfId="1" applyAlignment="1">
      <alignment horizontal="center"/>
    </xf>
    <xf numFmtId="2" fontId="1" fillId="0" borderId="0" xfId="1" applyNumberFormat="1"/>
    <xf numFmtId="2" fontId="1" fillId="2" borderId="0" xfId="1" applyNumberFormat="1" applyFill="1"/>
    <xf numFmtId="164" fontId="1" fillId="0" borderId="0" xfId="1" applyNumberFormat="1"/>
    <xf numFmtId="164" fontId="1" fillId="2" borderId="0" xfId="1" applyNumberFormat="1" applyFill="1"/>
    <xf numFmtId="0" fontId="1" fillId="0" borderId="0" xfId="1"/>
    <xf numFmtId="40" fontId="1" fillId="6" borderId="0" xfId="1" applyNumberFormat="1" applyFill="1"/>
    <xf numFmtId="1" fontId="1" fillId="0" borderId="0" xfId="1" applyNumberFormat="1"/>
    <xf numFmtId="165" fontId="1" fillId="0" borderId="0" xfId="1" applyNumberFormat="1"/>
    <xf numFmtId="0" fontId="1" fillId="6" borderId="0" xfId="1" applyFill="1"/>
    <xf numFmtId="0" fontId="1" fillId="7" borderId="0" xfId="1" applyFill="1" applyAlignment="1">
      <alignment horizontal="center"/>
    </xf>
    <xf numFmtId="2" fontId="5" fillId="0" borderId="0" xfId="1" applyNumberFormat="1" applyFont="1"/>
    <xf numFmtId="2" fontId="4" fillId="0" borderId="0" xfId="1" applyNumberFormat="1" applyFont="1"/>
    <xf numFmtId="0" fontId="1" fillId="4" borderId="0" xfId="1" applyFill="1" applyAlignment="1">
      <alignment horizontal="center"/>
    </xf>
    <xf numFmtId="2" fontId="2" fillId="0" borderId="0" xfId="1" applyNumberFormat="1" applyFont="1"/>
    <xf numFmtId="0" fontId="2" fillId="0" borderId="0" xfId="1" applyFont="1"/>
    <xf numFmtId="164" fontId="4" fillId="0" borderId="0" xfId="1" applyNumberFormat="1" applyFont="1"/>
    <xf numFmtId="40" fontId="1" fillId="0" borderId="0" xfId="1" applyNumberFormat="1"/>
    <xf numFmtId="0" fontId="1" fillId="5" borderId="0" xfId="1" applyFill="1"/>
    <xf numFmtId="0" fontId="0" fillId="4" borderId="0" xfId="0" applyFill="1" applyAlignment="1">
      <alignment horizontal="center"/>
    </xf>
    <xf numFmtId="0" fontId="0" fillId="4" borderId="0" xfId="0" applyFill="1"/>
    <xf numFmtId="0" fontId="0" fillId="0" borderId="0" xfId="0" applyAlignment="1">
      <alignment horizontal="center"/>
    </xf>
    <xf numFmtId="2" fontId="0" fillId="0" borderId="0" xfId="0" applyNumberFormat="1"/>
    <xf numFmtId="2" fontId="0" fillId="2" borderId="0" xfId="0" applyNumberFormat="1" applyFill="1"/>
    <xf numFmtId="0" fontId="0" fillId="2" borderId="0" xfId="0" applyFill="1"/>
    <xf numFmtId="164" fontId="0" fillId="2" borderId="0" xfId="0" applyNumberFormat="1" applyFill="1"/>
    <xf numFmtId="40" fontId="0" fillId="6" borderId="0" xfId="0" applyNumberFormat="1" applyFill="1"/>
    <xf numFmtId="0" fontId="0" fillId="3" borderId="0" xfId="0" applyFill="1"/>
    <xf numFmtId="0" fontId="1" fillId="0" borderId="0" xfId="0" applyFont="1"/>
    <xf numFmtId="165" fontId="0" fillId="2" borderId="0" xfId="0" applyNumberFormat="1" applyFill="1"/>
    <xf numFmtId="1" fontId="0" fillId="2" borderId="0" xfId="0" applyNumberFormat="1" applyFill="1"/>
    <xf numFmtId="0" fontId="1" fillId="2" borderId="0" xfId="0" applyFont="1" applyFill="1"/>
    <xf numFmtId="2" fontId="0" fillId="3" borderId="0" xfId="0" applyNumberFormat="1" applyFill="1"/>
    <xf numFmtId="1" fontId="0" fillId="0" borderId="0" xfId="0" applyNumberFormat="1"/>
    <xf numFmtId="2" fontId="1" fillId="0" borderId="0" xfId="0" applyNumberFormat="1" applyFont="1"/>
    <xf numFmtId="0" fontId="0" fillId="7" borderId="0" xfId="0" applyFill="1" applyAlignment="1">
      <alignment horizontal="center"/>
    </xf>
    <xf numFmtId="164" fontId="0" fillId="0" borderId="0" xfId="0" applyNumberFormat="1"/>
    <xf numFmtId="165" fontId="0" fillId="0" borderId="0" xfId="0" applyNumberFormat="1"/>
    <xf numFmtId="2" fontId="1" fillId="2" borderId="0" xfId="0" applyNumberFormat="1" applyFont="1" applyFill="1"/>
    <xf numFmtId="2" fontId="4" fillId="0" borderId="0" xfId="0" applyNumberFormat="1" applyFont="1"/>
    <xf numFmtId="2" fontId="4" fillId="2" borderId="0" xfId="0" applyNumberFormat="1" applyFont="1" applyFill="1"/>
    <xf numFmtId="2" fontId="5" fillId="0" borderId="0" xfId="0" applyNumberFormat="1" applyFont="1"/>
    <xf numFmtId="2" fontId="6" fillId="0" borderId="0" xfId="0" applyNumberFormat="1" applyFont="1"/>
    <xf numFmtId="2" fontId="7" fillId="2" borderId="0" xfId="0" applyNumberFormat="1" applyFont="1" applyFill="1"/>
    <xf numFmtId="0" fontId="0" fillId="5" borderId="0" xfId="0" applyFill="1" applyAlignment="1">
      <alignment horizontal="center"/>
    </xf>
    <xf numFmtId="0" fontId="0" fillId="8" borderId="0" xfId="0" applyFill="1" applyAlignment="1">
      <alignment horizontal="center"/>
    </xf>
    <xf numFmtId="2" fontId="8" fillId="0" borderId="0" xfId="0" applyNumberFormat="1" applyFont="1"/>
    <xf numFmtId="0" fontId="8" fillId="0" borderId="0" xfId="0" applyFont="1"/>
    <xf numFmtId="2" fontId="9" fillId="0" borderId="0" xfId="0" applyNumberFormat="1" applyFont="1"/>
    <xf numFmtId="0" fontId="9" fillId="0" borderId="0" xfId="0" applyFont="1"/>
    <xf numFmtId="2" fontId="10" fillId="0" borderId="0" xfId="0" applyNumberFormat="1" applyFon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1" applyAlignment="1">
      <alignment horizontal="right"/>
    </xf>
    <xf numFmtId="0" fontId="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1" fontId="1" fillId="2" borderId="0" xfId="1" applyNumberFormat="1" applyFill="1"/>
    <xf numFmtId="0" fontId="1" fillId="2" borderId="0" xfId="1" applyFill="1"/>
  </cellXfs>
  <cellStyles count="2">
    <cellStyle name="Normal" xfId="0" builtinId="0"/>
    <cellStyle name="Normal 2" xfId="1" xr:uid="{00000000-0005-0000-0000-000001000000}"/>
  </cellStyles>
  <dxfs count="41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</dxfs>
  <tableStyles count="0" defaultTableStyle="TableStyleMedium2" defaultPivotStyle="PivotStyleLight16"/>
  <colors>
    <mruColors>
      <color rgb="FFFFFF99"/>
      <color rgb="FF99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A1E16-ACA0-4BA4-AFA2-5F1D5D157329}">
  <dimension ref="A1:AE366"/>
  <sheetViews>
    <sheetView showGridLines="0" tabSelected="1" view="pageBreakPreview" topLeftCell="B100" zoomScaleNormal="100" zoomScaleSheetLayoutView="100" workbookViewId="0">
      <pane ySplit="6" topLeftCell="A134" activePane="bottomLeft" state="frozenSplit"/>
      <selection pane="bottomLeft" activeCell="P140" sqref="P140"/>
    </sheetView>
  </sheetViews>
  <sheetFormatPr defaultRowHeight="12.75" x14ac:dyDescent="0.2"/>
  <cols>
    <col min="1" max="1" width="1.7109375" style="1" hidden="1" customWidth="1"/>
    <col min="2" max="2" width="6.85546875" style="2" bestFit="1" customWidth="1"/>
    <col min="3" max="3" width="25.42578125" style="1" customWidth="1"/>
    <col min="4" max="4" width="6.7109375" style="1" customWidth="1"/>
    <col min="5" max="5" width="7.7109375" style="1" customWidth="1"/>
    <col min="6" max="7" width="6.7109375" style="1" customWidth="1"/>
    <col min="8" max="8" width="5.7109375" style="1" customWidth="1"/>
    <col min="9" max="9" width="6.7109375" style="1" customWidth="1"/>
    <col min="10" max="10" width="6.42578125" style="1" customWidth="1"/>
    <col min="11" max="11" width="8.7109375" style="1" customWidth="1"/>
    <col min="12" max="12" width="4.7109375" style="1" customWidth="1"/>
    <col min="13" max="13" width="5.7109375" style="1" customWidth="1"/>
    <col min="14" max="14" width="10.5703125" style="1" customWidth="1"/>
    <col min="15" max="15" width="9.7109375" style="1" customWidth="1"/>
    <col min="16" max="16" width="10.7109375" style="1" customWidth="1"/>
    <col min="17" max="18" width="7.7109375" style="1" customWidth="1"/>
    <col min="19" max="19" width="5.7109375" style="1" customWidth="1"/>
    <col min="20" max="20" width="7.7109375" style="1" customWidth="1"/>
    <col min="21" max="21" width="6.7109375" style="1" customWidth="1"/>
    <col min="22" max="22" width="8.7109375" style="1" customWidth="1"/>
    <col min="23" max="23" width="7.7109375" style="1" customWidth="1"/>
    <col min="24" max="24" width="7.28515625" style="1" customWidth="1"/>
    <col min="25" max="25" width="8.7109375" style="1" customWidth="1"/>
    <col min="26" max="27" width="9.7109375" style="1" customWidth="1"/>
    <col min="28" max="28" width="11.85546875" style="1" bestFit="1" customWidth="1"/>
    <col min="29" max="29" width="9.140625" style="3"/>
    <col min="30" max="30" width="12.140625" style="3" bestFit="1" customWidth="1"/>
    <col min="31" max="31" width="14.140625" style="3" bestFit="1" customWidth="1"/>
    <col min="32" max="256" width="9.140625" style="1"/>
    <col min="257" max="257" width="0" style="1" hidden="1" customWidth="1"/>
    <col min="258" max="258" width="6.85546875" style="1" bestFit="1" customWidth="1"/>
    <col min="259" max="259" width="23.28515625" style="1" customWidth="1"/>
    <col min="260" max="260" width="6.7109375" style="1" customWidth="1"/>
    <col min="261" max="261" width="7.7109375" style="1" customWidth="1"/>
    <col min="262" max="263" width="6.7109375" style="1" customWidth="1"/>
    <col min="264" max="264" width="5.7109375" style="1" customWidth="1"/>
    <col min="265" max="265" width="6.7109375" style="1" customWidth="1"/>
    <col min="266" max="266" width="6.42578125" style="1" customWidth="1"/>
    <col min="267" max="267" width="8.7109375" style="1" customWidth="1"/>
    <col min="268" max="268" width="4.7109375" style="1" customWidth="1"/>
    <col min="269" max="269" width="5.7109375" style="1" customWidth="1"/>
    <col min="270" max="270" width="10.5703125" style="1" customWidth="1"/>
    <col min="271" max="271" width="9.7109375" style="1" customWidth="1"/>
    <col min="272" max="272" width="10.7109375" style="1" customWidth="1"/>
    <col min="273" max="274" width="7.7109375" style="1" customWidth="1"/>
    <col min="275" max="275" width="5.7109375" style="1" customWidth="1"/>
    <col min="276" max="276" width="7.7109375" style="1" customWidth="1"/>
    <col min="277" max="277" width="6.7109375" style="1" customWidth="1"/>
    <col min="278" max="278" width="8.7109375" style="1" customWidth="1"/>
    <col min="279" max="279" width="7.7109375" style="1" customWidth="1"/>
    <col min="280" max="280" width="3.7109375" style="1" customWidth="1"/>
    <col min="281" max="281" width="8.7109375" style="1" customWidth="1"/>
    <col min="282" max="283" width="9.7109375" style="1" customWidth="1"/>
    <col min="284" max="284" width="13.5703125" style="1" bestFit="1" customWidth="1"/>
    <col min="285" max="285" width="9.140625" style="1"/>
    <col min="286" max="286" width="12.140625" style="1" bestFit="1" customWidth="1"/>
    <col min="287" max="512" width="9.140625" style="1"/>
    <col min="513" max="513" width="0" style="1" hidden="1" customWidth="1"/>
    <col min="514" max="514" width="6.85546875" style="1" bestFit="1" customWidth="1"/>
    <col min="515" max="515" width="23.28515625" style="1" customWidth="1"/>
    <col min="516" max="516" width="6.7109375" style="1" customWidth="1"/>
    <col min="517" max="517" width="7.7109375" style="1" customWidth="1"/>
    <col min="518" max="519" width="6.7109375" style="1" customWidth="1"/>
    <col min="520" max="520" width="5.7109375" style="1" customWidth="1"/>
    <col min="521" max="521" width="6.7109375" style="1" customWidth="1"/>
    <col min="522" max="522" width="6.42578125" style="1" customWidth="1"/>
    <col min="523" max="523" width="8.7109375" style="1" customWidth="1"/>
    <col min="524" max="524" width="4.7109375" style="1" customWidth="1"/>
    <col min="525" max="525" width="5.7109375" style="1" customWidth="1"/>
    <col min="526" max="526" width="10.5703125" style="1" customWidth="1"/>
    <col min="527" max="527" width="9.7109375" style="1" customWidth="1"/>
    <col min="528" max="528" width="10.7109375" style="1" customWidth="1"/>
    <col min="529" max="530" width="7.7109375" style="1" customWidth="1"/>
    <col min="531" max="531" width="5.7109375" style="1" customWidth="1"/>
    <col min="532" max="532" width="7.7109375" style="1" customWidth="1"/>
    <col min="533" max="533" width="6.7109375" style="1" customWidth="1"/>
    <col min="534" max="534" width="8.7109375" style="1" customWidth="1"/>
    <col min="535" max="535" width="7.7109375" style="1" customWidth="1"/>
    <col min="536" max="536" width="3.7109375" style="1" customWidth="1"/>
    <col min="537" max="537" width="8.7109375" style="1" customWidth="1"/>
    <col min="538" max="539" width="9.7109375" style="1" customWidth="1"/>
    <col min="540" max="540" width="13.5703125" style="1" bestFit="1" customWidth="1"/>
    <col min="541" max="541" width="9.140625" style="1"/>
    <col min="542" max="542" width="12.140625" style="1" bestFit="1" customWidth="1"/>
    <col min="543" max="768" width="9.140625" style="1"/>
    <col min="769" max="769" width="0" style="1" hidden="1" customWidth="1"/>
    <col min="770" max="770" width="6.85546875" style="1" bestFit="1" customWidth="1"/>
    <col min="771" max="771" width="23.28515625" style="1" customWidth="1"/>
    <col min="772" max="772" width="6.7109375" style="1" customWidth="1"/>
    <col min="773" max="773" width="7.7109375" style="1" customWidth="1"/>
    <col min="774" max="775" width="6.7109375" style="1" customWidth="1"/>
    <col min="776" max="776" width="5.7109375" style="1" customWidth="1"/>
    <col min="777" max="777" width="6.7109375" style="1" customWidth="1"/>
    <col min="778" max="778" width="6.42578125" style="1" customWidth="1"/>
    <col min="779" max="779" width="8.7109375" style="1" customWidth="1"/>
    <col min="780" max="780" width="4.7109375" style="1" customWidth="1"/>
    <col min="781" max="781" width="5.7109375" style="1" customWidth="1"/>
    <col min="782" max="782" width="10.5703125" style="1" customWidth="1"/>
    <col min="783" max="783" width="9.7109375" style="1" customWidth="1"/>
    <col min="784" max="784" width="10.7109375" style="1" customWidth="1"/>
    <col min="785" max="786" width="7.7109375" style="1" customWidth="1"/>
    <col min="787" max="787" width="5.7109375" style="1" customWidth="1"/>
    <col min="788" max="788" width="7.7109375" style="1" customWidth="1"/>
    <col min="789" max="789" width="6.7109375" style="1" customWidth="1"/>
    <col min="790" max="790" width="8.7109375" style="1" customWidth="1"/>
    <col min="791" max="791" width="7.7109375" style="1" customWidth="1"/>
    <col min="792" max="792" width="3.7109375" style="1" customWidth="1"/>
    <col min="793" max="793" width="8.7109375" style="1" customWidth="1"/>
    <col min="794" max="795" width="9.7109375" style="1" customWidth="1"/>
    <col min="796" max="796" width="13.5703125" style="1" bestFit="1" customWidth="1"/>
    <col min="797" max="797" width="9.140625" style="1"/>
    <col min="798" max="798" width="12.140625" style="1" bestFit="1" customWidth="1"/>
    <col min="799" max="1024" width="9.140625" style="1"/>
    <col min="1025" max="1025" width="0" style="1" hidden="1" customWidth="1"/>
    <col min="1026" max="1026" width="6.85546875" style="1" bestFit="1" customWidth="1"/>
    <col min="1027" max="1027" width="23.28515625" style="1" customWidth="1"/>
    <col min="1028" max="1028" width="6.7109375" style="1" customWidth="1"/>
    <col min="1029" max="1029" width="7.7109375" style="1" customWidth="1"/>
    <col min="1030" max="1031" width="6.7109375" style="1" customWidth="1"/>
    <col min="1032" max="1032" width="5.7109375" style="1" customWidth="1"/>
    <col min="1033" max="1033" width="6.7109375" style="1" customWidth="1"/>
    <col min="1034" max="1034" width="6.42578125" style="1" customWidth="1"/>
    <col min="1035" max="1035" width="8.7109375" style="1" customWidth="1"/>
    <col min="1036" max="1036" width="4.7109375" style="1" customWidth="1"/>
    <col min="1037" max="1037" width="5.7109375" style="1" customWidth="1"/>
    <col min="1038" max="1038" width="10.5703125" style="1" customWidth="1"/>
    <col min="1039" max="1039" width="9.7109375" style="1" customWidth="1"/>
    <col min="1040" max="1040" width="10.7109375" style="1" customWidth="1"/>
    <col min="1041" max="1042" width="7.7109375" style="1" customWidth="1"/>
    <col min="1043" max="1043" width="5.7109375" style="1" customWidth="1"/>
    <col min="1044" max="1044" width="7.7109375" style="1" customWidth="1"/>
    <col min="1045" max="1045" width="6.7109375" style="1" customWidth="1"/>
    <col min="1046" max="1046" width="8.7109375" style="1" customWidth="1"/>
    <col min="1047" max="1047" width="7.7109375" style="1" customWidth="1"/>
    <col min="1048" max="1048" width="3.7109375" style="1" customWidth="1"/>
    <col min="1049" max="1049" width="8.7109375" style="1" customWidth="1"/>
    <col min="1050" max="1051" width="9.7109375" style="1" customWidth="1"/>
    <col min="1052" max="1052" width="13.5703125" style="1" bestFit="1" customWidth="1"/>
    <col min="1053" max="1053" width="9.140625" style="1"/>
    <col min="1054" max="1054" width="12.140625" style="1" bestFit="1" customWidth="1"/>
    <col min="1055" max="1280" width="9.140625" style="1"/>
    <col min="1281" max="1281" width="0" style="1" hidden="1" customWidth="1"/>
    <col min="1282" max="1282" width="6.85546875" style="1" bestFit="1" customWidth="1"/>
    <col min="1283" max="1283" width="23.28515625" style="1" customWidth="1"/>
    <col min="1284" max="1284" width="6.7109375" style="1" customWidth="1"/>
    <col min="1285" max="1285" width="7.7109375" style="1" customWidth="1"/>
    <col min="1286" max="1287" width="6.7109375" style="1" customWidth="1"/>
    <col min="1288" max="1288" width="5.7109375" style="1" customWidth="1"/>
    <col min="1289" max="1289" width="6.7109375" style="1" customWidth="1"/>
    <col min="1290" max="1290" width="6.42578125" style="1" customWidth="1"/>
    <col min="1291" max="1291" width="8.7109375" style="1" customWidth="1"/>
    <col min="1292" max="1292" width="4.7109375" style="1" customWidth="1"/>
    <col min="1293" max="1293" width="5.7109375" style="1" customWidth="1"/>
    <col min="1294" max="1294" width="10.5703125" style="1" customWidth="1"/>
    <col min="1295" max="1295" width="9.7109375" style="1" customWidth="1"/>
    <col min="1296" max="1296" width="10.7109375" style="1" customWidth="1"/>
    <col min="1297" max="1298" width="7.7109375" style="1" customWidth="1"/>
    <col min="1299" max="1299" width="5.7109375" style="1" customWidth="1"/>
    <col min="1300" max="1300" width="7.7109375" style="1" customWidth="1"/>
    <col min="1301" max="1301" width="6.7109375" style="1" customWidth="1"/>
    <col min="1302" max="1302" width="8.7109375" style="1" customWidth="1"/>
    <col min="1303" max="1303" width="7.7109375" style="1" customWidth="1"/>
    <col min="1304" max="1304" width="3.7109375" style="1" customWidth="1"/>
    <col min="1305" max="1305" width="8.7109375" style="1" customWidth="1"/>
    <col min="1306" max="1307" width="9.7109375" style="1" customWidth="1"/>
    <col min="1308" max="1308" width="13.5703125" style="1" bestFit="1" customWidth="1"/>
    <col min="1309" max="1309" width="9.140625" style="1"/>
    <col min="1310" max="1310" width="12.140625" style="1" bestFit="1" customWidth="1"/>
    <col min="1311" max="1536" width="9.140625" style="1"/>
    <col min="1537" max="1537" width="0" style="1" hidden="1" customWidth="1"/>
    <col min="1538" max="1538" width="6.85546875" style="1" bestFit="1" customWidth="1"/>
    <col min="1539" max="1539" width="23.28515625" style="1" customWidth="1"/>
    <col min="1540" max="1540" width="6.7109375" style="1" customWidth="1"/>
    <col min="1541" max="1541" width="7.7109375" style="1" customWidth="1"/>
    <col min="1542" max="1543" width="6.7109375" style="1" customWidth="1"/>
    <col min="1544" max="1544" width="5.7109375" style="1" customWidth="1"/>
    <col min="1545" max="1545" width="6.7109375" style="1" customWidth="1"/>
    <col min="1546" max="1546" width="6.42578125" style="1" customWidth="1"/>
    <col min="1547" max="1547" width="8.7109375" style="1" customWidth="1"/>
    <col min="1548" max="1548" width="4.7109375" style="1" customWidth="1"/>
    <col min="1549" max="1549" width="5.7109375" style="1" customWidth="1"/>
    <col min="1550" max="1550" width="10.5703125" style="1" customWidth="1"/>
    <col min="1551" max="1551" width="9.7109375" style="1" customWidth="1"/>
    <col min="1552" max="1552" width="10.7109375" style="1" customWidth="1"/>
    <col min="1553" max="1554" width="7.7109375" style="1" customWidth="1"/>
    <col min="1555" max="1555" width="5.7109375" style="1" customWidth="1"/>
    <col min="1556" max="1556" width="7.7109375" style="1" customWidth="1"/>
    <col min="1557" max="1557" width="6.7109375" style="1" customWidth="1"/>
    <col min="1558" max="1558" width="8.7109375" style="1" customWidth="1"/>
    <col min="1559" max="1559" width="7.7109375" style="1" customWidth="1"/>
    <col min="1560" max="1560" width="3.7109375" style="1" customWidth="1"/>
    <col min="1561" max="1561" width="8.7109375" style="1" customWidth="1"/>
    <col min="1562" max="1563" width="9.7109375" style="1" customWidth="1"/>
    <col min="1564" max="1564" width="13.5703125" style="1" bestFit="1" customWidth="1"/>
    <col min="1565" max="1565" width="9.140625" style="1"/>
    <col min="1566" max="1566" width="12.140625" style="1" bestFit="1" customWidth="1"/>
    <col min="1567" max="1792" width="9.140625" style="1"/>
    <col min="1793" max="1793" width="0" style="1" hidden="1" customWidth="1"/>
    <col min="1794" max="1794" width="6.85546875" style="1" bestFit="1" customWidth="1"/>
    <col min="1795" max="1795" width="23.28515625" style="1" customWidth="1"/>
    <col min="1796" max="1796" width="6.7109375" style="1" customWidth="1"/>
    <col min="1797" max="1797" width="7.7109375" style="1" customWidth="1"/>
    <col min="1798" max="1799" width="6.7109375" style="1" customWidth="1"/>
    <col min="1800" max="1800" width="5.7109375" style="1" customWidth="1"/>
    <col min="1801" max="1801" width="6.7109375" style="1" customWidth="1"/>
    <col min="1802" max="1802" width="6.42578125" style="1" customWidth="1"/>
    <col min="1803" max="1803" width="8.7109375" style="1" customWidth="1"/>
    <col min="1804" max="1804" width="4.7109375" style="1" customWidth="1"/>
    <col min="1805" max="1805" width="5.7109375" style="1" customWidth="1"/>
    <col min="1806" max="1806" width="10.5703125" style="1" customWidth="1"/>
    <col min="1807" max="1807" width="9.7109375" style="1" customWidth="1"/>
    <col min="1808" max="1808" width="10.7109375" style="1" customWidth="1"/>
    <col min="1809" max="1810" width="7.7109375" style="1" customWidth="1"/>
    <col min="1811" max="1811" width="5.7109375" style="1" customWidth="1"/>
    <col min="1812" max="1812" width="7.7109375" style="1" customWidth="1"/>
    <col min="1813" max="1813" width="6.7109375" style="1" customWidth="1"/>
    <col min="1814" max="1814" width="8.7109375" style="1" customWidth="1"/>
    <col min="1815" max="1815" width="7.7109375" style="1" customWidth="1"/>
    <col min="1816" max="1816" width="3.7109375" style="1" customWidth="1"/>
    <col min="1817" max="1817" width="8.7109375" style="1" customWidth="1"/>
    <col min="1818" max="1819" width="9.7109375" style="1" customWidth="1"/>
    <col min="1820" max="1820" width="13.5703125" style="1" bestFit="1" customWidth="1"/>
    <col min="1821" max="1821" width="9.140625" style="1"/>
    <col min="1822" max="1822" width="12.140625" style="1" bestFit="1" customWidth="1"/>
    <col min="1823" max="2048" width="9.140625" style="1"/>
    <col min="2049" max="2049" width="0" style="1" hidden="1" customWidth="1"/>
    <col min="2050" max="2050" width="6.85546875" style="1" bestFit="1" customWidth="1"/>
    <col min="2051" max="2051" width="23.28515625" style="1" customWidth="1"/>
    <col min="2052" max="2052" width="6.7109375" style="1" customWidth="1"/>
    <col min="2053" max="2053" width="7.7109375" style="1" customWidth="1"/>
    <col min="2054" max="2055" width="6.7109375" style="1" customWidth="1"/>
    <col min="2056" max="2056" width="5.7109375" style="1" customWidth="1"/>
    <col min="2057" max="2057" width="6.7109375" style="1" customWidth="1"/>
    <col min="2058" max="2058" width="6.42578125" style="1" customWidth="1"/>
    <col min="2059" max="2059" width="8.7109375" style="1" customWidth="1"/>
    <col min="2060" max="2060" width="4.7109375" style="1" customWidth="1"/>
    <col min="2061" max="2061" width="5.7109375" style="1" customWidth="1"/>
    <col min="2062" max="2062" width="10.5703125" style="1" customWidth="1"/>
    <col min="2063" max="2063" width="9.7109375" style="1" customWidth="1"/>
    <col min="2064" max="2064" width="10.7109375" style="1" customWidth="1"/>
    <col min="2065" max="2066" width="7.7109375" style="1" customWidth="1"/>
    <col min="2067" max="2067" width="5.7109375" style="1" customWidth="1"/>
    <col min="2068" max="2068" width="7.7109375" style="1" customWidth="1"/>
    <col min="2069" max="2069" width="6.7109375" style="1" customWidth="1"/>
    <col min="2070" max="2070" width="8.7109375" style="1" customWidth="1"/>
    <col min="2071" max="2071" width="7.7109375" style="1" customWidth="1"/>
    <col min="2072" max="2072" width="3.7109375" style="1" customWidth="1"/>
    <col min="2073" max="2073" width="8.7109375" style="1" customWidth="1"/>
    <col min="2074" max="2075" width="9.7109375" style="1" customWidth="1"/>
    <col min="2076" max="2076" width="13.5703125" style="1" bestFit="1" customWidth="1"/>
    <col min="2077" max="2077" width="9.140625" style="1"/>
    <col min="2078" max="2078" width="12.140625" style="1" bestFit="1" customWidth="1"/>
    <col min="2079" max="2304" width="9.140625" style="1"/>
    <col min="2305" max="2305" width="0" style="1" hidden="1" customWidth="1"/>
    <col min="2306" max="2306" width="6.85546875" style="1" bestFit="1" customWidth="1"/>
    <col min="2307" max="2307" width="23.28515625" style="1" customWidth="1"/>
    <col min="2308" max="2308" width="6.7109375" style="1" customWidth="1"/>
    <col min="2309" max="2309" width="7.7109375" style="1" customWidth="1"/>
    <col min="2310" max="2311" width="6.7109375" style="1" customWidth="1"/>
    <col min="2312" max="2312" width="5.7109375" style="1" customWidth="1"/>
    <col min="2313" max="2313" width="6.7109375" style="1" customWidth="1"/>
    <col min="2314" max="2314" width="6.42578125" style="1" customWidth="1"/>
    <col min="2315" max="2315" width="8.7109375" style="1" customWidth="1"/>
    <col min="2316" max="2316" width="4.7109375" style="1" customWidth="1"/>
    <col min="2317" max="2317" width="5.7109375" style="1" customWidth="1"/>
    <col min="2318" max="2318" width="10.5703125" style="1" customWidth="1"/>
    <col min="2319" max="2319" width="9.7109375" style="1" customWidth="1"/>
    <col min="2320" max="2320" width="10.7109375" style="1" customWidth="1"/>
    <col min="2321" max="2322" width="7.7109375" style="1" customWidth="1"/>
    <col min="2323" max="2323" width="5.7109375" style="1" customWidth="1"/>
    <col min="2324" max="2324" width="7.7109375" style="1" customWidth="1"/>
    <col min="2325" max="2325" width="6.7109375" style="1" customWidth="1"/>
    <col min="2326" max="2326" width="8.7109375" style="1" customWidth="1"/>
    <col min="2327" max="2327" width="7.7109375" style="1" customWidth="1"/>
    <col min="2328" max="2328" width="3.7109375" style="1" customWidth="1"/>
    <col min="2329" max="2329" width="8.7109375" style="1" customWidth="1"/>
    <col min="2330" max="2331" width="9.7109375" style="1" customWidth="1"/>
    <col min="2332" max="2332" width="13.5703125" style="1" bestFit="1" customWidth="1"/>
    <col min="2333" max="2333" width="9.140625" style="1"/>
    <col min="2334" max="2334" width="12.140625" style="1" bestFit="1" customWidth="1"/>
    <col min="2335" max="2560" width="9.140625" style="1"/>
    <col min="2561" max="2561" width="0" style="1" hidden="1" customWidth="1"/>
    <col min="2562" max="2562" width="6.85546875" style="1" bestFit="1" customWidth="1"/>
    <col min="2563" max="2563" width="23.28515625" style="1" customWidth="1"/>
    <col min="2564" max="2564" width="6.7109375" style="1" customWidth="1"/>
    <col min="2565" max="2565" width="7.7109375" style="1" customWidth="1"/>
    <col min="2566" max="2567" width="6.7109375" style="1" customWidth="1"/>
    <col min="2568" max="2568" width="5.7109375" style="1" customWidth="1"/>
    <col min="2569" max="2569" width="6.7109375" style="1" customWidth="1"/>
    <col min="2570" max="2570" width="6.42578125" style="1" customWidth="1"/>
    <col min="2571" max="2571" width="8.7109375" style="1" customWidth="1"/>
    <col min="2572" max="2572" width="4.7109375" style="1" customWidth="1"/>
    <col min="2573" max="2573" width="5.7109375" style="1" customWidth="1"/>
    <col min="2574" max="2574" width="10.5703125" style="1" customWidth="1"/>
    <col min="2575" max="2575" width="9.7109375" style="1" customWidth="1"/>
    <col min="2576" max="2576" width="10.7109375" style="1" customWidth="1"/>
    <col min="2577" max="2578" width="7.7109375" style="1" customWidth="1"/>
    <col min="2579" max="2579" width="5.7109375" style="1" customWidth="1"/>
    <col min="2580" max="2580" width="7.7109375" style="1" customWidth="1"/>
    <col min="2581" max="2581" width="6.7109375" style="1" customWidth="1"/>
    <col min="2582" max="2582" width="8.7109375" style="1" customWidth="1"/>
    <col min="2583" max="2583" width="7.7109375" style="1" customWidth="1"/>
    <col min="2584" max="2584" width="3.7109375" style="1" customWidth="1"/>
    <col min="2585" max="2585" width="8.7109375" style="1" customWidth="1"/>
    <col min="2586" max="2587" width="9.7109375" style="1" customWidth="1"/>
    <col min="2588" max="2588" width="13.5703125" style="1" bestFit="1" customWidth="1"/>
    <col min="2589" max="2589" width="9.140625" style="1"/>
    <col min="2590" max="2590" width="12.140625" style="1" bestFit="1" customWidth="1"/>
    <col min="2591" max="2816" width="9.140625" style="1"/>
    <col min="2817" max="2817" width="0" style="1" hidden="1" customWidth="1"/>
    <col min="2818" max="2818" width="6.85546875" style="1" bestFit="1" customWidth="1"/>
    <col min="2819" max="2819" width="23.28515625" style="1" customWidth="1"/>
    <col min="2820" max="2820" width="6.7109375" style="1" customWidth="1"/>
    <col min="2821" max="2821" width="7.7109375" style="1" customWidth="1"/>
    <col min="2822" max="2823" width="6.7109375" style="1" customWidth="1"/>
    <col min="2824" max="2824" width="5.7109375" style="1" customWidth="1"/>
    <col min="2825" max="2825" width="6.7109375" style="1" customWidth="1"/>
    <col min="2826" max="2826" width="6.42578125" style="1" customWidth="1"/>
    <col min="2827" max="2827" width="8.7109375" style="1" customWidth="1"/>
    <col min="2828" max="2828" width="4.7109375" style="1" customWidth="1"/>
    <col min="2829" max="2829" width="5.7109375" style="1" customWidth="1"/>
    <col min="2830" max="2830" width="10.5703125" style="1" customWidth="1"/>
    <col min="2831" max="2831" width="9.7109375" style="1" customWidth="1"/>
    <col min="2832" max="2832" width="10.7109375" style="1" customWidth="1"/>
    <col min="2833" max="2834" width="7.7109375" style="1" customWidth="1"/>
    <col min="2835" max="2835" width="5.7109375" style="1" customWidth="1"/>
    <col min="2836" max="2836" width="7.7109375" style="1" customWidth="1"/>
    <col min="2837" max="2837" width="6.7109375" style="1" customWidth="1"/>
    <col min="2838" max="2838" width="8.7109375" style="1" customWidth="1"/>
    <col min="2839" max="2839" width="7.7109375" style="1" customWidth="1"/>
    <col min="2840" max="2840" width="3.7109375" style="1" customWidth="1"/>
    <col min="2841" max="2841" width="8.7109375" style="1" customWidth="1"/>
    <col min="2842" max="2843" width="9.7109375" style="1" customWidth="1"/>
    <col min="2844" max="2844" width="13.5703125" style="1" bestFit="1" customWidth="1"/>
    <col min="2845" max="2845" width="9.140625" style="1"/>
    <col min="2846" max="2846" width="12.140625" style="1" bestFit="1" customWidth="1"/>
    <col min="2847" max="3072" width="9.140625" style="1"/>
    <col min="3073" max="3073" width="0" style="1" hidden="1" customWidth="1"/>
    <col min="3074" max="3074" width="6.85546875" style="1" bestFit="1" customWidth="1"/>
    <col min="3075" max="3075" width="23.28515625" style="1" customWidth="1"/>
    <col min="3076" max="3076" width="6.7109375" style="1" customWidth="1"/>
    <col min="3077" max="3077" width="7.7109375" style="1" customWidth="1"/>
    <col min="3078" max="3079" width="6.7109375" style="1" customWidth="1"/>
    <col min="3080" max="3080" width="5.7109375" style="1" customWidth="1"/>
    <col min="3081" max="3081" width="6.7109375" style="1" customWidth="1"/>
    <col min="3082" max="3082" width="6.42578125" style="1" customWidth="1"/>
    <col min="3083" max="3083" width="8.7109375" style="1" customWidth="1"/>
    <col min="3084" max="3084" width="4.7109375" style="1" customWidth="1"/>
    <col min="3085" max="3085" width="5.7109375" style="1" customWidth="1"/>
    <col min="3086" max="3086" width="10.5703125" style="1" customWidth="1"/>
    <col min="3087" max="3087" width="9.7109375" style="1" customWidth="1"/>
    <col min="3088" max="3088" width="10.7109375" style="1" customWidth="1"/>
    <col min="3089" max="3090" width="7.7109375" style="1" customWidth="1"/>
    <col min="3091" max="3091" width="5.7109375" style="1" customWidth="1"/>
    <col min="3092" max="3092" width="7.7109375" style="1" customWidth="1"/>
    <col min="3093" max="3093" width="6.7109375" style="1" customWidth="1"/>
    <col min="3094" max="3094" width="8.7109375" style="1" customWidth="1"/>
    <col min="3095" max="3095" width="7.7109375" style="1" customWidth="1"/>
    <col min="3096" max="3096" width="3.7109375" style="1" customWidth="1"/>
    <col min="3097" max="3097" width="8.7109375" style="1" customWidth="1"/>
    <col min="3098" max="3099" width="9.7109375" style="1" customWidth="1"/>
    <col min="3100" max="3100" width="13.5703125" style="1" bestFit="1" customWidth="1"/>
    <col min="3101" max="3101" width="9.140625" style="1"/>
    <col min="3102" max="3102" width="12.140625" style="1" bestFit="1" customWidth="1"/>
    <col min="3103" max="3328" width="9.140625" style="1"/>
    <col min="3329" max="3329" width="0" style="1" hidden="1" customWidth="1"/>
    <col min="3330" max="3330" width="6.85546875" style="1" bestFit="1" customWidth="1"/>
    <col min="3331" max="3331" width="23.28515625" style="1" customWidth="1"/>
    <col min="3332" max="3332" width="6.7109375" style="1" customWidth="1"/>
    <col min="3333" max="3333" width="7.7109375" style="1" customWidth="1"/>
    <col min="3334" max="3335" width="6.7109375" style="1" customWidth="1"/>
    <col min="3336" max="3336" width="5.7109375" style="1" customWidth="1"/>
    <col min="3337" max="3337" width="6.7109375" style="1" customWidth="1"/>
    <col min="3338" max="3338" width="6.42578125" style="1" customWidth="1"/>
    <col min="3339" max="3339" width="8.7109375" style="1" customWidth="1"/>
    <col min="3340" max="3340" width="4.7109375" style="1" customWidth="1"/>
    <col min="3341" max="3341" width="5.7109375" style="1" customWidth="1"/>
    <col min="3342" max="3342" width="10.5703125" style="1" customWidth="1"/>
    <col min="3343" max="3343" width="9.7109375" style="1" customWidth="1"/>
    <col min="3344" max="3344" width="10.7109375" style="1" customWidth="1"/>
    <col min="3345" max="3346" width="7.7109375" style="1" customWidth="1"/>
    <col min="3347" max="3347" width="5.7109375" style="1" customWidth="1"/>
    <col min="3348" max="3348" width="7.7109375" style="1" customWidth="1"/>
    <col min="3349" max="3349" width="6.7109375" style="1" customWidth="1"/>
    <col min="3350" max="3350" width="8.7109375" style="1" customWidth="1"/>
    <col min="3351" max="3351" width="7.7109375" style="1" customWidth="1"/>
    <col min="3352" max="3352" width="3.7109375" style="1" customWidth="1"/>
    <col min="3353" max="3353" width="8.7109375" style="1" customWidth="1"/>
    <col min="3354" max="3355" width="9.7109375" style="1" customWidth="1"/>
    <col min="3356" max="3356" width="13.5703125" style="1" bestFit="1" customWidth="1"/>
    <col min="3357" max="3357" width="9.140625" style="1"/>
    <col min="3358" max="3358" width="12.140625" style="1" bestFit="1" customWidth="1"/>
    <col min="3359" max="3584" width="9.140625" style="1"/>
    <col min="3585" max="3585" width="0" style="1" hidden="1" customWidth="1"/>
    <col min="3586" max="3586" width="6.85546875" style="1" bestFit="1" customWidth="1"/>
    <col min="3587" max="3587" width="23.28515625" style="1" customWidth="1"/>
    <col min="3588" max="3588" width="6.7109375" style="1" customWidth="1"/>
    <col min="3589" max="3589" width="7.7109375" style="1" customWidth="1"/>
    <col min="3590" max="3591" width="6.7109375" style="1" customWidth="1"/>
    <col min="3592" max="3592" width="5.7109375" style="1" customWidth="1"/>
    <col min="3593" max="3593" width="6.7109375" style="1" customWidth="1"/>
    <col min="3594" max="3594" width="6.42578125" style="1" customWidth="1"/>
    <col min="3595" max="3595" width="8.7109375" style="1" customWidth="1"/>
    <col min="3596" max="3596" width="4.7109375" style="1" customWidth="1"/>
    <col min="3597" max="3597" width="5.7109375" style="1" customWidth="1"/>
    <col min="3598" max="3598" width="10.5703125" style="1" customWidth="1"/>
    <col min="3599" max="3599" width="9.7109375" style="1" customWidth="1"/>
    <col min="3600" max="3600" width="10.7109375" style="1" customWidth="1"/>
    <col min="3601" max="3602" width="7.7109375" style="1" customWidth="1"/>
    <col min="3603" max="3603" width="5.7109375" style="1" customWidth="1"/>
    <col min="3604" max="3604" width="7.7109375" style="1" customWidth="1"/>
    <col min="3605" max="3605" width="6.7109375" style="1" customWidth="1"/>
    <col min="3606" max="3606" width="8.7109375" style="1" customWidth="1"/>
    <col min="3607" max="3607" width="7.7109375" style="1" customWidth="1"/>
    <col min="3608" max="3608" width="3.7109375" style="1" customWidth="1"/>
    <col min="3609" max="3609" width="8.7109375" style="1" customWidth="1"/>
    <col min="3610" max="3611" width="9.7109375" style="1" customWidth="1"/>
    <col min="3612" max="3612" width="13.5703125" style="1" bestFit="1" customWidth="1"/>
    <col min="3613" max="3613" width="9.140625" style="1"/>
    <col min="3614" max="3614" width="12.140625" style="1" bestFit="1" customWidth="1"/>
    <col min="3615" max="3840" width="9.140625" style="1"/>
    <col min="3841" max="3841" width="0" style="1" hidden="1" customWidth="1"/>
    <col min="3842" max="3842" width="6.85546875" style="1" bestFit="1" customWidth="1"/>
    <col min="3843" max="3843" width="23.28515625" style="1" customWidth="1"/>
    <col min="3844" max="3844" width="6.7109375" style="1" customWidth="1"/>
    <col min="3845" max="3845" width="7.7109375" style="1" customWidth="1"/>
    <col min="3846" max="3847" width="6.7109375" style="1" customWidth="1"/>
    <col min="3848" max="3848" width="5.7109375" style="1" customWidth="1"/>
    <col min="3849" max="3849" width="6.7109375" style="1" customWidth="1"/>
    <col min="3850" max="3850" width="6.42578125" style="1" customWidth="1"/>
    <col min="3851" max="3851" width="8.7109375" style="1" customWidth="1"/>
    <col min="3852" max="3852" width="4.7109375" style="1" customWidth="1"/>
    <col min="3853" max="3853" width="5.7109375" style="1" customWidth="1"/>
    <col min="3854" max="3854" width="10.5703125" style="1" customWidth="1"/>
    <col min="3855" max="3855" width="9.7109375" style="1" customWidth="1"/>
    <col min="3856" max="3856" width="10.7109375" style="1" customWidth="1"/>
    <col min="3857" max="3858" width="7.7109375" style="1" customWidth="1"/>
    <col min="3859" max="3859" width="5.7109375" style="1" customWidth="1"/>
    <col min="3860" max="3860" width="7.7109375" style="1" customWidth="1"/>
    <col min="3861" max="3861" width="6.7109375" style="1" customWidth="1"/>
    <col min="3862" max="3862" width="8.7109375" style="1" customWidth="1"/>
    <col min="3863" max="3863" width="7.7109375" style="1" customWidth="1"/>
    <col min="3864" max="3864" width="3.7109375" style="1" customWidth="1"/>
    <col min="3865" max="3865" width="8.7109375" style="1" customWidth="1"/>
    <col min="3866" max="3867" width="9.7109375" style="1" customWidth="1"/>
    <col min="3868" max="3868" width="13.5703125" style="1" bestFit="1" customWidth="1"/>
    <col min="3869" max="3869" width="9.140625" style="1"/>
    <col min="3870" max="3870" width="12.140625" style="1" bestFit="1" customWidth="1"/>
    <col min="3871" max="4096" width="9.140625" style="1"/>
    <col min="4097" max="4097" width="0" style="1" hidden="1" customWidth="1"/>
    <col min="4098" max="4098" width="6.85546875" style="1" bestFit="1" customWidth="1"/>
    <col min="4099" max="4099" width="23.28515625" style="1" customWidth="1"/>
    <col min="4100" max="4100" width="6.7109375" style="1" customWidth="1"/>
    <col min="4101" max="4101" width="7.7109375" style="1" customWidth="1"/>
    <col min="4102" max="4103" width="6.7109375" style="1" customWidth="1"/>
    <col min="4104" max="4104" width="5.7109375" style="1" customWidth="1"/>
    <col min="4105" max="4105" width="6.7109375" style="1" customWidth="1"/>
    <col min="4106" max="4106" width="6.42578125" style="1" customWidth="1"/>
    <col min="4107" max="4107" width="8.7109375" style="1" customWidth="1"/>
    <col min="4108" max="4108" width="4.7109375" style="1" customWidth="1"/>
    <col min="4109" max="4109" width="5.7109375" style="1" customWidth="1"/>
    <col min="4110" max="4110" width="10.5703125" style="1" customWidth="1"/>
    <col min="4111" max="4111" width="9.7109375" style="1" customWidth="1"/>
    <col min="4112" max="4112" width="10.7109375" style="1" customWidth="1"/>
    <col min="4113" max="4114" width="7.7109375" style="1" customWidth="1"/>
    <col min="4115" max="4115" width="5.7109375" style="1" customWidth="1"/>
    <col min="4116" max="4116" width="7.7109375" style="1" customWidth="1"/>
    <col min="4117" max="4117" width="6.7109375" style="1" customWidth="1"/>
    <col min="4118" max="4118" width="8.7109375" style="1" customWidth="1"/>
    <col min="4119" max="4119" width="7.7109375" style="1" customWidth="1"/>
    <col min="4120" max="4120" width="3.7109375" style="1" customWidth="1"/>
    <col min="4121" max="4121" width="8.7109375" style="1" customWidth="1"/>
    <col min="4122" max="4123" width="9.7109375" style="1" customWidth="1"/>
    <col min="4124" max="4124" width="13.5703125" style="1" bestFit="1" customWidth="1"/>
    <col min="4125" max="4125" width="9.140625" style="1"/>
    <col min="4126" max="4126" width="12.140625" style="1" bestFit="1" customWidth="1"/>
    <col min="4127" max="4352" width="9.140625" style="1"/>
    <col min="4353" max="4353" width="0" style="1" hidden="1" customWidth="1"/>
    <col min="4354" max="4354" width="6.85546875" style="1" bestFit="1" customWidth="1"/>
    <col min="4355" max="4355" width="23.28515625" style="1" customWidth="1"/>
    <col min="4356" max="4356" width="6.7109375" style="1" customWidth="1"/>
    <col min="4357" max="4357" width="7.7109375" style="1" customWidth="1"/>
    <col min="4358" max="4359" width="6.7109375" style="1" customWidth="1"/>
    <col min="4360" max="4360" width="5.7109375" style="1" customWidth="1"/>
    <col min="4361" max="4361" width="6.7109375" style="1" customWidth="1"/>
    <col min="4362" max="4362" width="6.42578125" style="1" customWidth="1"/>
    <col min="4363" max="4363" width="8.7109375" style="1" customWidth="1"/>
    <col min="4364" max="4364" width="4.7109375" style="1" customWidth="1"/>
    <col min="4365" max="4365" width="5.7109375" style="1" customWidth="1"/>
    <col min="4366" max="4366" width="10.5703125" style="1" customWidth="1"/>
    <col min="4367" max="4367" width="9.7109375" style="1" customWidth="1"/>
    <col min="4368" max="4368" width="10.7109375" style="1" customWidth="1"/>
    <col min="4369" max="4370" width="7.7109375" style="1" customWidth="1"/>
    <col min="4371" max="4371" width="5.7109375" style="1" customWidth="1"/>
    <col min="4372" max="4372" width="7.7109375" style="1" customWidth="1"/>
    <col min="4373" max="4373" width="6.7109375" style="1" customWidth="1"/>
    <col min="4374" max="4374" width="8.7109375" style="1" customWidth="1"/>
    <col min="4375" max="4375" width="7.7109375" style="1" customWidth="1"/>
    <col min="4376" max="4376" width="3.7109375" style="1" customWidth="1"/>
    <col min="4377" max="4377" width="8.7109375" style="1" customWidth="1"/>
    <col min="4378" max="4379" width="9.7109375" style="1" customWidth="1"/>
    <col min="4380" max="4380" width="13.5703125" style="1" bestFit="1" customWidth="1"/>
    <col min="4381" max="4381" width="9.140625" style="1"/>
    <col min="4382" max="4382" width="12.140625" style="1" bestFit="1" customWidth="1"/>
    <col min="4383" max="4608" width="9.140625" style="1"/>
    <col min="4609" max="4609" width="0" style="1" hidden="1" customWidth="1"/>
    <col min="4610" max="4610" width="6.85546875" style="1" bestFit="1" customWidth="1"/>
    <col min="4611" max="4611" width="23.28515625" style="1" customWidth="1"/>
    <col min="4612" max="4612" width="6.7109375" style="1" customWidth="1"/>
    <col min="4613" max="4613" width="7.7109375" style="1" customWidth="1"/>
    <col min="4614" max="4615" width="6.7109375" style="1" customWidth="1"/>
    <col min="4616" max="4616" width="5.7109375" style="1" customWidth="1"/>
    <col min="4617" max="4617" width="6.7109375" style="1" customWidth="1"/>
    <col min="4618" max="4618" width="6.42578125" style="1" customWidth="1"/>
    <col min="4619" max="4619" width="8.7109375" style="1" customWidth="1"/>
    <col min="4620" max="4620" width="4.7109375" style="1" customWidth="1"/>
    <col min="4621" max="4621" width="5.7109375" style="1" customWidth="1"/>
    <col min="4622" max="4622" width="10.5703125" style="1" customWidth="1"/>
    <col min="4623" max="4623" width="9.7109375" style="1" customWidth="1"/>
    <col min="4624" max="4624" width="10.7109375" style="1" customWidth="1"/>
    <col min="4625" max="4626" width="7.7109375" style="1" customWidth="1"/>
    <col min="4627" max="4627" width="5.7109375" style="1" customWidth="1"/>
    <col min="4628" max="4628" width="7.7109375" style="1" customWidth="1"/>
    <col min="4629" max="4629" width="6.7109375" style="1" customWidth="1"/>
    <col min="4630" max="4630" width="8.7109375" style="1" customWidth="1"/>
    <col min="4631" max="4631" width="7.7109375" style="1" customWidth="1"/>
    <col min="4632" max="4632" width="3.7109375" style="1" customWidth="1"/>
    <col min="4633" max="4633" width="8.7109375" style="1" customWidth="1"/>
    <col min="4634" max="4635" width="9.7109375" style="1" customWidth="1"/>
    <col min="4636" max="4636" width="13.5703125" style="1" bestFit="1" customWidth="1"/>
    <col min="4637" max="4637" width="9.140625" style="1"/>
    <col min="4638" max="4638" width="12.140625" style="1" bestFit="1" customWidth="1"/>
    <col min="4639" max="4864" width="9.140625" style="1"/>
    <col min="4865" max="4865" width="0" style="1" hidden="1" customWidth="1"/>
    <col min="4866" max="4866" width="6.85546875" style="1" bestFit="1" customWidth="1"/>
    <col min="4867" max="4867" width="23.28515625" style="1" customWidth="1"/>
    <col min="4868" max="4868" width="6.7109375" style="1" customWidth="1"/>
    <col min="4869" max="4869" width="7.7109375" style="1" customWidth="1"/>
    <col min="4870" max="4871" width="6.7109375" style="1" customWidth="1"/>
    <col min="4872" max="4872" width="5.7109375" style="1" customWidth="1"/>
    <col min="4873" max="4873" width="6.7109375" style="1" customWidth="1"/>
    <col min="4874" max="4874" width="6.42578125" style="1" customWidth="1"/>
    <col min="4875" max="4875" width="8.7109375" style="1" customWidth="1"/>
    <col min="4876" max="4876" width="4.7109375" style="1" customWidth="1"/>
    <col min="4877" max="4877" width="5.7109375" style="1" customWidth="1"/>
    <col min="4878" max="4878" width="10.5703125" style="1" customWidth="1"/>
    <col min="4879" max="4879" width="9.7109375" style="1" customWidth="1"/>
    <col min="4880" max="4880" width="10.7109375" style="1" customWidth="1"/>
    <col min="4881" max="4882" width="7.7109375" style="1" customWidth="1"/>
    <col min="4883" max="4883" width="5.7109375" style="1" customWidth="1"/>
    <col min="4884" max="4884" width="7.7109375" style="1" customWidth="1"/>
    <col min="4885" max="4885" width="6.7109375" style="1" customWidth="1"/>
    <col min="4886" max="4886" width="8.7109375" style="1" customWidth="1"/>
    <col min="4887" max="4887" width="7.7109375" style="1" customWidth="1"/>
    <col min="4888" max="4888" width="3.7109375" style="1" customWidth="1"/>
    <col min="4889" max="4889" width="8.7109375" style="1" customWidth="1"/>
    <col min="4890" max="4891" width="9.7109375" style="1" customWidth="1"/>
    <col min="4892" max="4892" width="13.5703125" style="1" bestFit="1" customWidth="1"/>
    <col min="4893" max="4893" width="9.140625" style="1"/>
    <col min="4894" max="4894" width="12.140625" style="1" bestFit="1" customWidth="1"/>
    <col min="4895" max="5120" width="9.140625" style="1"/>
    <col min="5121" max="5121" width="0" style="1" hidden="1" customWidth="1"/>
    <col min="5122" max="5122" width="6.85546875" style="1" bestFit="1" customWidth="1"/>
    <col min="5123" max="5123" width="23.28515625" style="1" customWidth="1"/>
    <col min="5124" max="5124" width="6.7109375" style="1" customWidth="1"/>
    <col min="5125" max="5125" width="7.7109375" style="1" customWidth="1"/>
    <col min="5126" max="5127" width="6.7109375" style="1" customWidth="1"/>
    <col min="5128" max="5128" width="5.7109375" style="1" customWidth="1"/>
    <col min="5129" max="5129" width="6.7109375" style="1" customWidth="1"/>
    <col min="5130" max="5130" width="6.42578125" style="1" customWidth="1"/>
    <col min="5131" max="5131" width="8.7109375" style="1" customWidth="1"/>
    <col min="5132" max="5132" width="4.7109375" style="1" customWidth="1"/>
    <col min="5133" max="5133" width="5.7109375" style="1" customWidth="1"/>
    <col min="5134" max="5134" width="10.5703125" style="1" customWidth="1"/>
    <col min="5135" max="5135" width="9.7109375" style="1" customWidth="1"/>
    <col min="5136" max="5136" width="10.7109375" style="1" customWidth="1"/>
    <col min="5137" max="5138" width="7.7109375" style="1" customWidth="1"/>
    <col min="5139" max="5139" width="5.7109375" style="1" customWidth="1"/>
    <col min="5140" max="5140" width="7.7109375" style="1" customWidth="1"/>
    <col min="5141" max="5141" width="6.7109375" style="1" customWidth="1"/>
    <col min="5142" max="5142" width="8.7109375" style="1" customWidth="1"/>
    <col min="5143" max="5143" width="7.7109375" style="1" customWidth="1"/>
    <col min="5144" max="5144" width="3.7109375" style="1" customWidth="1"/>
    <col min="5145" max="5145" width="8.7109375" style="1" customWidth="1"/>
    <col min="5146" max="5147" width="9.7109375" style="1" customWidth="1"/>
    <col min="5148" max="5148" width="13.5703125" style="1" bestFit="1" customWidth="1"/>
    <col min="5149" max="5149" width="9.140625" style="1"/>
    <col min="5150" max="5150" width="12.140625" style="1" bestFit="1" customWidth="1"/>
    <col min="5151" max="5376" width="9.140625" style="1"/>
    <col min="5377" max="5377" width="0" style="1" hidden="1" customWidth="1"/>
    <col min="5378" max="5378" width="6.85546875" style="1" bestFit="1" customWidth="1"/>
    <col min="5379" max="5379" width="23.28515625" style="1" customWidth="1"/>
    <col min="5380" max="5380" width="6.7109375" style="1" customWidth="1"/>
    <col min="5381" max="5381" width="7.7109375" style="1" customWidth="1"/>
    <col min="5382" max="5383" width="6.7109375" style="1" customWidth="1"/>
    <col min="5384" max="5384" width="5.7109375" style="1" customWidth="1"/>
    <col min="5385" max="5385" width="6.7109375" style="1" customWidth="1"/>
    <col min="5386" max="5386" width="6.42578125" style="1" customWidth="1"/>
    <col min="5387" max="5387" width="8.7109375" style="1" customWidth="1"/>
    <col min="5388" max="5388" width="4.7109375" style="1" customWidth="1"/>
    <col min="5389" max="5389" width="5.7109375" style="1" customWidth="1"/>
    <col min="5390" max="5390" width="10.5703125" style="1" customWidth="1"/>
    <col min="5391" max="5391" width="9.7109375" style="1" customWidth="1"/>
    <col min="5392" max="5392" width="10.7109375" style="1" customWidth="1"/>
    <col min="5393" max="5394" width="7.7109375" style="1" customWidth="1"/>
    <col min="5395" max="5395" width="5.7109375" style="1" customWidth="1"/>
    <col min="5396" max="5396" width="7.7109375" style="1" customWidth="1"/>
    <col min="5397" max="5397" width="6.7109375" style="1" customWidth="1"/>
    <col min="5398" max="5398" width="8.7109375" style="1" customWidth="1"/>
    <col min="5399" max="5399" width="7.7109375" style="1" customWidth="1"/>
    <col min="5400" max="5400" width="3.7109375" style="1" customWidth="1"/>
    <col min="5401" max="5401" width="8.7109375" style="1" customWidth="1"/>
    <col min="5402" max="5403" width="9.7109375" style="1" customWidth="1"/>
    <col min="5404" max="5404" width="13.5703125" style="1" bestFit="1" customWidth="1"/>
    <col min="5405" max="5405" width="9.140625" style="1"/>
    <col min="5406" max="5406" width="12.140625" style="1" bestFit="1" customWidth="1"/>
    <col min="5407" max="5632" width="9.140625" style="1"/>
    <col min="5633" max="5633" width="0" style="1" hidden="1" customWidth="1"/>
    <col min="5634" max="5634" width="6.85546875" style="1" bestFit="1" customWidth="1"/>
    <col min="5635" max="5635" width="23.28515625" style="1" customWidth="1"/>
    <col min="5636" max="5636" width="6.7109375" style="1" customWidth="1"/>
    <col min="5637" max="5637" width="7.7109375" style="1" customWidth="1"/>
    <col min="5638" max="5639" width="6.7109375" style="1" customWidth="1"/>
    <col min="5640" max="5640" width="5.7109375" style="1" customWidth="1"/>
    <col min="5641" max="5641" width="6.7109375" style="1" customWidth="1"/>
    <col min="5642" max="5642" width="6.42578125" style="1" customWidth="1"/>
    <col min="5643" max="5643" width="8.7109375" style="1" customWidth="1"/>
    <col min="5644" max="5644" width="4.7109375" style="1" customWidth="1"/>
    <col min="5645" max="5645" width="5.7109375" style="1" customWidth="1"/>
    <col min="5646" max="5646" width="10.5703125" style="1" customWidth="1"/>
    <col min="5647" max="5647" width="9.7109375" style="1" customWidth="1"/>
    <col min="5648" max="5648" width="10.7109375" style="1" customWidth="1"/>
    <col min="5649" max="5650" width="7.7109375" style="1" customWidth="1"/>
    <col min="5651" max="5651" width="5.7109375" style="1" customWidth="1"/>
    <col min="5652" max="5652" width="7.7109375" style="1" customWidth="1"/>
    <col min="5653" max="5653" width="6.7109375" style="1" customWidth="1"/>
    <col min="5654" max="5654" width="8.7109375" style="1" customWidth="1"/>
    <col min="5655" max="5655" width="7.7109375" style="1" customWidth="1"/>
    <col min="5656" max="5656" width="3.7109375" style="1" customWidth="1"/>
    <col min="5657" max="5657" width="8.7109375" style="1" customWidth="1"/>
    <col min="5658" max="5659" width="9.7109375" style="1" customWidth="1"/>
    <col min="5660" max="5660" width="13.5703125" style="1" bestFit="1" customWidth="1"/>
    <col min="5661" max="5661" width="9.140625" style="1"/>
    <col min="5662" max="5662" width="12.140625" style="1" bestFit="1" customWidth="1"/>
    <col min="5663" max="5888" width="9.140625" style="1"/>
    <col min="5889" max="5889" width="0" style="1" hidden="1" customWidth="1"/>
    <col min="5890" max="5890" width="6.85546875" style="1" bestFit="1" customWidth="1"/>
    <col min="5891" max="5891" width="23.28515625" style="1" customWidth="1"/>
    <col min="5892" max="5892" width="6.7109375" style="1" customWidth="1"/>
    <col min="5893" max="5893" width="7.7109375" style="1" customWidth="1"/>
    <col min="5894" max="5895" width="6.7109375" style="1" customWidth="1"/>
    <col min="5896" max="5896" width="5.7109375" style="1" customWidth="1"/>
    <col min="5897" max="5897" width="6.7109375" style="1" customWidth="1"/>
    <col min="5898" max="5898" width="6.42578125" style="1" customWidth="1"/>
    <col min="5899" max="5899" width="8.7109375" style="1" customWidth="1"/>
    <col min="5900" max="5900" width="4.7109375" style="1" customWidth="1"/>
    <col min="5901" max="5901" width="5.7109375" style="1" customWidth="1"/>
    <col min="5902" max="5902" width="10.5703125" style="1" customWidth="1"/>
    <col min="5903" max="5903" width="9.7109375" style="1" customWidth="1"/>
    <col min="5904" max="5904" width="10.7109375" style="1" customWidth="1"/>
    <col min="5905" max="5906" width="7.7109375" style="1" customWidth="1"/>
    <col min="5907" max="5907" width="5.7109375" style="1" customWidth="1"/>
    <col min="5908" max="5908" width="7.7109375" style="1" customWidth="1"/>
    <col min="5909" max="5909" width="6.7109375" style="1" customWidth="1"/>
    <col min="5910" max="5910" width="8.7109375" style="1" customWidth="1"/>
    <col min="5911" max="5911" width="7.7109375" style="1" customWidth="1"/>
    <col min="5912" max="5912" width="3.7109375" style="1" customWidth="1"/>
    <col min="5913" max="5913" width="8.7109375" style="1" customWidth="1"/>
    <col min="5914" max="5915" width="9.7109375" style="1" customWidth="1"/>
    <col min="5916" max="5916" width="13.5703125" style="1" bestFit="1" customWidth="1"/>
    <col min="5917" max="5917" width="9.140625" style="1"/>
    <col min="5918" max="5918" width="12.140625" style="1" bestFit="1" customWidth="1"/>
    <col min="5919" max="6144" width="9.140625" style="1"/>
    <col min="6145" max="6145" width="0" style="1" hidden="1" customWidth="1"/>
    <col min="6146" max="6146" width="6.85546875" style="1" bestFit="1" customWidth="1"/>
    <col min="6147" max="6147" width="23.28515625" style="1" customWidth="1"/>
    <col min="6148" max="6148" width="6.7109375" style="1" customWidth="1"/>
    <col min="6149" max="6149" width="7.7109375" style="1" customWidth="1"/>
    <col min="6150" max="6151" width="6.7109375" style="1" customWidth="1"/>
    <col min="6152" max="6152" width="5.7109375" style="1" customWidth="1"/>
    <col min="6153" max="6153" width="6.7109375" style="1" customWidth="1"/>
    <col min="6154" max="6154" width="6.42578125" style="1" customWidth="1"/>
    <col min="6155" max="6155" width="8.7109375" style="1" customWidth="1"/>
    <col min="6156" max="6156" width="4.7109375" style="1" customWidth="1"/>
    <col min="6157" max="6157" width="5.7109375" style="1" customWidth="1"/>
    <col min="6158" max="6158" width="10.5703125" style="1" customWidth="1"/>
    <col min="6159" max="6159" width="9.7109375" style="1" customWidth="1"/>
    <col min="6160" max="6160" width="10.7109375" style="1" customWidth="1"/>
    <col min="6161" max="6162" width="7.7109375" style="1" customWidth="1"/>
    <col min="6163" max="6163" width="5.7109375" style="1" customWidth="1"/>
    <col min="6164" max="6164" width="7.7109375" style="1" customWidth="1"/>
    <col min="6165" max="6165" width="6.7109375" style="1" customWidth="1"/>
    <col min="6166" max="6166" width="8.7109375" style="1" customWidth="1"/>
    <col min="6167" max="6167" width="7.7109375" style="1" customWidth="1"/>
    <col min="6168" max="6168" width="3.7109375" style="1" customWidth="1"/>
    <col min="6169" max="6169" width="8.7109375" style="1" customWidth="1"/>
    <col min="6170" max="6171" width="9.7109375" style="1" customWidth="1"/>
    <col min="6172" max="6172" width="13.5703125" style="1" bestFit="1" customWidth="1"/>
    <col min="6173" max="6173" width="9.140625" style="1"/>
    <col min="6174" max="6174" width="12.140625" style="1" bestFit="1" customWidth="1"/>
    <col min="6175" max="6400" width="9.140625" style="1"/>
    <col min="6401" max="6401" width="0" style="1" hidden="1" customWidth="1"/>
    <col min="6402" max="6402" width="6.85546875" style="1" bestFit="1" customWidth="1"/>
    <col min="6403" max="6403" width="23.28515625" style="1" customWidth="1"/>
    <col min="6404" max="6404" width="6.7109375" style="1" customWidth="1"/>
    <col min="6405" max="6405" width="7.7109375" style="1" customWidth="1"/>
    <col min="6406" max="6407" width="6.7109375" style="1" customWidth="1"/>
    <col min="6408" max="6408" width="5.7109375" style="1" customWidth="1"/>
    <col min="6409" max="6409" width="6.7109375" style="1" customWidth="1"/>
    <col min="6410" max="6410" width="6.42578125" style="1" customWidth="1"/>
    <col min="6411" max="6411" width="8.7109375" style="1" customWidth="1"/>
    <col min="6412" max="6412" width="4.7109375" style="1" customWidth="1"/>
    <col min="6413" max="6413" width="5.7109375" style="1" customWidth="1"/>
    <col min="6414" max="6414" width="10.5703125" style="1" customWidth="1"/>
    <col min="6415" max="6415" width="9.7109375" style="1" customWidth="1"/>
    <col min="6416" max="6416" width="10.7109375" style="1" customWidth="1"/>
    <col min="6417" max="6418" width="7.7109375" style="1" customWidth="1"/>
    <col min="6419" max="6419" width="5.7109375" style="1" customWidth="1"/>
    <col min="6420" max="6420" width="7.7109375" style="1" customWidth="1"/>
    <col min="6421" max="6421" width="6.7109375" style="1" customWidth="1"/>
    <col min="6422" max="6422" width="8.7109375" style="1" customWidth="1"/>
    <col min="6423" max="6423" width="7.7109375" style="1" customWidth="1"/>
    <col min="6424" max="6424" width="3.7109375" style="1" customWidth="1"/>
    <col min="6425" max="6425" width="8.7109375" style="1" customWidth="1"/>
    <col min="6426" max="6427" width="9.7109375" style="1" customWidth="1"/>
    <col min="6428" max="6428" width="13.5703125" style="1" bestFit="1" customWidth="1"/>
    <col min="6429" max="6429" width="9.140625" style="1"/>
    <col min="6430" max="6430" width="12.140625" style="1" bestFit="1" customWidth="1"/>
    <col min="6431" max="6656" width="9.140625" style="1"/>
    <col min="6657" max="6657" width="0" style="1" hidden="1" customWidth="1"/>
    <col min="6658" max="6658" width="6.85546875" style="1" bestFit="1" customWidth="1"/>
    <col min="6659" max="6659" width="23.28515625" style="1" customWidth="1"/>
    <col min="6660" max="6660" width="6.7109375" style="1" customWidth="1"/>
    <col min="6661" max="6661" width="7.7109375" style="1" customWidth="1"/>
    <col min="6662" max="6663" width="6.7109375" style="1" customWidth="1"/>
    <col min="6664" max="6664" width="5.7109375" style="1" customWidth="1"/>
    <col min="6665" max="6665" width="6.7109375" style="1" customWidth="1"/>
    <col min="6666" max="6666" width="6.42578125" style="1" customWidth="1"/>
    <col min="6667" max="6667" width="8.7109375" style="1" customWidth="1"/>
    <col min="6668" max="6668" width="4.7109375" style="1" customWidth="1"/>
    <col min="6669" max="6669" width="5.7109375" style="1" customWidth="1"/>
    <col min="6670" max="6670" width="10.5703125" style="1" customWidth="1"/>
    <col min="6671" max="6671" width="9.7109375" style="1" customWidth="1"/>
    <col min="6672" max="6672" width="10.7109375" style="1" customWidth="1"/>
    <col min="6673" max="6674" width="7.7109375" style="1" customWidth="1"/>
    <col min="6675" max="6675" width="5.7109375" style="1" customWidth="1"/>
    <col min="6676" max="6676" width="7.7109375" style="1" customWidth="1"/>
    <col min="6677" max="6677" width="6.7109375" style="1" customWidth="1"/>
    <col min="6678" max="6678" width="8.7109375" style="1" customWidth="1"/>
    <col min="6679" max="6679" width="7.7109375" style="1" customWidth="1"/>
    <col min="6680" max="6680" width="3.7109375" style="1" customWidth="1"/>
    <col min="6681" max="6681" width="8.7109375" style="1" customWidth="1"/>
    <col min="6682" max="6683" width="9.7109375" style="1" customWidth="1"/>
    <col min="6684" max="6684" width="13.5703125" style="1" bestFit="1" customWidth="1"/>
    <col min="6685" max="6685" width="9.140625" style="1"/>
    <col min="6686" max="6686" width="12.140625" style="1" bestFit="1" customWidth="1"/>
    <col min="6687" max="6912" width="9.140625" style="1"/>
    <col min="6913" max="6913" width="0" style="1" hidden="1" customWidth="1"/>
    <col min="6914" max="6914" width="6.85546875" style="1" bestFit="1" customWidth="1"/>
    <col min="6915" max="6915" width="23.28515625" style="1" customWidth="1"/>
    <col min="6916" max="6916" width="6.7109375" style="1" customWidth="1"/>
    <col min="6917" max="6917" width="7.7109375" style="1" customWidth="1"/>
    <col min="6918" max="6919" width="6.7109375" style="1" customWidth="1"/>
    <col min="6920" max="6920" width="5.7109375" style="1" customWidth="1"/>
    <col min="6921" max="6921" width="6.7109375" style="1" customWidth="1"/>
    <col min="6922" max="6922" width="6.42578125" style="1" customWidth="1"/>
    <col min="6923" max="6923" width="8.7109375" style="1" customWidth="1"/>
    <col min="6924" max="6924" width="4.7109375" style="1" customWidth="1"/>
    <col min="6925" max="6925" width="5.7109375" style="1" customWidth="1"/>
    <col min="6926" max="6926" width="10.5703125" style="1" customWidth="1"/>
    <col min="6927" max="6927" width="9.7109375" style="1" customWidth="1"/>
    <col min="6928" max="6928" width="10.7109375" style="1" customWidth="1"/>
    <col min="6929" max="6930" width="7.7109375" style="1" customWidth="1"/>
    <col min="6931" max="6931" width="5.7109375" style="1" customWidth="1"/>
    <col min="6932" max="6932" width="7.7109375" style="1" customWidth="1"/>
    <col min="6933" max="6933" width="6.7109375" style="1" customWidth="1"/>
    <col min="6934" max="6934" width="8.7109375" style="1" customWidth="1"/>
    <col min="6935" max="6935" width="7.7109375" style="1" customWidth="1"/>
    <col min="6936" max="6936" width="3.7109375" style="1" customWidth="1"/>
    <col min="6937" max="6937" width="8.7109375" style="1" customWidth="1"/>
    <col min="6938" max="6939" width="9.7109375" style="1" customWidth="1"/>
    <col min="6940" max="6940" width="13.5703125" style="1" bestFit="1" customWidth="1"/>
    <col min="6941" max="6941" width="9.140625" style="1"/>
    <col min="6942" max="6942" width="12.140625" style="1" bestFit="1" customWidth="1"/>
    <col min="6943" max="7168" width="9.140625" style="1"/>
    <col min="7169" max="7169" width="0" style="1" hidden="1" customWidth="1"/>
    <col min="7170" max="7170" width="6.85546875" style="1" bestFit="1" customWidth="1"/>
    <col min="7171" max="7171" width="23.28515625" style="1" customWidth="1"/>
    <col min="7172" max="7172" width="6.7109375" style="1" customWidth="1"/>
    <col min="7173" max="7173" width="7.7109375" style="1" customWidth="1"/>
    <col min="7174" max="7175" width="6.7109375" style="1" customWidth="1"/>
    <col min="7176" max="7176" width="5.7109375" style="1" customWidth="1"/>
    <col min="7177" max="7177" width="6.7109375" style="1" customWidth="1"/>
    <col min="7178" max="7178" width="6.42578125" style="1" customWidth="1"/>
    <col min="7179" max="7179" width="8.7109375" style="1" customWidth="1"/>
    <col min="7180" max="7180" width="4.7109375" style="1" customWidth="1"/>
    <col min="7181" max="7181" width="5.7109375" style="1" customWidth="1"/>
    <col min="7182" max="7182" width="10.5703125" style="1" customWidth="1"/>
    <col min="7183" max="7183" width="9.7109375" style="1" customWidth="1"/>
    <col min="7184" max="7184" width="10.7109375" style="1" customWidth="1"/>
    <col min="7185" max="7186" width="7.7109375" style="1" customWidth="1"/>
    <col min="7187" max="7187" width="5.7109375" style="1" customWidth="1"/>
    <col min="7188" max="7188" width="7.7109375" style="1" customWidth="1"/>
    <col min="7189" max="7189" width="6.7109375" style="1" customWidth="1"/>
    <col min="7190" max="7190" width="8.7109375" style="1" customWidth="1"/>
    <col min="7191" max="7191" width="7.7109375" style="1" customWidth="1"/>
    <col min="7192" max="7192" width="3.7109375" style="1" customWidth="1"/>
    <col min="7193" max="7193" width="8.7109375" style="1" customWidth="1"/>
    <col min="7194" max="7195" width="9.7109375" style="1" customWidth="1"/>
    <col min="7196" max="7196" width="13.5703125" style="1" bestFit="1" customWidth="1"/>
    <col min="7197" max="7197" width="9.140625" style="1"/>
    <col min="7198" max="7198" width="12.140625" style="1" bestFit="1" customWidth="1"/>
    <col min="7199" max="7424" width="9.140625" style="1"/>
    <col min="7425" max="7425" width="0" style="1" hidden="1" customWidth="1"/>
    <col min="7426" max="7426" width="6.85546875" style="1" bestFit="1" customWidth="1"/>
    <col min="7427" max="7427" width="23.28515625" style="1" customWidth="1"/>
    <col min="7428" max="7428" width="6.7109375" style="1" customWidth="1"/>
    <col min="7429" max="7429" width="7.7109375" style="1" customWidth="1"/>
    <col min="7430" max="7431" width="6.7109375" style="1" customWidth="1"/>
    <col min="7432" max="7432" width="5.7109375" style="1" customWidth="1"/>
    <col min="7433" max="7433" width="6.7109375" style="1" customWidth="1"/>
    <col min="7434" max="7434" width="6.42578125" style="1" customWidth="1"/>
    <col min="7435" max="7435" width="8.7109375" style="1" customWidth="1"/>
    <col min="7436" max="7436" width="4.7109375" style="1" customWidth="1"/>
    <col min="7437" max="7437" width="5.7109375" style="1" customWidth="1"/>
    <col min="7438" max="7438" width="10.5703125" style="1" customWidth="1"/>
    <col min="7439" max="7439" width="9.7109375" style="1" customWidth="1"/>
    <col min="7440" max="7440" width="10.7109375" style="1" customWidth="1"/>
    <col min="7441" max="7442" width="7.7109375" style="1" customWidth="1"/>
    <col min="7443" max="7443" width="5.7109375" style="1" customWidth="1"/>
    <col min="7444" max="7444" width="7.7109375" style="1" customWidth="1"/>
    <col min="7445" max="7445" width="6.7109375" style="1" customWidth="1"/>
    <col min="7446" max="7446" width="8.7109375" style="1" customWidth="1"/>
    <col min="7447" max="7447" width="7.7109375" style="1" customWidth="1"/>
    <col min="7448" max="7448" width="3.7109375" style="1" customWidth="1"/>
    <col min="7449" max="7449" width="8.7109375" style="1" customWidth="1"/>
    <col min="7450" max="7451" width="9.7109375" style="1" customWidth="1"/>
    <col min="7452" max="7452" width="13.5703125" style="1" bestFit="1" customWidth="1"/>
    <col min="7453" max="7453" width="9.140625" style="1"/>
    <col min="7454" max="7454" width="12.140625" style="1" bestFit="1" customWidth="1"/>
    <col min="7455" max="7680" width="9.140625" style="1"/>
    <col min="7681" max="7681" width="0" style="1" hidden="1" customWidth="1"/>
    <col min="7682" max="7682" width="6.85546875" style="1" bestFit="1" customWidth="1"/>
    <col min="7683" max="7683" width="23.28515625" style="1" customWidth="1"/>
    <col min="7684" max="7684" width="6.7109375" style="1" customWidth="1"/>
    <col min="7685" max="7685" width="7.7109375" style="1" customWidth="1"/>
    <col min="7686" max="7687" width="6.7109375" style="1" customWidth="1"/>
    <col min="7688" max="7688" width="5.7109375" style="1" customWidth="1"/>
    <col min="7689" max="7689" width="6.7109375" style="1" customWidth="1"/>
    <col min="7690" max="7690" width="6.42578125" style="1" customWidth="1"/>
    <col min="7691" max="7691" width="8.7109375" style="1" customWidth="1"/>
    <col min="7692" max="7692" width="4.7109375" style="1" customWidth="1"/>
    <col min="7693" max="7693" width="5.7109375" style="1" customWidth="1"/>
    <col min="7694" max="7694" width="10.5703125" style="1" customWidth="1"/>
    <col min="7695" max="7695" width="9.7109375" style="1" customWidth="1"/>
    <col min="7696" max="7696" width="10.7109375" style="1" customWidth="1"/>
    <col min="7697" max="7698" width="7.7109375" style="1" customWidth="1"/>
    <col min="7699" max="7699" width="5.7109375" style="1" customWidth="1"/>
    <col min="7700" max="7700" width="7.7109375" style="1" customWidth="1"/>
    <col min="7701" max="7701" width="6.7109375" style="1" customWidth="1"/>
    <col min="7702" max="7702" width="8.7109375" style="1" customWidth="1"/>
    <col min="7703" max="7703" width="7.7109375" style="1" customWidth="1"/>
    <col min="7704" max="7704" width="3.7109375" style="1" customWidth="1"/>
    <col min="7705" max="7705" width="8.7109375" style="1" customWidth="1"/>
    <col min="7706" max="7707" width="9.7109375" style="1" customWidth="1"/>
    <col min="7708" max="7708" width="13.5703125" style="1" bestFit="1" customWidth="1"/>
    <col min="7709" max="7709" width="9.140625" style="1"/>
    <col min="7710" max="7710" width="12.140625" style="1" bestFit="1" customWidth="1"/>
    <col min="7711" max="7936" width="9.140625" style="1"/>
    <col min="7937" max="7937" width="0" style="1" hidden="1" customWidth="1"/>
    <col min="7938" max="7938" width="6.85546875" style="1" bestFit="1" customWidth="1"/>
    <col min="7939" max="7939" width="23.28515625" style="1" customWidth="1"/>
    <col min="7940" max="7940" width="6.7109375" style="1" customWidth="1"/>
    <col min="7941" max="7941" width="7.7109375" style="1" customWidth="1"/>
    <col min="7942" max="7943" width="6.7109375" style="1" customWidth="1"/>
    <col min="7944" max="7944" width="5.7109375" style="1" customWidth="1"/>
    <col min="7945" max="7945" width="6.7109375" style="1" customWidth="1"/>
    <col min="7946" max="7946" width="6.42578125" style="1" customWidth="1"/>
    <col min="7947" max="7947" width="8.7109375" style="1" customWidth="1"/>
    <col min="7948" max="7948" width="4.7109375" style="1" customWidth="1"/>
    <col min="7949" max="7949" width="5.7109375" style="1" customWidth="1"/>
    <col min="7950" max="7950" width="10.5703125" style="1" customWidth="1"/>
    <col min="7951" max="7951" width="9.7109375" style="1" customWidth="1"/>
    <col min="7952" max="7952" width="10.7109375" style="1" customWidth="1"/>
    <col min="7953" max="7954" width="7.7109375" style="1" customWidth="1"/>
    <col min="7955" max="7955" width="5.7109375" style="1" customWidth="1"/>
    <col min="7956" max="7956" width="7.7109375" style="1" customWidth="1"/>
    <col min="7957" max="7957" width="6.7109375" style="1" customWidth="1"/>
    <col min="7958" max="7958" width="8.7109375" style="1" customWidth="1"/>
    <col min="7959" max="7959" width="7.7109375" style="1" customWidth="1"/>
    <col min="7960" max="7960" width="3.7109375" style="1" customWidth="1"/>
    <col min="7961" max="7961" width="8.7109375" style="1" customWidth="1"/>
    <col min="7962" max="7963" width="9.7109375" style="1" customWidth="1"/>
    <col min="7964" max="7964" width="13.5703125" style="1" bestFit="1" customWidth="1"/>
    <col min="7965" max="7965" width="9.140625" style="1"/>
    <col min="7966" max="7966" width="12.140625" style="1" bestFit="1" customWidth="1"/>
    <col min="7967" max="8192" width="9.140625" style="1"/>
    <col min="8193" max="8193" width="0" style="1" hidden="1" customWidth="1"/>
    <col min="8194" max="8194" width="6.85546875" style="1" bestFit="1" customWidth="1"/>
    <col min="8195" max="8195" width="23.28515625" style="1" customWidth="1"/>
    <col min="8196" max="8196" width="6.7109375" style="1" customWidth="1"/>
    <col min="8197" max="8197" width="7.7109375" style="1" customWidth="1"/>
    <col min="8198" max="8199" width="6.7109375" style="1" customWidth="1"/>
    <col min="8200" max="8200" width="5.7109375" style="1" customWidth="1"/>
    <col min="8201" max="8201" width="6.7109375" style="1" customWidth="1"/>
    <col min="8202" max="8202" width="6.42578125" style="1" customWidth="1"/>
    <col min="8203" max="8203" width="8.7109375" style="1" customWidth="1"/>
    <col min="8204" max="8204" width="4.7109375" style="1" customWidth="1"/>
    <col min="8205" max="8205" width="5.7109375" style="1" customWidth="1"/>
    <col min="8206" max="8206" width="10.5703125" style="1" customWidth="1"/>
    <col min="8207" max="8207" width="9.7109375" style="1" customWidth="1"/>
    <col min="8208" max="8208" width="10.7109375" style="1" customWidth="1"/>
    <col min="8209" max="8210" width="7.7109375" style="1" customWidth="1"/>
    <col min="8211" max="8211" width="5.7109375" style="1" customWidth="1"/>
    <col min="8212" max="8212" width="7.7109375" style="1" customWidth="1"/>
    <col min="8213" max="8213" width="6.7109375" style="1" customWidth="1"/>
    <col min="8214" max="8214" width="8.7109375" style="1" customWidth="1"/>
    <col min="8215" max="8215" width="7.7109375" style="1" customWidth="1"/>
    <col min="8216" max="8216" width="3.7109375" style="1" customWidth="1"/>
    <col min="8217" max="8217" width="8.7109375" style="1" customWidth="1"/>
    <col min="8218" max="8219" width="9.7109375" style="1" customWidth="1"/>
    <col min="8220" max="8220" width="13.5703125" style="1" bestFit="1" customWidth="1"/>
    <col min="8221" max="8221" width="9.140625" style="1"/>
    <col min="8222" max="8222" width="12.140625" style="1" bestFit="1" customWidth="1"/>
    <col min="8223" max="8448" width="9.140625" style="1"/>
    <col min="8449" max="8449" width="0" style="1" hidden="1" customWidth="1"/>
    <col min="8450" max="8450" width="6.85546875" style="1" bestFit="1" customWidth="1"/>
    <col min="8451" max="8451" width="23.28515625" style="1" customWidth="1"/>
    <col min="8452" max="8452" width="6.7109375" style="1" customWidth="1"/>
    <col min="8453" max="8453" width="7.7109375" style="1" customWidth="1"/>
    <col min="8454" max="8455" width="6.7109375" style="1" customWidth="1"/>
    <col min="8456" max="8456" width="5.7109375" style="1" customWidth="1"/>
    <col min="8457" max="8457" width="6.7109375" style="1" customWidth="1"/>
    <col min="8458" max="8458" width="6.42578125" style="1" customWidth="1"/>
    <col min="8459" max="8459" width="8.7109375" style="1" customWidth="1"/>
    <col min="8460" max="8460" width="4.7109375" style="1" customWidth="1"/>
    <col min="8461" max="8461" width="5.7109375" style="1" customWidth="1"/>
    <col min="8462" max="8462" width="10.5703125" style="1" customWidth="1"/>
    <col min="8463" max="8463" width="9.7109375" style="1" customWidth="1"/>
    <col min="8464" max="8464" width="10.7109375" style="1" customWidth="1"/>
    <col min="8465" max="8466" width="7.7109375" style="1" customWidth="1"/>
    <col min="8467" max="8467" width="5.7109375" style="1" customWidth="1"/>
    <col min="8468" max="8468" width="7.7109375" style="1" customWidth="1"/>
    <col min="8469" max="8469" width="6.7109375" style="1" customWidth="1"/>
    <col min="8470" max="8470" width="8.7109375" style="1" customWidth="1"/>
    <col min="8471" max="8471" width="7.7109375" style="1" customWidth="1"/>
    <col min="8472" max="8472" width="3.7109375" style="1" customWidth="1"/>
    <col min="8473" max="8473" width="8.7109375" style="1" customWidth="1"/>
    <col min="8474" max="8475" width="9.7109375" style="1" customWidth="1"/>
    <col min="8476" max="8476" width="13.5703125" style="1" bestFit="1" customWidth="1"/>
    <col min="8477" max="8477" width="9.140625" style="1"/>
    <col min="8478" max="8478" width="12.140625" style="1" bestFit="1" customWidth="1"/>
    <col min="8479" max="8704" width="9.140625" style="1"/>
    <col min="8705" max="8705" width="0" style="1" hidden="1" customWidth="1"/>
    <col min="8706" max="8706" width="6.85546875" style="1" bestFit="1" customWidth="1"/>
    <col min="8707" max="8707" width="23.28515625" style="1" customWidth="1"/>
    <col min="8708" max="8708" width="6.7109375" style="1" customWidth="1"/>
    <col min="8709" max="8709" width="7.7109375" style="1" customWidth="1"/>
    <col min="8710" max="8711" width="6.7109375" style="1" customWidth="1"/>
    <col min="8712" max="8712" width="5.7109375" style="1" customWidth="1"/>
    <col min="8713" max="8713" width="6.7109375" style="1" customWidth="1"/>
    <col min="8714" max="8714" width="6.42578125" style="1" customWidth="1"/>
    <col min="8715" max="8715" width="8.7109375" style="1" customWidth="1"/>
    <col min="8716" max="8716" width="4.7109375" style="1" customWidth="1"/>
    <col min="8717" max="8717" width="5.7109375" style="1" customWidth="1"/>
    <col min="8718" max="8718" width="10.5703125" style="1" customWidth="1"/>
    <col min="8719" max="8719" width="9.7109375" style="1" customWidth="1"/>
    <col min="8720" max="8720" width="10.7109375" style="1" customWidth="1"/>
    <col min="8721" max="8722" width="7.7109375" style="1" customWidth="1"/>
    <col min="8723" max="8723" width="5.7109375" style="1" customWidth="1"/>
    <col min="8724" max="8724" width="7.7109375" style="1" customWidth="1"/>
    <col min="8725" max="8725" width="6.7109375" style="1" customWidth="1"/>
    <col min="8726" max="8726" width="8.7109375" style="1" customWidth="1"/>
    <col min="8727" max="8727" width="7.7109375" style="1" customWidth="1"/>
    <col min="8728" max="8728" width="3.7109375" style="1" customWidth="1"/>
    <col min="8729" max="8729" width="8.7109375" style="1" customWidth="1"/>
    <col min="8730" max="8731" width="9.7109375" style="1" customWidth="1"/>
    <col min="8732" max="8732" width="13.5703125" style="1" bestFit="1" customWidth="1"/>
    <col min="8733" max="8733" width="9.140625" style="1"/>
    <col min="8734" max="8734" width="12.140625" style="1" bestFit="1" customWidth="1"/>
    <col min="8735" max="8960" width="9.140625" style="1"/>
    <col min="8961" max="8961" width="0" style="1" hidden="1" customWidth="1"/>
    <col min="8962" max="8962" width="6.85546875" style="1" bestFit="1" customWidth="1"/>
    <col min="8963" max="8963" width="23.28515625" style="1" customWidth="1"/>
    <col min="8964" max="8964" width="6.7109375" style="1" customWidth="1"/>
    <col min="8965" max="8965" width="7.7109375" style="1" customWidth="1"/>
    <col min="8966" max="8967" width="6.7109375" style="1" customWidth="1"/>
    <col min="8968" max="8968" width="5.7109375" style="1" customWidth="1"/>
    <col min="8969" max="8969" width="6.7109375" style="1" customWidth="1"/>
    <col min="8970" max="8970" width="6.42578125" style="1" customWidth="1"/>
    <col min="8971" max="8971" width="8.7109375" style="1" customWidth="1"/>
    <col min="8972" max="8972" width="4.7109375" style="1" customWidth="1"/>
    <col min="8973" max="8973" width="5.7109375" style="1" customWidth="1"/>
    <col min="8974" max="8974" width="10.5703125" style="1" customWidth="1"/>
    <col min="8975" max="8975" width="9.7109375" style="1" customWidth="1"/>
    <col min="8976" max="8976" width="10.7109375" style="1" customWidth="1"/>
    <col min="8977" max="8978" width="7.7109375" style="1" customWidth="1"/>
    <col min="8979" max="8979" width="5.7109375" style="1" customWidth="1"/>
    <col min="8980" max="8980" width="7.7109375" style="1" customWidth="1"/>
    <col min="8981" max="8981" width="6.7109375" style="1" customWidth="1"/>
    <col min="8982" max="8982" width="8.7109375" style="1" customWidth="1"/>
    <col min="8983" max="8983" width="7.7109375" style="1" customWidth="1"/>
    <col min="8984" max="8984" width="3.7109375" style="1" customWidth="1"/>
    <col min="8985" max="8985" width="8.7109375" style="1" customWidth="1"/>
    <col min="8986" max="8987" width="9.7109375" style="1" customWidth="1"/>
    <col min="8988" max="8988" width="13.5703125" style="1" bestFit="1" customWidth="1"/>
    <col min="8989" max="8989" width="9.140625" style="1"/>
    <col min="8990" max="8990" width="12.140625" style="1" bestFit="1" customWidth="1"/>
    <col min="8991" max="9216" width="9.140625" style="1"/>
    <col min="9217" max="9217" width="0" style="1" hidden="1" customWidth="1"/>
    <col min="9218" max="9218" width="6.85546875" style="1" bestFit="1" customWidth="1"/>
    <col min="9219" max="9219" width="23.28515625" style="1" customWidth="1"/>
    <col min="9220" max="9220" width="6.7109375" style="1" customWidth="1"/>
    <col min="9221" max="9221" width="7.7109375" style="1" customWidth="1"/>
    <col min="9222" max="9223" width="6.7109375" style="1" customWidth="1"/>
    <col min="9224" max="9224" width="5.7109375" style="1" customWidth="1"/>
    <col min="9225" max="9225" width="6.7109375" style="1" customWidth="1"/>
    <col min="9226" max="9226" width="6.42578125" style="1" customWidth="1"/>
    <col min="9227" max="9227" width="8.7109375" style="1" customWidth="1"/>
    <col min="9228" max="9228" width="4.7109375" style="1" customWidth="1"/>
    <col min="9229" max="9229" width="5.7109375" style="1" customWidth="1"/>
    <col min="9230" max="9230" width="10.5703125" style="1" customWidth="1"/>
    <col min="9231" max="9231" width="9.7109375" style="1" customWidth="1"/>
    <col min="9232" max="9232" width="10.7109375" style="1" customWidth="1"/>
    <col min="9233" max="9234" width="7.7109375" style="1" customWidth="1"/>
    <col min="9235" max="9235" width="5.7109375" style="1" customWidth="1"/>
    <col min="9236" max="9236" width="7.7109375" style="1" customWidth="1"/>
    <col min="9237" max="9237" width="6.7109375" style="1" customWidth="1"/>
    <col min="9238" max="9238" width="8.7109375" style="1" customWidth="1"/>
    <col min="9239" max="9239" width="7.7109375" style="1" customWidth="1"/>
    <col min="9240" max="9240" width="3.7109375" style="1" customWidth="1"/>
    <col min="9241" max="9241" width="8.7109375" style="1" customWidth="1"/>
    <col min="9242" max="9243" width="9.7109375" style="1" customWidth="1"/>
    <col min="9244" max="9244" width="13.5703125" style="1" bestFit="1" customWidth="1"/>
    <col min="9245" max="9245" width="9.140625" style="1"/>
    <col min="9246" max="9246" width="12.140625" style="1" bestFit="1" customWidth="1"/>
    <col min="9247" max="9472" width="9.140625" style="1"/>
    <col min="9473" max="9473" width="0" style="1" hidden="1" customWidth="1"/>
    <col min="9474" max="9474" width="6.85546875" style="1" bestFit="1" customWidth="1"/>
    <col min="9475" max="9475" width="23.28515625" style="1" customWidth="1"/>
    <col min="9476" max="9476" width="6.7109375" style="1" customWidth="1"/>
    <col min="9477" max="9477" width="7.7109375" style="1" customWidth="1"/>
    <col min="9478" max="9479" width="6.7109375" style="1" customWidth="1"/>
    <col min="9480" max="9480" width="5.7109375" style="1" customWidth="1"/>
    <col min="9481" max="9481" width="6.7109375" style="1" customWidth="1"/>
    <col min="9482" max="9482" width="6.42578125" style="1" customWidth="1"/>
    <col min="9483" max="9483" width="8.7109375" style="1" customWidth="1"/>
    <col min="9484" max="9484" width="4.7109375" style="1" customWidth="1"/>
    <col min="9485" max="9485" width="5.7109375" style="1" customWidth="1"/>
    <col min="9486" max="9486" width="10.5703125" style="1" customWidth="1"/>
    <col min="9487" max="9487" width="9.7109375" style="1" customWidth="1"/>
    <col min="9488" max="9488" width="10.7109375" style="1" customWidth="1"/>
    <col min="9489" max="9490" width="7.7109375" style="1" customWidth="1"/>
    <col min="9491" max="9491" width="5.7109375" style="1" customWidth="1"/>
    <col min="9492" max="9492" width="7.7109375" style="1" customWidth="1"/>
    <col min="9493" max="9493" width="6.7109375" style="1" customWidth="1"/>
    <col min="9494" max="9494" width="8.7109375" style="1" customWidth="1"/>
    <col min="9495" max="9495" width="7.7109375" style="1" customWidth="1"/>
    <col min="9496" max="9496" width="3.7109375" style="1" customWidth="1"/>
    <col min="9497" max="9497" width="8.7109375" style="1" customWidth="1"/>
    <col min="9498" max="9499" width="9.7109375" style="1" customWidth="1"/>
    <col min="9500" max="9500" width="13.5703125" style="1" bestFit="1" customWidth="1"/>
    <col min="9501" max="9501" width="9.140625" style="1"/>
    <col min="9502" max="9502" width="12.140625" style="1" bestFit="1" customWidth="1"/>
    <col min="9503" max="9728" width="9.140625" style="1"/>
    <col min="9729" max="9729" width="0" style="1" hidden="1" customWidth="1"/>
    <col min="9730" max="9730" width="6.85546875" style="1" bestFit="1" customWidth="1"/>
    <col min="9731" max="9731" width="23.28515625" style="1" customWidth="1"/>
    <col min="9732" max="9732" width="6.7109375" style="1" customWidth="1"/>
    <col min="9733" max="9733" width="7.7109375" style="1" customWidth="1"/>
    <col min="9734" max="9735" width="6.7109375" style="1" customWidth="1"/>
    <col min="9736" max="9736" width="5.7109375" style="1" customWidth="1"/>
    <col min="9737" max="9737" width="6.7109375" style="1" customWidth="1"/>
    <col min="9738" max="9738" width="6.42578125" style="1" customWidth="1"/>
    <col min="9739" max="9739" width="8.7109375" style="1" customWidth="1"/>
    <col min="9740" max="9740" width="4.7109375" style="1" customWidth="1"/>
    <col min="9741" max="9741" width="5.7109375" style="1" customWidth="1"/>
    <col min="9742" max="9742" width="10.5703125" style="1" customWidth="1"/>
    <col min="9743" max="9743" width="9.7109375" style="1" customWidth="1"/>
    <col min="9744" max="9744" width="10.7109375" style="1" customWidth="1"/>
    <col min="9745" max="9746" width="7.7109375" style="1" customWidth="1"/>
    <col min="9747" max="9747" width="5.7109375" style="1" customWidth="1"/>
    <col min="9748" max="9748" width="7.7109375" style="1" customWidth="1"/>
    <col min="9749" max="9749" width="6.7109375" style="1" customWidth="1"/>
    <col min="9750" max="9750" width="8.7109375" style="1" customWidth="1"/>
    <col min="9751" max="9751" width="7.7109375" style="1" customWidth="1"/>
    <col min="9752" max="9752" width="3.7109375" style="1" customWidth="1"/>
    <col min="9753" max="9753" width="8.7109375" style="1" customWidth="1"/>
    <col min="9754" max="9755" width="9.7109375" style="1" customWidth="1"/>
    <col min="9756" max="9756" width="13.5703125" style="1" bestFit="1" customWidth="1"/>
    <col min="9757" max="9757" width="9.140625" style="1"/>
    <col min="9758" max="9758" width="12.140625" style="1" bestFit="1" customWidth="1"/>
    <col min="9759" max="9984" width="9.140625" style="1"/>
    <col min="9985" max="9985" width="0" style="1" hidden="1" customWidth="1"/>
    <col min="9986" max="9986" width="6.85546875" style="1" bestFit="1" customWidth="1"/>
    <col min="9987" max="9987" width="23.28515625" style="1" customWidth="1"/>
    <col min="9988" max="9988" width="6.7109375" style="1" customWidth="1"/>
    <col min="9989" max="9989" width="7.7109375" style="1" customWidth="1"/>
    <col min="9990" max="9991" width="6.7109375" style="1" customWidth="1"/>
    <col min="9992" max="9992" width="5.7109375" style="1" customWidth="1"/>
    <col min="9993" max="9993" width="6.7109375" style="1" customWidth="1"/>
    <col min="9994" max="9994" width="6.42578125" style="1" customWidth="1"/>
    <col min="9995" max="9995" width="8.7109375" style="1" customWidth="1"/>
    <col min="9996" max="9996" width="4.7109375" style="1" customWidth="1"/>
    <col min="9997" max="9997" width="5.7109375" style="1" customWidth="1"/>
    <col min="9998" max="9998" width="10.5703125" style="1" customWidth="1"/>
    <col min="9999" max="9999" width="9.7109375" style="1" customWidth="1"/>
    <col min="10000" max="10000" width="10.7109375" style="1" customWidth="1"/>
    <col min="10001" max="10002" width="7.7109375" style="1" customWidth="1"/>
    <col min="10003" max="10003" width="5.7109375" style="1" customWidth="1"/>
    <col min="10004" max="10004" width="7.7109375" style="1" customWidth="1"/>
    <col min="10005" max="10005" width="6.7109375" style="1" customWidth="1"/>
    <col min="10006" max="10006" width="8.7109375" style="1" customWidth="1"/>
    <col min="10007" max="10007" width="7.7109375" style="1" customWidth="1"/>
    <col min="10008" max="10008" width="3.7109375" style="1" customWidth="1"/>
    <col min="10009" max="10009" width="8.7109375" style="1" customWidth="1"/>
    <col min="10010" max="10011" width="9.7109375" style="1" customWidth="1"/>
    <col min="10012" max="10012" width="13.5703125" style="1" bestFit="1" customWidth="1"/>
    <col min="10013" max="10013" width="9.140625" style="1"/>
    <col min="10014" max="10014" width="12.140625" style="1" bestFit="1" customWidth="1"/>
    <col min="10015" max="10240" width="9.140625" style="1"/>
    <col min="10241" max="10241" width="0" style="1" hidden="1" customWidth="1"/>
    <col min="10242" max="10242" width="6.85546875" style="1" bestFit="1" customWidth="1"/>
    <col min="10243" max="10243" width="23.28515625" style="1" customWidth="1"/>
    <col min="10244" max="10244" width="6.7109375" style="1" customWidth="1"/>
    <col min="10245" max="10245" width="7.7109375" style="1" customWidth="1"/>
    <col min="10246" max="10247" width="6.7109375" style="1" customWidth="1"/>
    <col min="10248" max="10248" width="5.7109375" style="1" customWidth="1"/>
    <col min="10249" max="10249" width="6.7109375" style="1" customWidth="1"/>
    <col min="10250" max="10250" width="6.42578125" style="1" customWidth="1"/>
    <col min="10251" max="10251" width="8.7109375" style="1" customWidth="1"/>
    <col min="10252" max="10252" width="4.7109375" style="1" customWidth="1"/>
    <col min="10253" max="10253" width="5.7109375" style="1" customWidth="1"/>
    <col min="10254" max="10254" width="10.5703125" style="1" customWidth="1"/>
    <col min="10255" max="10255" width="9.7109375" style="1" customWidth="1"/>
    <col min="10256" max="10256" width="10.7109375" style="1" customWidth="1"/>
    <col min="10257" max="10258" width="7.7109375" style="1" customWidth="1"/>
    <col min="10259" max="10259" width="5.7109375" style="1" customWidth="1"/>
    <col min="10260" max="10260" width="7.7109375" style="1" customWidth="1"/>
    <col min="10261" max="10261" width="6.7109375" style="1" customWidth="1"/>
    <col min="10262" max="10262" width="8.7109375" style="1" customWidth="1"/>
    <col min="10263" max="10263" width="7.7109375" style="1" customWidth="1"/>
    <col min="10264" max="10264" width="3.7109375" style="1" customWidth="1"/>
    <col min="10265" max="10265" width="8.7109375" style="1" customWidth="1"/>
    <col min="10266" max="10267" width="9.7109375" style="1" customWidth="1"/>
    <col min="10268" max="10268" width="13.5703125" style="1" bestFit="1" customWidth="1"/>
    <col min="10269" max="10269" width="9.140625" style="1"/>
    <col min="10270" max="10270" width="12.140625" style="1" bestFit="1" customWidth="1"/>
    <col min="10271" max="10496" width="9.140625" style="1"/>
    <col min="10497" max="10497" width="0" style="1" hidden="1" customWidth="1"/>
    <col min="10498" max="10498" width="6.85546875" style="1" bestFit="1" customWidth="1"/>
    <col min="10499" max="10499" width="23.28515625" style="1" customWidth="1"/>
    <col min="10500" max="10500" width="6.7109375" style="1" customWidth="1"/>
    <col min="10501" max="10501" width="7.7109375" style="1" customWidth="1"/>
    <col min="10502" max="10503" width="6.7109375" style="1" customWidth="1"/>
    <col min="10504" max="10504" width="5.7109375" style="1" customWidth="1"/>
    <col min="10505" max="10505" width="6.7109375" style="1" customWidth="1"/>
    <col min="10506" max="10506" width="6.42578125" style="1" customWidth="1"/>
    <col min="10507" max="10507" width="8.7109375" style="1" customWidth="1"/>
    <col min="10508" max="10508" width="4.7109375" style="1" customWidth="1"/>
    <col min="10509" max="10509" width="5.7109375" style="1" customWidth="1"/>
    <col min="10510" max="10510" width="10.5703125" style="1" customWidth="1"/>
    <col min="10511" max="10511" width="9.7109375" style="1" customWidth="1"/>
    <col min="10512" max="10512" width="10.7109375" style="1" customWidth="1"/>
    <col min="10513" max="10514" width="7.7109375" style="1" customWidth="1"/>
    <col min="10515" max="10515" width="5.7109375" style="1" customWidth="1"/>
    <col min="10516" max="10516" width="7.7109375" style="1" customWidth="1"/>
    <col min="10517" max="10517" width="6.7109375" style="1" customWidth="1"/>
    <col min="10518" max="10518" width="8.7109375" style="1" customWidth="1"/>
    <col min="10519" max="10519" width="7.7109375" style="1" customWidth="1"/>
    <col min="10520" max="10520" width="3.7109375" style="1" customWidth="1"/>
    <col min="10521" max="10521" width="8.7109375" style="1" customWidth="1"/>
    <col min="10522" max="10523" width="9.7109375" style="1" customWidth="1"/>
    <col min="10524" max="10524" width="13.5703125" style="1" bestFit="1" customWidth="1"/>
    <col min="10525" max="10525" width="9.140625" style="1"/>
    <col min="10526" max="10526" width="12.140625" style="1" bestFit="1" customWidth="1"/>
    <col min="10527" max="10752" width="9.140625" style="1"/>
    <col min="10753" max="10753" width="0" style="1" hidden="1" customWidth="1"/>
    <col min="10754" max="10754" width="6.85546875" style="1" bestFit="1" customWidth="1"/>
    <col min="10755" max="10755" width="23.28515625" style="1" customWidth="1"/>
    <col min="10756" max="10756" width="6.7109375" style="1" customWidth="1"/>
    <col min="10757" max="10757" width="7.7109375" style="1" customWidth="1"/>
    <col min="10758" max="10759" width="6.7109375" style="1" customWidth="1"/>
    <col min="10760" max="10760" width="5.7109375" style="1" customWidth="1"/>
    <col min="10761" max="10761" width="6.7109375" style="1" customWidth="1"/>
    <col min="10762" max="10762" width="6.42578125" style="1" customWidth="1"/>
    <col min="10763" max="10763" width="8.7109375" style="1" customWidth="1"/>
    <col min="10764" max="10764" width="4.7109375" style="1" customWidth="1"/>
    <col min="10765" max="10765" width="5.7109375" style="1" customWidth="1"/>
    <col min="10766" max="10766" width="10.5703125" style="1" customWidth="1"/>
    <col min="10767" max="10767" width="9.7109375" style="1" customWidth="1"/>
    <col min="10768" max="10768" width="10.7109375" style="1" customWidth="1"/>
    <col min="10769" max="10770" width="7.7109375" style="1" customWidth="1"/>
    <col min="10771" max="10771" width="5.7109375" style="1" customWidth="1"/>
    <col min="10772" max="10772" width="7.7109375" style="1" customWidth="1"/>
    <col min="10773" max="10773" width="6.7109375" style="1" customWidth="1"/>
    <col min="10774" max="10774" width="8.7109375" style="1" customWidth="1"/>
    <col min="10775" max="10775" width="7.7109375" style="1" customWidth="1"/>
    <col min="10776" max="10776" width="3.7109375" style="1" customWidth="1"/>
    <col min="10777" max="10777" width="8.7109375" style="1" customWidth="1"/>
    <col min="10778" max="10779" width="9.7109375" style="1" customWidth="1"/>
    <col min="10780" max="10780" width="13.5703125" style="1" bestFit="1" customWidth="1"/>
    <col min="10781" max="10781" width="9.140625" style="1"/>
    <col min="10782" max="10782" width="12.140625" style="1" bestFit="1" customWidth="1"/>
    <col min="10783" max="11008" width="9.140625" style="1"/>
    <col min="11009" max="11009" width="0" style="1" hidden="1" customWidth="1"/>
    <col min="11010" max="11010" width="6.85546875" style="1" bestFit="1" customWidth="1"/>
    <col min="11011" max="11011" width="23.28515625" style="1" customWidth="1"/>
    <col min="11012" max="11012" width="6.7109375" style="1" customWidth="1"/>
    <col min="11013" max="11013" width="7.7109375" style="1" customWidth="1"/>
    <col min="11014" max="11015" width="6.7109375" style="1" customWidth="1"/>
    <col min="11016" max="11016" width="5.7109375" style="1" customWidth="1"/>
    <col min="11017" max="11017" width="6.7109375" style="1" customWidth="1"/>
    <col min="11018" max="11018" width="6.42578125" style="1" customWidth="1"/>
    <col min="11019" max="11019" width="8.7109375" style="1" customWidth="1"/>
    <col min="11020" max="11020" width="4.7109375" style="1" customWidth="1"/>
    <col min="11021" max="11021" width="5.7109375" style="1" customWidth="1"/>
    <col min="11022" max="11022" width="10.5703125" style="1" customWidth="1"/>
    <col min="11023" max="11023" width="9.7109375" style="1" customWidth="1"/>
    <col min="11024" max="11024" width="10.7109375" style="1" customWidth="1"/>
    <col min="11025" max="11026" width="7.7109375" style="1" customWidth="1"/>
    <col min="11027" max="11027" width="5.7109375" style="1" customWidth="1"/>
    <col min="11028" max="11028" width="7.7109375" style="1" customWidth="1"/>
    <col min="11029" max="11029" width="6.7109375" style="1" customWidth="1"/>
    <col min="11030" max="11030" width="8.7109375" style="1" customWidth="1"/>
    <col min="11031" max="11031" width="7.7109375" style="1" customWidth="1"/>
    <col min="11032" max="11032" width="3.7109375" style="1" customWidth="1"/>
    <col min="11033" max="11033" width="8.7109375" style="1" customWidth="1"/>
    <col min="11034" max="11035" width="9.7109375" style="1" customWidth="1"/>
    <col min="11036" max="11036" width="13.5703125" style="1" bestFit="1" customWidth="1"/>
    <col min="11037" max="11037" width="9.140625" style="1"/>
    <col min="11038" max="11038" width="12.140625" style="1" bestFit="1" customWidth="1"/>
    <col min="11039" max="11264" width="9.140625" style="1"/>
    <col min="11265" max="11265" width="0" style="1" hidden="1" customWidth="1"/>
    <col min="11266" max="11266" width="6.85546875" style="1" bestFit="1" customWidth="1"/>
    <col min="11267" max="11267" width="23.28515625" style="1" customWidth="1"/>
    <col min="11268" max="11268" width="6.7109375" style="1" customWidth="1"/>
    <col min="11269" max="11269" width="7.7109375" style="1" customWidth="1"/>
    <col min="11270" max="11271" width="6.7109375" style="1" customWidth="1"/>
    <col min="11272" max="11272" width="5.7109375" style="1" customWidth="1"/>
    <col min="11273" max="11273" width="6.7109375" style="1" customWidth="1"/>
    <col min="11274" max="11274" width="6.42578125" style="1" customWidth="1"/>
    <col min="11275" max="11275" width="8.7109375" style="1" customWidth="1"/>
    <col min="11276" max="11276" width="4.7109375" style="1" customWidth="1"/>
    <col min="11277" max="11277" width="5.7109375" style="1" customWidth="1"/>
    <col min="11278" max="11278" width="10.5703125" style="1" customWidth="1"/>
    <col min="11279" max="11279" width="9.7109375" style="1" customWidth="1"/>
    <col min="11280" max="11280" width="10.7109375" style="1" customWidth="1"/>
    <col min="11281" max="11282" width="7.7109375" style="1" customWidth="1"/>
    <col min="11283" max="11283" width="5.7109375" style="1" customWidth="1"/>
    <col min="11284" max="11284" width="7.7109375" style="1" customWidth="1"/>
    <col min="11285" max="11285" width="6.7109375" style="1" customWidth="1"/>
    <col min="11286" max="11286" width="8.7109375" style="1" customWidth="1"/>
    <col min="11287" max="11287" width="7.7109375" style="1" customWidth="1"/>
    <col min="11288" max="11288" width="3.7109375" style="1" customWidth="1"/>
    <col min="11289" max="11289" width="8.7109375" style="1" customWidth="1"/>
    <col min="11290" max="11291" width="9.7109375" style="1" customWidth="1"/>
    <col min="11292" max="11292" width="13.5703125" style="1" bestFit="1" customWidth="1"/>
    <col min="11293" max="11293" width="9.140625" style="1"/>
    <col min="11294" max="11294" width="12.140625" style="1" bestFit="1" customWidth="1"/>
    <col min="11295" max="11520" width="9.140625" style="1"/>
    <col min="11521" max="11521" width="0" style="1" hidden="1" customWidth="1"/>
    <col min="11522" max="11522" width="6.85546875" style="1" bestFit="1" customWidth="1"/>
    <col min="11523" max="11523" width="23.28515625" style="1" customWidth="1"/>
    <col min="11524" max="11524" width="6.7109375" style="1" customWidth="1"/>
    <col min="11525" max="11525" width="7.7109375" style="1" customWidth="1"/>
    <col min="11526" max="11527" width="6.7109375" style="1" customWidth="1"/>
    <col min="11528" max="11528" width="5.7109375" style="1" customWidth="1"/>
    <col min="11529" max="11529" width="6.7109375" style="1" customWidth="1"/>
    <col min="11530" max="11530" width="6.42578125" style="1" customWidth="1"/>
    <col min="11531" max="11531" width="8.7109375" style="1" customWidth="1"/>
    <col min="11532" max="11532" width="4.7109375" style="1" customWidth="1"/>
    <col min="11533" max="11533" width="5.7109375" style="1" customWidth="1"/>
    <col min="11534" max="11534" width="10.5703125" style="1" customWidth="1"/>
    <col min="11535" max="11535" width="9.7109375" style="1" customWidth="1"/>
    <col min="11536" max="11536" width="10.7109375" style="1" customWidth="1"/>
    <col min="11537" max="11538" width="7.7109375" style="1" customWidth="1"/>
    <col min="11539" max="11539" width="5.7109375" style="1" customWidth="1"/>
    <col min="11540" max="11540" width="7.7109375" style="1" customWidth="1"/>
    <col min="11541" max="11541" width="6.7109375" style="1" customWidth="1"/>
    <col min="11542" max="11542" width="8.7109375" style="1" customWidth="1"/>
    <col min="11543" max="11543" width="7.7109375" style="1" customWidth="1"/>
    <col min="11544" max="11544" width="3.7109375" style="1" customWidth="1"/>
    <col min="11545" max="11545" width="8.7109375" style="1" customWidth="1"/>
    <col min="11546" max="11547" width="9.7109375" style="1" customWidth="1"/>
    <col min="11548" max="11548" width="13.5703125" style="1" bestFit="1" customWidth="1"/>
    <col min="11549" max="11549" width="9.140625" style="1"/>
    <col min="11550" max="11550" width="12.140625" style="1" bestFit="1" customWidth="1"/>
    <col min="11551" max="11776" width="9.140625" style="1"/>
    <col min="11777" max="11777" width="0" style="1" hidden="1" customWidth="1"/>
    <col min="11778" max="11778" width="6.85546875" style="1" bestFit="1" customWidth="1"/>
    <col min="11779" max="11779" width="23.28515625" style="1" customWidth="1"/>
    <col min="11780" max="11780" width="6.7109375" style="1" customWidth="1"/>
    <col min="11781" max="11781" width="7.7109375" style="1" customWidth="1"/>
    <col min="11782" max="11783" width="6.7109375" style="1" customWidth="1"/>
    <col min="11784" max="11784" width="5.7109375" style="1" customWidth="1"/>
    <col min="11785" max="11785" width="6.7109375" style="1" customWidth="1"/>
    <col min="11786" max="11786" width="6.42578125" style="1" customWidth="1"/>
    <col min="11787" max="11787" width="8.7109375" style="1" customWidth="1"/>
    <col min="11788" max="11788" width="4.7109375" style="1" customWidth="1"/>
    <col min="11789" max="11789" width="5.7109375" style="1" customWidth="1"/>
    <col min="11790" max="11790" width="10.5703125" style="1" customWidth="1"/>
    <col min="11791" max="11791" width="9.7109375" style="1" customWidth="1"/>
    <col min="11792" max="11792" width="10.7109375" style="1" customWidth="1"/>
    <col min="11793" max="11794" width="7.7109375" style="1" customWidth="1"/>
    <col min="11795" max="11795" width="5.7109375" style="1" customWidth="1"/>
    <col min="11796" max="11796" width="7.7109375" style="1" customWidth="1"/>
    <col min="11797" max="11797" width="6.7109375" style="1" customWidth="1"/>
    <col min="11798" max="11798" width="8.7109375" style="1" customWidth="1"/>
    <col min="11799" max="11799" width="7.7109375" style="1" customWidth="1"/>
    <col min="11800" max="11800" width="3.7109375" style="1" customWidth="1"/>
    <col min="11801" max="11801" width="8.7109375" style="1" customWidth="1"/>
    <col min="11802" max="11803" width="9.7109375" style="1" customWidth="1"/>
    <col min="11804" max="11804" width="13.5703125" style="1" bestFit="1" customWidth="1"/>
    <col min="11805" max="11805" width="9.140625" style="1"/>
    <col min="11806" max="11806" width="12.140625" style="1" bestFit="1" customWidth="1"/>
    <col min="11807" max="12032" width="9.140625" style="1"/>
    <col min="12033" max="12033" width="0" style="1" hidden="1" customWidth="1"/>
    <col min="12034" max="12034" width="6.85546875" style="1" bestFit="1" customWidth="1"/>
    <col min="12035" max="12035" width="23.28515625" style="1" customWidth="1"/>
    <col min="12036" max="12036" width="6.7109375" style="1" customWidth="1"/>
    <col min="12037" max="12037" width="7.7109375" style="1" customWidth="1"/>
    <col min="12038" max="12039" width="6.7109375" style="1" customWidth="1"/>
    <col min="12040" max="12040" width="5.7109375" style="1" customWidth="1"/>
    <col min="12041" max="12041" width="6.7109375" style="1" customWidth="1"/>
    <col min="12042" max="12042" width="6.42578125" style="1" customWidth="1"/>
    <col min="12043" max="12043" width="8.7109375" style="1" customWidth="1"/>
    <col min="12044" max="12044" width="4.7109375" style="1" customWidth="1"/>
    <col min="12045" max="12045" width="5.7109375" style="1" customWidth="1"/>
    <col min="12046" max="12046" width="10.5703125" style="1" customWidth="1"/>
    <col min="12047" max="12047" width="9.7109375" style="1" customWidth="1"/>
    <col min="12048" max="12048" width="10.7109375" style="1" customWidth="1"/>
    <col min="12049" max="12050" width="7.7109375" style="1" customWidth="1"/>
    <col min="12051" max="12051" width="5.7109375" style="1" customWidth="1"/>
    <col min="12052" max="12052" width="7.7109375" style="1" customWidth="1"/>
    <col min="12053" max="12053" width="6.7109375" style="1" customWidth="1"/>
    <col min="12054" max="12054" width="8.7109375" style="1" customWidth="1"/>
    <col min="12055" max="12055" width="7.7109375" style="1" customWidth="1"/>
    <col min="12056" max="12056" width="3.7109375" style="1" customWidth="1"/>
    <col min="12057" max="12057" width="8.7109375" style="1" customWidth="1"/>
    <col min="12058" max="12059" width="9.7109375" style="1" customWidth="1"/>
    <col min="12060" max="12060" width="13.5703125" style="1" bestFit="1" customWidth="1"/>
    <col min="12061" max="12061" width="9.140625" style="1"/>
    <col min="12062" max="12062" width="12.140625" style="1" bestFit="1" customWidth="1"/>
    <col min="12063" max="12288" width="9.140625" style="1"/>
    <col min="12289" max="12289" width="0" style="1" hidden="1" customWidth="1"/>
    <col min="12290" max="12290" width="6.85546875" style="1" bestFit="1" customWidth="1"/>
    <col min="12291" max="12291" width="23.28515625" style="1" customWidth="1"/>
    <col min="12292" max="12292" width="6.7109375" style="1" customWidth="1"/>
    <col min="12293" max="12293" width="7.7109375" style="1" customWidth="1"/>
    <col min="12294" max="12295" width="6.7109375" style="1" customWidth="1"/>
    <col min="12296" max="12296" width="5.7109375" style="1" customWidth="1"/>
    <col min="12297" max="12297" width="6.7109375" style="1" customWidth="1"/>
    <col min="12298" max="12298" width="6.42578125" style="1" customWidth="1"/>
    <col min="12299" max="12299" width="8.7109375" style="1" customWidth="1"/>
    <col min="12300" max="12300" width="4.7109375" style="1" customWidth="1"/>
    <col min="12301" max="12301" width="5.7109375" style="1" customWidth="1"/>
    <col min="12302" max="12302" width="10.5703125" style="1" customWidth="1"/>
    <col min="12303" max="12303" width="9.7109375" style="1" customWidth="1"/>
    <col min="12304" max="12304" width="10.7109375" style="1" customWidth="1"/>
    <col min="12305" max="12306" width="7.7109375" style="1" customWidth="1"/>
    <col min="12307" max="12307" width="5.7109375" style="1" customWidth="1"/>
    <col min="12308" max="12308" width="7.7109375" style="1" customWidth="1"/>
    <col min="12309" max="12309" width="6.7109375" style="1" customWidth="1"/>
    <col min="12310" max="12310" width="8.7109375" style="1" customWidth="1"/>
    <col min="12311" max="12311" width="7.7109375" style="1" customWidth="1"/>
    <col min="12312" max="12312" width="3.7109375" style="1" customWidth="1"/>
    <col min="12313" max="12313" width="8.7109375" style="1" customWidth="1"/>
    <col min="12314" max="12315" width="9.7109375" style="1" customWidth="1"/>
    <col min="12316" max="12316" width="13.5703125" style="1" bestFit="1" customWidth="1"/>
    <col min="12317" max="12317" width="9.140625" style="1"/>
    <col min="12318" max="12318" width="12.140625" style="1" bestFit="1" customWidth="1"/>
    <col min="12319" max="12544" width="9.140625" style="1"/>
    <col min="12545" max="12545" width="0" style="1" hidden="1" customWidth="1"/>
    <col min="12546" max="12546" width="6.85546875" style="1" bestFit="1" customWidth="1"/>
    <col min="12547" max="12547" width="23.28515625" style="1" customWidth="1"/>
    <col min="12548" max="12548" width="6.7109375" style="1" customWidth="1"/>
    <col min="12549" max="12549" width="7.7109375" style="1" customWidth="1"/>
    <col min="12550" max="12551" width="6.7109375" style="1" customWidth="1"/>
    <col min="12552" max="12552" width="5.7109375" style="1" customWidth="1"/>
    <col min="12553" max="12553" width="6.7109375" style="1" customWidth="1"/>
    <col min="12554" max="12554" width="6.42578125" style="1" customWidth="1"/>
    <col min="12555" max="12555" width="8.7109375" style="1" customWidth="1"/>
    <col min="12556" max="12556" width="4.7109375" style="1" customWidth="1"/>
    <col min="12557" max="12557" width="5.7109375" style="1" customWidth="1"/>
    <col min="12558" max="12558" width="10.5703125" style="1" customWidth="1"/>
    <col min="12559" max="12559" width="9.7109375" style="1" customWidth="1"/>
    <col min="12560" max="12560" width="10.7109375" style="1" customWidth="1"/>
    <col min="12561" max="12562" width="7.7109375" style="1" customWidth="1"/>
    <col min="12563" max="12563" width="5.7109375" style="1" customWidth="1"/>
    <col min="12564" max="12564" width="7.7109375" style="1" customWidth="1"/>
    <col min="12565" max="12565" width="6.7109375" style="1" customWidth="1"/>
    <col min="12566" max="12566" width="8.7109375" style="1" customWidth="1"/>
    <col min="12567" max="12567" width="7.7109375" style="1" customWidth="1"/>
    <col min="12568" max="12568" width="3.7109375" style="1" customWidth="1"/>
    <col min="12569" max="12569" width="8.7109375" style="1" customWidth="1"/>
    <col min="12570" max="12571" width="9.7109375" style="1" customWidth="1"/>
    <col min="12572" max="12572" width="13.5703125" style="1" bestFit="1" customWidth="1"/>
    <col min="12573" max="12573" width="9.140625" style="1"/>
    <col min="12574" max="12574" width="12.140625" style="1" bestFit="1" customWidth="1"/>
    <col min="12575" max="12800" width="9.140625" style="1"/>
    <col min="12801" max="12801" width="0" style="1" hidden="1" customWidth="1"/>
    <col min="12802" max="12802" width="6.85546875" style="1" bestFit="1" customWidth="1"/>
    <col min="12803" max="12803" width="23.28515625" style="1" customWidth="1"/>
    <col min="12804" max="12804" width="6.7109375" style="1" customWidth="1"/>
    <col min="12805" max="12805" width="7.7109375" style="1" customWidth="1"/>
    <col min="12806" max="12807" width="6.7109375" style="1" customWidth="1"/>
    <col min="12808" max="12808" width="5.7109375" style="1" customWidth="1"/>
    <col min="12809" max="12809" width="6.7109375" style="1" customWidth="1"/>
    <col min="12810" max="12810" width="6.42578125" style="1" customWidth="1"/>
    <col min="12811" max="12811" width="8.7109375" style="1" customWidth="1"/>
    <col min="12812" max="12812" width="4.7109375" style="1" customWidth="1"/>
    <col min="12813" max="12813" width="5.7109375" style="1" customWidth="1"/>
    <col min="12814" max="12814" width="10.5703125" style="1" customWidth="1"/>
    <col min="12815" max="12815" width="9.7109375" style="1" customWidth="1"/>
    <col min="12816" max="12816" width="10.7109375" style="1" customWidth="1"/>
    <col min="12817" max="12818" width="7.7109375" style="1" customWidth="1"/>
    <col min="12819" max="12819" width="5.7109375" style="1" customWidth="1"/>
    <col min="12820" max="12820" width="7.7109375" style="1" customWidth="1"/>
    <col min="12821" max="12821" width="6.7109375" style="1" customWidth="1"/>
    <col min="12822" max="12822" width="8.7109375" style="1" customWidth="1"/>
    <col min="12823" max="12823" width="7.7109375" style="1" customWidth="1"/>
    <col min="12824" max="12824" width="3.7109375" style="1" customWidth="1"/>
    <col min="12825" max="12825" width="8.7109375" style="1" customWidth="1"/>
    <col min="12826" max="12827" width="9.7109375" style="1" customWidth="1"/>
    <col min="12828" max="12828" width="13.5703125" style="1" bestFit="1" customWidth="1"/>
    <col min="12829" max="12829" width="9.140625" style="1"/>
    <col min="12830" max="12830" width="12.140625" style="1" bestFit="1" customWidth="1"/>
    <col min="12831" max="13056" width="9.140625" style="1"/>
    <col min="13057" max="13057" width="0" style="1" hidden="1" customWidth="1"/>
    <col min="13058" max="13058" width="6.85546875" style="1" bestFit="1" customWidth="1"/>
    <col min="13059" max="13059" width="23.28515625" style="1" customWidth="1"/>
    <col min="13060" max="13060" width="6.7109375" style="1" customWidth="1"/>
    <col min="13061" max="13061" width="7.7109375" style="1" customWidth="1"/>
    <col min="13062" max="13063" width="6.7109375" style="1" customWidth="1"/>
    <col min="13064" max="13064" width="5.7109375" style="1" customWidth="1"/>
    <col min="13065" max="13065" width="6.7109375" style="1" customWidth="1"/>
    <col min="13066" max="13066" width="6.42578125" style="1" customWidth="1"/>
    <col min="13067" max="13067" width="8.7109375" style="1" customWidth="1"/>
    <col min="13068" max="13068" width="4.7109375" style="1" customWidth="1"/>
    <col min="13069" max="13069" width="5.7109375" style="1" customWidth="1"/>
    <col min="13070" max="13070" width="10.5703125" style="1" customWidth="1"/>
    <col min="13071" max="13071" width="9.7109375" style="1" customWidth="1"/>
    <col min="13072" max="13072" width="10.7109375" style="1" customWidth="1"/>
    <col min="13073" max="13074" width="7.7109375" style="1" customWidth="1"/>
    <col min="13075" max="13075" width="5.7109375" style="1" customWidth="1"/>
    <col min="13076" max="13076" width="7.7109375" style="1" customWidth="1"/>
    <col min="13077" max="13077" width="6.7109375" style="1" customWidth="1"/>
    <col min="13078" max="13078" width="8.7109375" style="1" customWidth="1"/>
    <col min="13079" max="13079" width="7.7109375" style="1" customWidth="1"/>
    <col min="13080" max="13080" width="3.7109375" style="1" customWidth="1"/>
    <col min="13081" max="13081" width="8.7109375" style="1" customWidth="1"/>
    <col min="13082" max="13083" width="9.7109375" style="1" customWidth="1"/>
    <col min="13084" max="13084" width="13.5703125" style="1" bestFit="1" customWidth="1"/>
    <col min="13085" max="13085" width="9.140625" style="1"/>
    <col min="13086" max="13086" width="12.140625" style="1" bestFit="1" customWidth="1"/>
    <col min="13087" max="13312" width="9.140625" style="1"/>
    <col min="13313" max="13313" width="0" style="1" hidden="1" customWidth="1"/>
    <col min="13314" max="13314" width="6.85546875" style="1" bestFit="1" customWidth="1"/>
    <col min="13315" max="13315" width="23.28515625" style="1" customWidth="1"/>
    <col min="13316" max="13316" width="6.7109375" style="1" customWidth="1"/>
    <col min="13317" max="13317" width="7.7109375" style="1" customWidth="1"/>
    <col min="13318" max="13319" width="6.7109375" style="1" customWidth="1"/>
    <col min="13320" max="13320" width="5.7109375" style="1" customWidth="1"/>
    <col min="13321" max="13321" width="6.7109375" style="1" customWidth="1"/>
    <col min="13322" max="13322" width="6.42578125" style="1" customWidth="1"/>
    <col min="13323" max="13323" width="8.7109375" style="1" customWidth="1"/>
    <col min="13324" max="13324" width="4.7109375" style="1" customWidth="1"/>
    <col min="13325" max="13325" width="5.7109375" style="1" customWidth="1"/>
    <col min="13326" max="13326" width="10.5703125" style="1" customWidth="1"/>
    <col min="13327" max="13327" width="9.7109375" style="1" customWidth="1"/>
    <col min="13328" max="13328" width="10.7109375" style="1" customWidth="1"/>
    <col min="13329" max="13330" width="7.7109375" style="1" customWidth="1"/>
    <col min="13331" max="13331" width="5.7109375" style="1" customWidth="1"/>
    <col min="13332" max="13332" width="7.7109375" style="1" customWidth="1"/>
    <col min="13333" max="13333" width="6.7109375" style="1" customWidth="1"/>
    <col min="13334" max="13334" width="8.7109375" style="1" customWidth="1"/>
    <col min="13335" max="13335" width="7.7109375" style="1" customWidth="1"/>
    <col min="13336" max="13336" width="3.7109375" style="1" customWidth="1"/>
    <col min="13337" max="13337" width="8.7109375" style="1" customWidth="1"/>
    <col min="13338" max="13339" width="9.7109375" style="1" customWidth="1"/>
    <col min="13340" max="13340" width="13.5703125" style="1" bestFit="1" customWidth="1"/>
    <col min="13341" max="13341" width="9.140625" style="1"/>
    <col min="13342" max="13342" width="12.140625" style="1" bestFit="1" customWidth="1"/>
    <col min="13343" max="13568" width="9.140625" style="1"/>
    <col min="13569" max="13569" width="0" style="1" hidden="1" customWidth="1"/>
    <col min="13570" max="13570" width="6.85546875" style="1" bestFit="1" customWidth="1"/>
    <col min="13571" max="13571" width="23.28515625" style="1" customWidth="1"/>
    <col min="13572" max="13572" width="6.7109375" style="1" customWidth="1"/>
    <col min="13573" max="13573" width="7.7109375" style="1" customWidth="1"/>
    <col min="13574" max="13575" width="6.7109375" style="1" customWidth="1"/>
    <col min="13576" max="13576" width="5.7109375" style="1" customWidth="1"/>
    <col min="13577" max="13577" width="6.7109375" style="1" customWidth="1"/>
    <col min="13578" max="13578" width="6.42578125" style="1" customWidth="1"/>
    <col min="13579" max="13579" width="8.7109375" style="1" customWidth="1"/>
    <col min="13580" max="13580" width="4.7109375" style="1" customWidth="1"/>
    <col min="13581" max="13581" width="5.7109375" style="1" customWidth="1"/>
    <col min="13582" max="13582" width="10.5703125" style="1" customWidth="1"/>
    <col min="13583" max="13583" width="9.7109375" style="1" customWidth="1"/>
    <col min="13584" max="13584" width="10.7109375" style="1" customWidth="1"/>
    <col min="13585" max="13586" width="7.7109375" style="1" customWidth="1"/>
    <col min="13587" max="13587" width="5.7109375" style="1" customWidth="1"/>
    <col min="13588" max="13588" width="7.7109375" style="1" customWidth="1"/>
    <col min="13589" max="13589" width="6.7109375" style="1" customWidth="1"/>
    <col min="13590" max="13590" width="8.7109375" style="1" customWidth="1"/>
    <col min="13591" max="13591" width="7.7109375" style="1" customWidth="1"/>
    <col min="13592" max="13592" width="3.7109375" style="1" customWidth="1"/>
    <col min="13593" max="13593" width="8.7109375" style="1" customWidth="1"/>
    <col min="13594" max="13595" width="9.7109375" style="1" customWidth="1"/>
    <col min="13596" max="13596" width="13.5703125" style="1" bestFit="1" customWidth="1"/>
    <col min="13597" max="13597" width="9.140625" style="1"/>
    <col min="13598" max="13598" width="12.140625" style="1" bestFit="1" customWidth="1"/>
    <col min="13599" max="13824" width="9.140625" style="1"/>
    <col min="13825" max="13825" width="0" style="1" hidden="1" customWidth="1"/>
    <col min="13826" max="13826" width="6.85546875" style="1" bestFit="1" customWidth="1"/>
    <col min="13827" max="13827" width="23.28515625" style="1" customWidth="1"/>
    <col min="13828" max="13828" width="6.7109375" style="1" customWidth="1"/>
    <col min="13829" max="13829" width="7.7109375" style="1" customWidth="1"/>
    <col min="13830" max="13831" width="6.7109375" style="1" customWidth="1"/>
    <col min="13832" max="13832" width="5.7109375" style="1" customWidth="1"/>
    <col min="13833" max="13833" width="6.7109375" style="1" customWidth="1"/>
    <col min="13834" max="13834" width="6.42578125" style="1" customWidth="1"/>
    <col min="13835" max="13835" width="8.7109375" style="1" customWidth="1"/>
    <col min="13836" max="13836" width="4.7109375" style="1" customWidth="1"/>
    <col min="13837" max="13837" width="5.7109375" style="1" customWidth="1"/>
    <col min="13838" max="13838" width="10.5703125" style="1" customWidth="1"/>
    <col min="13839" max="13839" width="9.7109375" style="1" customWidth="1"/>
    <col min="13840" max="13840" width="10.7109375" style="1" customWidth="1"/>
    <col min="13841" max="13842" width="7.7109375" style="1" customWidth="1"/>
    <col min="13843" max="13843" width="5.7109375" style="1" customWidth="1"/>
    <col min="13844" max="13844" width="7.7109375" style="1" customWidth="1"/>
    <col min="13845" max="13845" width="6.7109375" style="1" customWidth="1"/>
    <col min="13846" max="13846" width="8.7109375" style="1" customWidth="1"/>
    <col min="13847" max="13847" width="7.7109375" style="1" customWidth="1"/>
    <col min="13848" max="13848" width="3.7109375" style="1" customWidth="1"/>
    <col min="13849" max="13849" width="8.7109375" style="1" customWidth="1"/>
    <col min="13850" max="13851" width="9.7109375" style="1" customWidth="1"/>
    <col min="13852" max="13852" width="13.5703125" style="1" bestFit="1" customWidth="1"/>
    <col min="13853" max="13853" width="9.140625" style="1"/>
    <col min="13854" max="13854" width="12.140625" style="1" bestFit="1" customWidth="1"/>
    <col min="13855" max="14080" width="9.140625" style="1"/>
    <col min="14081" max="14081" width="0" style="1" hidden="1" customWidth="1"/>
    <col min="14082" max="14082" width="6.85546875" style="1" bestFit="1" customWidth="1"/>
    <col min="14083" max="14083" width="23.28515625" style="1" customWidth="1"/>
    <col min="14084" max="14084" width="6.7109375" style="1" customWidth="1"/>
    <col min="14085" max="14085" width="7.7109375" style="1" customWidth="1"/>
    <col min="14086" max="14087" width="6.7109375" style="1" customWidth="1"/>
    <col min="14088" max="14088" width="5.7109375" style="1" customWidth="1"/>
    <col min="14089" max="14089" width="6.7109375" style="1" customWidth="1"/>
    <col min="14090" max="14090" width="6.42578125" style="1" customWidth="1"/>
    <col min="14091" max="14091" width="8.7109375" style="1" customWidth="1"/>
    <col min="14092" max="14092" width="4.7109375" style="1" customWidth="1"/>
    <col min="14093" max="14093" width="5.7109375" style="1" customWidth="1"/>
    <col min="14094" max="14094" width="10.5703125" style="1" customWidth="1"/>
    <col min="14095" max="14095" width="9.7109375" style="1" customWidth="1"/>
    <col min="14096" max="14096" width="10.7109375" style="1" customWidth="1"/>
    <col min="14097" max="14098" width="7.7109375" style="1" customWidth="1"/>
    <col min="14099" max="14099" width="5.7109375" style="1" customWidth="1"/>
    <col min="14100" max="14100" width="7.7109375" style="1" customWidth="1"/>
    <col min="14101" max="14101" width="6.7109375" style="1" customWidth="1"/>
    <col min="14102" max="14102" width="8.7109375" style="1" customWidth="1"/>
    <col min="14103" max="14103" width="7.7109375" style="1" customWidth="1"/>
    <col min="14104" max="14104" width="3.7109375" style="1" customWidth="1"/>
    <col min="14105" max="14105" width="8.7109375" style="1" customWidth="1"/>
    <col min="14106" max="14107" width="9.7109375" style="1" customWidth="1"/>
    <col min="14108" max="14108" width="13.5703125" style="1" bestFit="1" customWidth="1"/>
    <col min="14109" max="14109" width="9.140625" style="1"/>
    <col min="14110" max="14110" width="12.140625" style="1" bestFit="1" customWidth="1"/>
    <col min="14111" max="14336" width="9.140625" style="1"/>
    <col min="14337" max="14337" width="0" style="1" hidden="1" customWidth="1"/>
    <col min="14338" max="14338" width="6.85546875" style="1" bestFit="1" customWidth="1"/>
    <col min="14339" max="14339" width="23.28515625" style="1" customWidth="1"/>
    <col min="14340" max="14340" width="6.7109375" style="1" customWidth="1"/>
    <col min="14341" max="14341" width="7.7109375" style="1" customWidth="1"/>
    <col min="14342" max="14343" width="6.7109375" style="1" customWidth="1"/>
    <col min="14344" max="14344" width="5.7109375" style="1" customWidth="1"/>
    <col min="14345" max="14345" width="6.7109375" style="1" customWidth="1"/>
    <col min="14346" max="14346" width="6.42578125" style="1" customWidth="1"/>
    <col min="14347" max="14347" width="8.7109375" style="1" customWidth="1"/>
    <col min="14348" max="14348" width="4.7109375" style="1" customWidth="1"/>
    <col min="14349" max="14349" width="5.7109375" style="1" customWidth="1"/>
    <col min="14350" max="14350" width="10.5703125" style="1" customWidth="1"/>
    <col min="14351" max="14351" width="9.7109375" style="1" customWidth="1"/>
    <col min="14352" max="14352" width="10.7109375" style="1" customWidth="1"/>
    <col min="14353" max="14354" width="7.7109375" style="1" customWidth="1"/>
    <col min="14355" max="14355" width="5.7109375" style="1" customWidth="1"/>
    <col min="14356" max="14356" width="7.7109375" style="1" customWidth="1"/>
    <col min="14357" max="14357" width="6.7109375" style="1" customWidth="1"/>
    <col min="14358" max="14358" width="8.7109375" style="1" customWidth="1"/>
    <col min="14359" max="14359" width="7.7109375" style="1" customWidth="1"/>
    <col min="14360" max="14360" width="3.7109375" style="1" customWidth="1"/>
    <col min="14361" max="14361" width="8.7109375" style="1" customWidth="1"/>
    <col min="14362" max="14363" width="9.7109375" style="1" customWidth="1"/>
    <col min="14364" max="14364" width="13.5703125" style="1" bestFit="1" customWidth="1"/>
    <col min="14365" max="14365" width="9.140625" style="1"/>
    <col min="14366" max="14366" width="12.140625" style="1" bestFit="1" customWidth="1"/>
    <col min="14367" max="14592" width="9.140625" style="1"/>
    <col min="14593" max="14593" width="0" style="1" hidden="1" customWidth="1"/>
    <col min="14594" max="14594" width="6.85546875" style="1" bestFit="1" customWidth="1"/>
    <col min="14595" max="14595" width="23.28515625" style="1" customWidth="1"/>
    <col min="14596" max="14596" width="6.7109375" style="1" customWidth="1"/>
    <col min="14597" max="14597" width="7.7109375" style="1" customWidth="1"/>
    <col min="14598" max="14599" width="6.7109375" style="1" customWidth="1"/>
    <col min="14600" max="14600" width="5.7109375" style="1" customWidth="1"/>
    <col min="14601" max="14601" width="6.7109375" style="1" customWidth="1"/>
    <col min="14602" max="14602" width="6.42578125" style="1" customWidth="1"/>
    <col min="14603" max="14603" width="8.7109375" style="1" customWidth="1"/>
    <col min="14604" max="14604" width="4.7109375" style="1" customWidth="1"/>
    <col min="14605" max="14605" width="5.7109375" style="1" customWidth="1"/>
    <col min="14606" max="14606" width="10.5703125" style="1" customWidth="1"/>
    <col min="14607" max="14607" width="9.7109375" style="1" customWidth="1"/>
    <col min="14608" max="14608" width="10.7109375" style="1" customWidth="1"/>
    <col min="14609" max="14610" width="7.7109375" style="1" customWidth="1"/>
    <col min="14611" max="14611" width="5.7109375" style="1" customWidth="1"/>
    <col min="14612" max="14612" width="7.7109375" style="1" customWidth="1"/>
    <col min="14613" max="14613" width="6.7109375" style="1" customWidth="1"/>
    <col min="14614" max="14614" width="8.7109375" style="1" customWidth="1"/>
    <col min="14615" max="14615" width="7.7109375" style="1" customWidth="1"/>
    <col min="14616" max="14616" width="3.7109375" style="1" customWidth="1"/>
    <col min="14617" max="14617" width="8.7109375" style="1" customWidth="1"/>
    <col min="14618" max="14619" width="9.7109375" style="1" customWidth="1"/>
    <col min="14620" max="14620" width="13.5703125" style="1" bestFit="1" customWidth="1"/>
    <col min="14621" max="14621" width="9.140625" style="1"/>
    <col min="14622" max="14622" width="12.140625" style="1" bestFit="1" customWidth="1"/>
    <col min="14623" max="14848" width="9.140625" style="1"/>
    <col min="14849" max="14849" width="0" style="1" hidden="1" customWidth="1"/>
    <col min="14850" max="14850" width="6.85546875" style="1" bestFit="1" customWidth="1"/>
    <col min="14851" max="14851" width="23.28515625" style="1" customWidth="1"/>
    <col min="14852" max="14852" width="6.7109375" style="1" customWidth="1"/>
    <col min="14853" max="14853" width="7.7109375" style="1" customWidth="1"/>
    <col min="14854" max="14855" width="6.7109375" style="1" customWidth="1"/>
    <col min="14856" max="14856" width="5.7109375" style="1" customWidth="1"/>
    <col min="14857" max="14857" width="6.7109375" style="1" customWidth="1"/>
    <col min="14858" max="14858" width="6.42578125" style="1" customWidth="1"/>
    <col min="14859" max="14859" width="8.7109375" style="1" customWidth="1"/>
    <col min="14860" max="14860" width="4.7109375" style="1" customWidth="1"/>
    <col min="14861" max="14861" width="5.7109375" style="1" customWidth="1"/>
    <col min="14862" max="14862" width="10.5703125" style="1" customWidth="1"/>
    <col min="14863" max="14863" width="9.7109375" style="1" customWidth="1"/>
    <col min="14864" max="14864" width="10.7109375" style="1" customWidth="1"/>
    <col min="14865" max="14866" width="7.7109375" style="1" customWidth="1"/>
    <col min="14867" max="14867" width="5.7109375" style="1" customWidth="1"/>
    <col min="14868" max="14868" width="7.7109375" style="1" customWidth="1"/>
    <col min="14869" max="14869" width="6.7109375" style="1" customWidth="1"/>
    <col min="14870" max="14870" width="8.7109375" style="1" customWidth="1"/>
    <col min="14871" max="14871" width="7.7109375" style="1" customWidth="1"/>
    <col min="14872" max="14872" width="3.7109375" style="1" customWidth="1"/>
    <col min="14873" max="14873" width="8.7109375" style="1" customWidth="1"/>
    <col min="14874" max="14875" width="9.7109375" style="1" customWidth="1"/>
    <col min="14876" max="14876" width="13.5703125" style="1" bestFit="1" customWidth="1"/>
    <col min="14877" max="14877" width="9.140625" style="1"/>
    <col min="14878" max="14878" width="12.140625" style="1" bestFit="1" customWidth="1"/>
    <col min="14879" max="15104" width="9.140625" style="1"/>
    <col min="15105" max="15105" width="0" style="1" hidden="1" customWidth="1"/>
    <col min="15106" max="15106" width="6.85546875" style="1" bestFit="1" customWidth="1"/>
    <col min="15107" max="15107" width="23.28515625" style="1" customWidth="1"/>
    <col min="15108" max="15108" width="6.7109375" style="1" customWidth="1"/>
    <col min="15109" max="15109" width="7.7109375" style="1" customWidth="1"/>
    <col min="15110" max="15111" width="6.7109375" style="1" customWidth="1"/>
    <col min="15112" max="15112" width="5.7109375" style="1" customWidth="1"/>
    <col min="15113" max="15113" width="6.7109375" style="1" customWidth="1"/>
    <col min="15114" max="15114" width="6.42578125" style="1" customWidth="1"/>
    <col min="15115" max="15115" width="8.7109375" style="1" customWidth="1"/>
    <col min="15116" max="15116" width="4.7109375" style="1" customWidth="1"/>
    <col min="15117" max="15117" width="5.7109375" style="1" customWidth="1"/>
    <col min="15118" max="15118" width="10.5703125" style="1" customWidth="1"/>
    <col min="15119" max="15119" width="9.7109375" style="1" customWidth="1"/>
    <col min="15120" max="15120" width="10.7109375" style="1" customWidth="1"/>
    <col min="15121" max="15122" width="7.7109375" style="1" customWidth="1"/>
    <col min="15123" max="15123" width="5.7109375" style="1" customWidth="1"/>
    <col min="15124" max="15124" width="7.7109375" style="1" customWidth="1"/>
    <col min="15125" max="15125" width="6.7109375" style="1" customWidth="1"/>
    <col min="15126" max="15126" width="8.7109375" style="1" customWidth="1"/>
    <col min="15127" max="15127" width="7.7109375" style="1" customWidth="1"/>
    <col min="15128" max="15128" width="3.7109375" style="1" customWidth="1"/>
    <col min="15129" max="15129" width="8.7109375" style="1" customWidth="1"/>
    <col min="15130" max="15131" width="9.7109375" style="1" customWidth="1"/>
    <col min="15132" max="15132" width="13.5703125" style="1" bestFit="1" customWidth="1"/>
    <col min="15133" max="15133" width="9.140625" style="1"/>
    <col min="15134" max="15134" width="12.140625" style="1" bestFit="1" customWidth="1"/>
    <col min="15135" max="15360" width="9.140625" style="1"/>
    <col min="15361" max="15361" width="0" style="1" hidden="1" customWidth="1"/>
    <col min="15362" max="15362" width="6.85546875" style="1" bestFit="1" customWidth="1"/>
    <col min="15363" max="15363" width="23.28515625" style="1" customWidth="1"/>
    <col min="15364" max="15364" width="6.7109375" style="1" customWidth="1"/>
    <col min="15365" max="15365" width="7.7109375" style="1" customWidth="1"/>
    <col min="15366" max="15367" width="6.7109375" style="1" customWidth="1"/>
    <col min="15368" max="15368" width="5.7109375" style="1" customWidth="1"/>
    <col min="15369" max="15369" width="6.7109375" style="1" customWidth="1"/>
    <col min="15370" max="15370" width="6.42578125" style="1" customWidth="1"/>
    <col min="15371" max="15371" width="8.7109375" style="1" customWidth="1"/>
    <col min="15372" max="15372" width="4.7109375" style="1" customWidth="1"/>
    <col min="15373" max="15373" width="5.7109375" style="1" customWidth="1"/>
    <col min="15374" max="15374" width="10.5703125" style="1" customWidth="1"/>
    <col min="15375" max="15375" width="9.7109375" style="1" customWidth="1"/>
    <col min="15376" max="15376" width="10.7109375" style="1" customWidth="1"/>
    <col min="15377" max="15378" width="7.7109375" style="1" customWidth="1"/>
    <col min="15379" max="15379" width="5.7109375" style="1" customWidth="1"/>
    <col min="15380" max="15380" width="7.7109375" style="1" customWidth="1"/>
    <col min="15381" max="15381" width="6.7109375" style="1" customWidth="1"/>
    <col min="15382" max="15382" width="8.7109375" style="1" customWidth="1"/>
    <col min="15383" max="15383" width="7.7109375" style="1" customWidth="1"/>
    <col min="15384" max="15384" width="3.7109375" style="1" customWidth="1"/>
    <col min="15385" max="15385" width="8.7109375" style="1" customWidth="1"/>
    <col min="15386" max="15387" width="9.7109375" style="1" customWidth="1"/>
    <col min="15388" max="15388" width="13.5703125" style="1" bestFit="1" customWidth="1"/>
    <col min="15389" max="15389" width="9.140625" style="1"/>
    <col min="15390" max="15390" width="12.140625" style="1" bestFit="1" customWidth="1"/>
    <col min="15391" max="15616" width="9.140625" style="1"/>
    <col min="15617" max="15617" width="0" style="1" hidden="1" customWidth="1"/>
    <col min="15618" max="15618" width="6.85546875" style="1" bestFit="1" customWidth="1"/>
    <col min="15619" max="15619" width="23.28515625" style="1" customWidth="1"/>
    <col min="15620" max="15620" width="6.7109375" style="1" customWidth="1"/>
    <col min="15621" max="15621" width="7.7109375" style="1" customWidth="1"/>
    <col min="15622" max="15623" width="6.7109375" style="1" customWidth="1"/>
    <col min="15624" max="15624" width="5.7109375" style="1" customWidth="1"/>
    <col min="15625" max="15625" width="6.7109375" style="1" customWidth="1"/>
    <col min="15626" max="15626" width="6.42578125" style="1" customWidth="1"/>
    <col min="15627" max="15627" width="8.7109375" style="1" customWidth="1"/>
    <col min="15628" max="15628" width="4.7109375" style="1" customWidth="1"/>
    <col min="15629" max="15629" width="5.7109375" style="1" customWidth="1"/>
    <col min="15630" max="15630" width="10.5703125" style="1" customWidth="1"/>
    <col min="15631" max="15631" width="9.7109375" style="1" customWidth="1"/>
    <col min="15632" max="15632" width="10.7109375" style="1" customWidth="1"/>
    <col min="15633" max="15634" width="7.7109375" style="1" customWidth="1"/>
    <col min="15635" max="15635" width="5.7109375" style="1" customWidth="1"/>
    <col min="15636" max="15636" width="7.7109375" style="1" customWidth="1"/>
    <col min="15637" max="15637" width="6.7109375" style="1" customWidth="1"/>
    <col min="15638" max="15638" width="8.7109375" style="1" customWidth="1"/>
    <col min="15639" max="15639" width="7.7109375" style="1" customWidth="1"/>
    <col min="15640" max="15640" width="3.7109375" style="1" customWidth="1"/>
    <col min="15641" max="15641" width="8.7109375" style="1" customWidth="1"/>
    <col min="15642" max="15643" width="9.7109375" style="1" customWidth="1"/>
    <col min="15644" max="15644" width="13.5703125" style="1" bestFit="1" customWidth="1"/>
    <col min="15645" max="15645" width="9.140625" style="1"/>
    <col min="15646" max="15646" width="12.140625" style="1" bestFit="1" customWidth="1"/>
    <col min="15647" max="15872" width="9.140625" style="1"/>
    <col min="15873" max="15873" width="0" style="1" hidden="1" customWidth="1"/>
    <col min="15874" max="15874" width="6.85546875" style="1" bestFit="1" customWidth="1"/>
    <col min="15875" max="15875" width="23.28515625" style="1" customWidth="1"/>
    <col min="15876" max="15876" width="6.7109375" style="1" customWidth="1"/>
    <col min="15877" max="15877" width="7.7109375" style="1" customWidth="1"/>
    <col min="15878" max="15879" width="6.7109375" style="1" customWidth="1"/>
    <col min="15880" max="15880" width="5.7109375" style="1" customWidth="1"/>
    <col min="15881" max="15881" width="6.7109375" style="1" customWidth="1"/>
    <col min="15882" max="15882" width="6.42578125" style="1" customWidth="1"/>
    <col min="15883" max="15883" width="8.7109375" style="1" customWidth="1"/>
    <col min="15884" max="15884" width="4.7109375" style="1" customWidth="1"/>
    <col min="15885" max="15885" width="5.7109375" style="1" customWidth="1"/>
    <col min="15886" max="15886" width="10.5703125" style="1" customWidth="1"/>
    <col min="15887" max="15887" width="9.7109375" style="1" customWidth="1"/>
    <col min="15888" max="15888" width="10.7109375" style="1" customWidth="1"/>
    <col min="15889" max="15890" width="7.7109375" style="1" customWidth="1"/>
    <col min="15891" max="15891" width="5.7109375" style="1" customWidth="1"/>
    <col min="15892" max="15892" width="7.7109375" style="1" customWidth="1"/>
    <col min="15893" max="15893" width="6.7109375" style="1" customWidth="1"/>
    <col min="15894" max="15894" width="8.7109375" style="1" customWidth="1"/>
    <col min="15895" max="15895" width="7.7109375" style="1" customWidth="1"/>
    <col min="15896" max="15896" width="3.7109375" style="1" customWidth="1"/>
    <col min="15897" max="15897" width="8.7109375" style="1" customWidth="1"/>
    <col min="15898" max="15899" width="9.7109375" style="1" customWidth="1"/>
    <col min="15900" max="15900" width="13.5703125" style="1" bestFit="1" customWidth="1"/>
    <col min="15901" max="15901" width="9.140625" style="1"/>
    <col min="15902" max="15902" width="12.140625" style="1" bestFit="1" customWidth="1"/>
    <col min="15903" max="16128" width="9.140625" style="1"/>
    <col min="16129" max="16129" width="0" style="1" hidden="1" customWidth="1"/>
    <col min="16130" max="16130" width="6.85546875" style="1" bestFit="1" customWidth="1"/>
    <col min="16131" max="16131" width="23.28515625" style="1" customWidth="1"/>
    <col min="16132" max="16132" width="6.7109375" style="1" customWidth="1"/>
    <col min="16133" max="16133" width="7.7109375" style="1" customWidth="1"/>
    <col min="16134" max="16135" width="6.7109375" style="1" customWidth="1"/>
    <col min="16136" max="16136" width="5.7109375" style="1" customWidth="1"/>
    <col min="16137" max="16137" width="6.7109375" style="1" customWidth="1"/>
    <col min="16138" max="16138" width="6.42578125" style="1" customWidth="1"/>
    <col min="16139" max="16139" width="8.7109375" style="1" customWidth="1"/>
    <col min="16140" max="16140" width="4.7109375" style="1" customWidth="1"/>
    <col min="16141" max="16141" width="5.7109375" style="1" customWidth="1"/>
    <col min="16142" max="16142" width="10.5703125" style="1" customWidth="1"/>
    <col min="16143" max="16143" width="9.7109375" style="1" customWidth="1"/>
    <col min="16144" max="16144" width="10.7109375" style="1" customWidth="1"/>
    <col min="16145" max="16146" width="7.7109375" style="1" customWidth="1"/>
    <col min="16147" max="16147" width="5.7109375" style="1" customWidth="1"/>
    <col min="16148" max="16148" width="7.7109375" style="1" customWidth="1"/>
    <col min="16149" max="16149" width="6.7109375" style="1" customWidth="1"/>
    <col min="16150" max="16150" width="8.7109375" style="1" customWidth="1"/>
    <col min="16151" max="16151" width="7.7109375" style="1" customWidth="1"/>
    <col min="16152" max="16152" width="3.7109375" style="1" customWidth="1"/>
    <col min="16153" max="16153" width="8.7109375" style="1" customWidth="1"/>
    <col min="16154" max="16155" width="9.7109375" style="1" customWidth="1"/>
    <col min="16156" max="16156" width="13.5703125" style="1" bestFit="1" customWidth="1"/>
    <col min="16157" max="16157" width="9.140625" style="1"/>
    <col min="16158" max="16158" width="12.140625" style="1" bestFit="1" customWidth="1"/>
    <col min="16159" max="16384" width="9.140625" style="1"/>
  </cols>
  <sheetData>
    <row r="1" spans="1:6" x14ac:dyDescent="0.2">
      <c r="A1" s="1" t="s">
        <v>0</v>
      </c>
    </row>
    <row r="2" spans="1:6" x14ac:dyDescent="0.2">
      <c r="B2" s="2" t="s">
        <v>1</v>
      </c>
      <c r="C2" s="1" t="s">
        <v>2</v>
      </c>
      <c r="F2" s="1" t="s">
        <v>1</v>
      </c>
    </row>
    <row r="3" spans="1:6" x14ac:dyDescent="0.2">
      <c r="B3" s="2" t="s">
        <v>1</v>
      </c>
      <c r="D3" s="1" t="s">
        <v>3</v>
      </c>
      <c r="E3" s="1" t="s">
        <v>4</v>
      </c>
      <c r="F3" s="1" t="s">
        <v>1</v>
      </c>
    </row>
    <row r="4" spans="1:6" x14ac:dyDescent="0.2">
      <c r="B4" s="2" t="s">
        <v>1</v>
      </c>
      <c r="F4" s="1" t="s">
        <v>1</v>
      </c>
    </row>
    <row r="5" spans="1:6" x14ac:dyDescent="0.2">
      <c r="B5" s="2" t="s">
        <v>1</v>
      </c>
      <c r="C5" s="1">
        <v>6.9999999999999994E-5</v>
      </c>
      <c r="D5" s="1">
        <v>0.01</v>
      </c>
      <c r="E5" s="1">
        <v>1.2999999999999999E-3</v>
      </c>
      <c r="F5" s="1" t="s">
        <v>1</v>
      </c>
    </row>
    <row r="6" spans="1:6" x14ac:dyDescent="0.2">
      <c r="B6" s="2" t="s">
        <v>1</v>
      </c>
      <c r="C6" s="1">
        <v>3.1E-4</v>
      </c>
      <c r="D6" s="1">
        <v>0.02</v>
      </c>
      <c r="E6" s="1">
        <v>3.7000000000000002E-3</v>
      </c>
      <c r="F6" s="1" t="s">
        <v>1</v>
      </c>
    </row>
    <row r="7" spans="1:6" x14ac:dyDescent="0.2">
      <c r="B7" s="2" t="s">
        <v>1</v>
      </c>
      <c r="C7" s="1">
        <v>7.3999999999999999E-4</v>
      </c>
      <c r="D7" s="1">
        <v>0.03</v>
      </c>
      <c r="E7" s="1">
        <v>6.8999999999999999E-3</v>
      </c>
      <c r="F7" s="1" t="s">
        <v>1</v>
      </c>
    </row>
    <row r="8" spans="1:6" x14ac:dyDescent="0.2">
      <c r="B8" s="2" t="s">
        <v>1</v>
      </c>
      <c r="C8" s="1">
        <v>1.3799999999999999E-3</v>
      </c>
      <c r="D8" s="1">
        <v>0.04</v>
      </c>
      <c r="E8" s="1">
        <v>1.0500000000000001E-2</v>
      </c>
      <c r="F8" s="1" t="s">
        <v>1</v>
      </c>
    </row>
    <row r="9" spans="1:6" x14ac:dyDescent="0.2">
      <c r="B9" s="2" t="s">
        <v>1</v>
      </c>
      <c r="C9" s="1">
        <v>2.2200000000000002E-3</v>
      </c>
      <c r="D9" s="1">
        <v>0.05</v>
      </c>
      <c r="E9" s="1">
        <v>1.47E-2</v>
      </c>
      <c r="F9" s="1" t="s">
        <v>1</v>
      </c>
    </row>
    <row r="10" spans="1:6" x14ac:dyDescent="0.2">
      <c r="B10" s="2" t="s">
        <v>1</v>
      </c>
      <c r="C10" s="1">
        <v>3.2799999999999999E-3</v>
      </c>
      <c r="D10" s="1">
        <v>0.06</v>
      </c>
      <c r="E10" s="1">
        <v>1.9199999999999998E-2</v>
      </c>
      <c r="F10" s="1" t="s">
        <v>1</v>
      </c>
    </row>
    <row r="11" spans="1:6" x14ac:dyDescent="0.2">
      <c r="B11" s="2" t="s">
        <v>1</v>
      </c>
      <c r="C11" s="1">
        <v>4.5500000000000002E-3</v>
      </c>
      <c r="D11" s="1">
        <v>7.0000000000000007E-2</v>
      </c>
      <c r="E11" s="1">
        <v>2.4199999999999999E-2</v>
      </c>
      <c r="F11" s="1" t="s">
        <v>1</v>
      </c>
    </row>
    <row r="12" spans="1:6" x14ac:dyDescent="0.2">
      <c r="B12" s="2" t="s">
        <v>1</v>
      </c>
      <c r="C12" s="1">
        <v>6.0400000000000002E-3</v>
      </c>
      <c r="D12" s="1">
        <v>0.08</v>
      </c>
      <c r="E12" s="1">
        <v>2.9399999999999999E-2</v>
      </c>
      <c r="F12" s="1" t="s">
        <v>1</v>
      </c>
    </row>
    <row r="13" spans="1:6" x14ac:dyDescent="0.2">
      <c r="B13" s="2" t="s">
        <v>1</v>
      </c>
      <c r="C13" s="1">
        <v>7.7499999999999999E-3</v>
      </c>
      <c r="D13" s="1">
        <v>0.09</v>
      </c>
      <c r="E13" s="1">
        <v>3.5000000000000003E-2</v>
      </c>
      <c r="F13" s="1" t="s">
        <v>1</v>
      </c>
    </row>
    <row r="14" spans="1:6" x14ac:dyDescent="0.2">
      <c r="B14" s="2" t="s">
        <v>1</v>
      </c>
      <c r="C14" s="1">
        <v>9.6699999999999998E-3</v>
      </c>
      <c r="D14" s="1">
        <v>0.1</v>
      </c>
      <c r="E14" s="1">
        <v>4.0899999999999999E-2</v>
      </c>
      <c r="F14" s="1" t="s">
        <v>1</v>
      </c>
    </row>
    <row r="15" spans="1:6" x14ac:dyDescent="0.2">
      <c r="B15" s="2" t="s">
        <v>1</v>
      </c>
      <c r="C15" s="1">
        <v>1.1809999999999999E-2</v>
      </c>
      <c r="D15" s="1">
        <v>0.11</v>
      </c>
      <c r="E15" s="1">
        <v>4.7E-2</v>
      </c>
      <c r="F15" s="1" t="s">
        <v>1</v>
      </c>
    </row>
    <row r="16" spans="1:6" x14ac:dyDescent="0.2">
      <c r="B16" s="2" t="s">
        <v>1</v>
      </c>
      <c r="C16" s="1">
        <v>1.417E-2</v>
      </c>
      <c r="D16" s="1">
        <v>0.12</v>
      </c>
      <c r="E16" s="1">
        <v>5.3400000000000003E-2</v>
      </c>
      <c r="F16" s="1" t="s">
        <v>1</v>
      </c>
    </row>
    <row r="17" spans="2:6" x14ac:dyDescent="0.2">
      <c r="B17" s="2" t="s">
        <v>1</v>
      </c>
      <c r="C17" s="1">
        <v>1.6740000000000001E-2</v>
      </c>
      <c r="D17" s="1">
        <v>0.13</v>
      </c>
      <c r="E17" s="1">
        <v>0.06</v>
      </c>
      <c r="F17" s="1" t="s">
        <v>1</v>
      </c>
    </row>
    <row r="18" spans="2:6" x14ac:dyDescent="0.2">
      <c r="B18" s="2" t="s">
        <v>1</v>
      </c>
      <c r="C18" s="1">
        <v>1.9519999999999999E-2</v>
      </c>
      <c r="D18" s="1">
        <v>0.14000000000000001</v>
      </c>
      <c r="E18" s="1">
        <v>6.6799999999999998E-2</v>
      </c>
      <c r="F18" s="1" t="s">
        <v>1</v>
      </c>
    </row>
    <row r="19" spans="2:6" x14ac:dyDescent="0.2">
      <c r="B19" s="2" t="s">
        <v>1</v>
      </c>
      <c r="C19" s="1">
        <v>2.2499999999999999E-2</v>
      </c>
      <c r="D19" s="1">
        <v>0.15</v>
      </c>
      <c r="E19" s="1">
        <v>7.3899999999999993E-2</v>
      </c>
      <c r="F19" s="1" t="s">
        <v>1</v>
      </c>
    </row>
    <row r="20" spans="2:6" x14ac:dyDescent="0.2">
      <c r="B20" s="2" t="s">
        <v>1</v>
      </c>
      <c r="C20" s="1">
        <v>2.5700000000000001E-2</v>
      </c>
      <c r="D20" s="1">
        <v>0.16</v>
      </c>
      <c r="E20" s="1">
        <v>8.1100000000000005E-2</v>
      </c>
      <c r="F20" s="1" t="s">
        <v>1</v>
      </c>
    </row>
    <row r="21" spans="2:6" x14ac:dyDescent="0.2">
      <c r="B21" s="2" t="s">
        <v>1</v>
      </c>
      <c r="C21" s="1">
        <v>2.9100000000000001E-2</v>
      </c>
      <c r="D21" s="1">
        <v>0.17</v>
      </c>
      <c r="E21" s="1">
        <v>8.8499999999999995E-2</v>
      </c>
      <c r="F21" s="1" t="s">
        <v>1</v>
      </c>
    </row>
    <row r="22" spans="2:6" x14ac:dyDescent="0.2">
      <c r="B22" s="2" t="s">
        <v>1</v>
      </c>
      <c r="C22" s="1">
        <v>3.27E-2</v>
      </c>
      <c r="D22" s="1">
        <v>0.18</v>
      </c>
      <c r="E22" s="1">
        <v>9.6100000000000005E-2</v>
      </c>
      <c r="F22" s="1" t="s">
        <v>1</v>
      </c>
    </row>
    <row r="23" spans="2:6" x14ac:dyDescent="0.2">
      <c r="B23" s="2" t="s">
        <v>1</v>
      </c>
      <c r="C23" s="1">
        <v>3.6499999999999998E-2</v>
      </c>
      <c r="D23" s="1">
        <v>0.19</v>
      </c>
      <c r="E23" s="1">
        <v>0.10390000000000001</v>
      </c>
      <c r="F23" s="1" t="s">
        <v>1</v>
      </c>
    </row>
    <row r="24" spans="2:6" x14ac:dyDescent="0.2">
      <c r="B24" s="2" t="s">
        <v>1</v>
      </c>
      <c r="C24" s="1">
        <v>4.0599999999999997E-2</v>
      </c>
      <c r="D24" s="1">
        <v>0.2</v>
      </c>
      <c r="E24" s="1">
        <v>0.1118</v>
      </c>
      <c r="F24" s="1" t="s">
        <v>1</v>
      </c>
    </row>
    <row r="25" spans="2:6" x14ac:dyDescent="0.2">
      <c r="B25" s="2" t="s">
        <v>1</v>
      </c>
      <c r="C25" s="1">
        <v>4.48E-2</v>
      </c>
      <c r="D25" s="1">
        <v>0.21</v>
      </c>
      <c r="E25" s="1">
        <v>0.11990000000000001</v>
      </c>
      <c r="F25" s="1" t="s">
        <v>1</v>
      </c>
    </row>
    <row r="26" spans="2:6" x14ac:dyDescent="0.2">
      <c r="B26" s="2" t="s">
        <v>1</v>
      </c>
      <c r="C26" s="1">
        <v>4.9200000000000001E-2</v>
      </c>
      <c r="D26" s="1">
        <v>0.22</v>
      </c>
      <c r="E26" s="1">
        <v>0.12809999999999999</v>
      </c>
      <c r="F26" s="1" t="s">
        <v>1</v>
      </c>
    </row>
    <row r="27" spans="2:6" x14ac:dyDescent="0.2">
      <c r="B27" s="2" t="s">
        <v>1</v>
      </c>
      <c r="C27" s="1">
        <v>5.3699999999999998E-2</v>
      </c>
      <c r="D27" s="1">
        <v>0.23</v>
      </c>
      <c r="E27" s="1">
        <v>0.13650000000000001</v>
      </c>
      <c r="F27" s="1" t="s">
        <v>1</v>
      </c>
    </row>
    <row r="28" spans="2:6" x14ac:dyDescent="0.2">
      <c r="B28" s="2" t="s">
        <v>1</v>
      </c>
      <c r="C28" s="1">
        <v>5.8500000000000003E-2</v>
      </c>
      <c r="D28" s="1">
        <v>0.24</v>
      </c>
      <c r="E28" s="1">
        <v>0.1449</v>
      </c>
      <c r="F28" s="1" t="s">
        <v>1</v>
      </c>
    </row>
    <row r="29" spans="2:6" x14ac:dyDescent="0.2">
      <c r="B29" s="2" t="s">
        <v>1</v>
      </c>
      <c r="C29" s="1">
        <v>6.3399999999999998E-2</v>
      </c>
      <c r="D29" s="1">
        <v>0.25</v>
      </c>
      <c r="E29" s="1">
        <v>0.1535</v>
      </c>
      <c r="F29" s="1" t="s">
        <v>1</v>
      </c>
    </row>
    <row r="30" spans="2:6" x14ac:dyDescent="0.2">
      <c r="B30" s="2" t="s">
        <v>1</v>
      </c>
      <c r="C30" s="1">
        <v>6.8599999999999994E-2</v>
      </c>
      <c r="D30" s="1">
        <v>0.26</v>
      </c>
      <c r="E30" s="1">
        <v>0.1623</v>
      </c>
      <c r="F30" s="1" t="s">
        <v>1</v>
      </c>
    </row>
    <row r="31" spans="2:6" x14ac:dyDescent="0.2">
      <c r="B31" s="2" t="s">
        <v>1</v>
      </c>
      <c r="C31" s="1">
        <v>7.3899999999999993E-2</v>
      </c>
      <c r="D31" s="1">
        <v>0.27</v>
      </c>
      <c r="E31" s="1">
        <v>0.1711</v>
      </c>
      <c r="F31" s="1" t="s">
        <v>1</v>
      </c>
    </row>
    <row r="32" spans="2:6" x14ac:dyDescent="0.2">
      <c r="B32" s="2" t="s">
        <v>1</v>
      </c>
      <c r="C32" s="1">
        <v>7.9299999999999995E-2</v>
      </c>
      <c r="D32" s="1">
        <v>0.28000000000000003</v>
      </c>
      <c r="E32" s="1">
        <v>0.18</v>
      </c>
      <c r="F32" s="1" t="s">
        <v>1</v>
      </c>
    </row>
    <row r="33" spans="2:6" x14ac:dyDescent="0.2">
      <c r="B33" s="2" t="s">
        <v>1</v>
      </c>
      <c r="C33" s="1">
        <v>8.4900000000000003E-2</v>
      </c>
      <c r="D33" s="1">
        <v>0.28999999999999998</v>
      </c>
      <c r="E33" s="1">
        <v>0.189</v>
      </c>
      <c r="F33" s="1" t="s">
        <v>1</v>
      </c>
    </row>
    <row r="34" spans="2:6" x14ac:dyDescent="0.2">
      <c r="B34" s="2" t="s">
        <v>1</v>
      </c>
      <c r="C34" s="1">
        <v>9.0700000000000003E-2</v>
      </c>
      <c r="D34" s="1">
        <v>0.3</v>
      </c>
      <c r="E34" s="1">
        <v>0.19819999999999999</v>
      </c>
      <c r="F34" s="1" t="s">
        <v>1</v>
      </c>
    </row>
    <row r="35" spans="2:6" x14ac:dyDescent="0.2">
      <c r="B35" s="2" t="s">
        <v>1</v>
      </c>
      <c r="C35" s="1">
        <v>9.6600000000000005E-2</v>
      </c>
      <c r="D35" s="1">
        <v>0.31</v>
      </c>
      <c r="E35" s="1">
        <v>0.2074</v>
      </c>
      <c r="F35" s="1" t="s">
        <v>1</v>
      </c>
    </row>
    <row r="36" spans="2:6" x14ac:dyDescent="0.2">
      <c r="B36" s="2" t="s">
        <v>1</v>
      </c>
      <c r="C36" s="1">
        <v>0.1027</v>
      </c>
      <c r="D36" s="1">
        <v>0.32</v>
      </c>
      <c r="E36" s="1">
        <v>0.2167</v>
      </c>
      <c r="F36" s="1" t="s">
        <v>1</v>
      </c>
    </row>
    <row r="37" spans="2:6" x14ac:dyDescent="0.2">
      <c r="B37" s="2" t="s">
        <v>1</v>
      </c>
      <c r="C37" s="1">
        <v>0.1089</v>
      </c>
      <c r="D37" s="1">
        <v>0.33</v>
      </c>
      <c r="E37" s="1">
        <v>0.22600000000000001</v>
      </c>
      <c r="F37" s="1" t="s">
        <v>1</v>
      </c>
    </row>
    <row r="38" spans="2:6" x14ac:dyDescent="0.2">
      <c r="B38" s="2" t="s">
        <v>1</v>
      </c>
      <c r="C38" s="1">
        <v>0.1153</v>
      </c>
      <c r="D38" s="1">
        <v>0.34</v>
      </c>
      <c r="E38" s="1">
        <v>0.23549999999999999</v>
      </c>
      <c r="F38" s="1" t="s">
        <v>1</v>
      </c>
    </row>
    <row r="39" spans="2:6" x14ac:dyDescent="0.2">
      <c r="B39" s="2" t="s">
        <v>1</v>
      </c>
      <c r="C39" s="1">
        <v>0.12180000000000001</v>
      </c>
      <c r="D39" s="1">
        <v>0.35</v>
      </c>
      <c r="E39" s="1">
        <v>0.245</v>
      </c>
      <c r="F39" s="1" t="s">
        <v>1</v>
      </c>
    </row>
    <row r="40" spans="2:6" x14ac:dyDescent="0.2">
      <c r="B40" s="2" t="s">
        <v>1</v>
      </c>
      <c r="C40" s="1">
        <v>0.12839999999999999</v>
      </c>
      <c r="D40" s="1">
        <v>0.36</v>
      </c>
      <c r="E40" s="1">
        <v>0.25459999999999999</v>
      </c>
      <c r="F40" s="1" t="s">
        <v>1</v>
      </c>
    </row>
    <row r="41" spans="2:6" x14ac:dyDescent="0.2">
      <c r="B41" s="2" t="s">
        <v>1</v>
      </c>
      <c r="C41" s="1">
        <v>0.1351</v>
      </c>
      <c r="D41" s="1">
        <v>0.37</v>
      </c>
      <c r="E41" s="1">
        <v>0.26419999999999999</v>
      </c>
      <c r="F41" s="1" t="s">
        <v>1</v>
      </c>
    </row>
    <row r="42" spans="2:6" x14ac:dyDescent="0.2">
      <c r="B42" s="2" t="s">
        <v>1</v>
      </c>
      <c r="C42" s="1">
        <v>0.14199999999999999</v>
      </c>
      <c r="D42" s="1">
        <v>0.38</v>
      </c>
      <c r="E42" s="1">
        <v>0.27389999999999998</v>
      </c>
      <c r="F42" s="1" t="s">
        <v>1</v>
      </c>
    </row>
    <row r="43" spans="2:6" x14ac:dyDescent="0.2">
      <c r="B43" s="2" t="s">
        <v>1</v>
      </c>
      <c r="C43" s="1">
        <v>0.14899999999999999</v>
      </c>
      <c r="D43" s="1">
        <v>0.39</v>
      </c>
      <c r="E43" s="1">
        <v>0.28360000000000002</v>
      </c>
      <c r="F43" s="1" t="s">
        <v>1</v>
      </c>
    </row>
    <row r="44" spans="2:6" x14ac:dyDescent="0.2">
      <c r="B44" s="2" t="s">
        <v>1</v>
      </c>
      <c r="C44" s="1">
        <v>0.15609999999999999</v>
      </c>
      <c r="D44" s="1">
        <v>0.4</v>
      </c>
      <c r="E44" s="1">
        <v>0.29339999999999999</v>
      </c>
      <c r="F44" s="1" t="s">
        <v>1</v>
      </c>
    </row>
    <row r="45" spans="2:6" x14ac:dyDescent="0.2">
      <c r="B45" s="2" t="s">
        <v>1</v>
      </c>
      <c r="C45" s="1">
        <v>0.1633</v>
      </c>
      <c r="D45" s="1">
        <v>0.41</v>
      </c>
      <c r="E45" s="1">
        <v>0.30320000000000003</v>
      </c>
      <c r="F45" s="1" t="s">
        <v>1</v>
      </c>
    </row>
    <row r="46" spans="2:6" x14ac:dyDescent="0.2">
      <c r="B46" s="2" t="s">
        <v>1</v>
      </c>
      <c r="C46" s="1">
        <v>0.17050000000000001</v>
      </c>
      <c r="D46" s="1">
        <v>0.42</v>
      </c>
      <c r="E46" s="1">
        <v>0.313</v>
      </c>
      <c r="F46" s="1" t="s">
        <v>1</v>
      </c>
    </row>
    <row r="47" spans="2:6" x14ac:dyDescent="0.2">
      <c r="B47" s="2" t="s">
        <v>1</v>
      </c>
      <c r="C47" s="1">
        <v>0.1779</v>
      </c>
      <c r="D47" s="1">
        <v>0.43</v>
      </c>
      <c r="E47" s="1">
        <v>0.32290000000000002</v>
      </c>
      <c r="F47" s="1" t="s">
        <v>1</v>
      </c>
    </row>
    <row r="48" spans="2:6" x14ac:dyDescent="0.2">
      <c r="B48" s="2" t="s">
        <v>1</v>
      </c>
      <c r="C48" s="1">
        <v>0.18540000000000001</v>
      </c>
      <c r="D48" s="1">
        <v>0.44</v>
      </c>
      <c r="E48" s="1">
        <v>0.33279999999999998</v>
      </c>
      <c r="F48" s="1" t="s">
        <v>1</v>
      </c>
    </row>
    <row r="49" spans="2:6" x14ac:dyDescent="0.2">
      <c r="B49" s="2" t="s">
        <v>1</v>
      </c>
      <c r="C49" s="1">
        <v>0.19289999999999999</v>
      </c>
      <c r="D49" s="1">
        <v>0.45</v>
      </c>
      <c r="E49" s="1">
        <v>0.34279999999999999</v>
      </c>
      <c r="F49" s="1" t="s">
        <v>1</v>
      </c>
    </row>
    <row r="50" spans="2:6" x14ac:dyDescent="0.2">
      <c r="B50" s="2" t="s">
        <v>1</v>
      </c>
      <c r="C50" s="1">
        <v>0.20100000000000001</v>
      </c>
      <c r="D50" s="1">
        <v>0.46</v>
      </c>
      <c r="E50" s="1">
        <v>0.35270000000000001</v>
      </c>
      <c r="F50" s="1" t="s">
        <v>1</v>
      </c>
    </row>
    <row r="51" spans="2:6" x14ac:dyDescent="0.2">
      <c r="B51" s="2" t="s">
        <v>1</v>
      </c>
      <c r="C51" s="1">
        <v>0.20799999999999999</v>
      </c>
      <c r="D51" s="1">
        <v>0.47</v>
      </c>
      <c r="E51" s="1">
        <v>0.36270000000000002</v>
      </c>
      <c r="F51" s="1" t="s">
        <v>1</v>
      </c>
    </row>
    <row r="52" spans="2:6" x14ac:dyDescent="0.2">
      <c r="B52" s="2" t="s">
        <v>1</v>
      </c>
      <c r="C52" s="1">
        <v>0.216</v>
      </c>
      <c r="D52" s="1">
        <v>0.48</v>
      </c>
      <c r="E52" s="1">
        <v>0.37269999999999998</v>
      </c>
      <c r="F52" s="1" t="s">
        <v>1</v>
      </c>
    </row>
    <row r="53" spans="2:6" x14ac:dyDescent="0.2">
      <c r="B53" s="2" t="s">
        <v>1</v>
      </c>
      <c r="C53" s="1">
        <v>0.224</v>
      </c>
      <c r="D53" s="1">
        <v>0.49</v>
      </c>
      <c r="E53" s="1">
        <v>0.38269999999999998</v>
      </c>
      <c r="F53" s="1" t="s">
        <v>1</v>
      </c>
    </row>
    <row r="54" spans="2:6" x14ac:dyDescent="0.2">
      <c r="B54" s="2" t="s">
        <v>1</v>
      </c>
      <c r="C54" s="1">
        <v>0.23200000000000001</v>
      </c>
      <c r="D54" s="1">
        <v>0.5</v>
      </c>
      <c r="E54" s="1">
        <v>0.39269999999999999</v>
      </c>
      <c r="F54" s="1" t="s">
        <v>1</v>
      </c>
    </row>
    <row r="55" spans="2:6" x14ac:dyDescent="0.2">
      <c r="B55" s="2" t="s">
        <v>1</v>
      </c>
      <c r="C55" s="1">
        <v>0.23899999999999999</v>
      </c>
      <c r="D55" s="1">
        <v>0.51</v>
      </c>
      <c r="E55" s="1">
        <v>0.4027</v>
      </c>
      <c r="F55" s="1" t="s">
        <v>1</v>
      </c>
    </row>
    <row r="56" spans="2:6" x14ac:dyDescent="0.2">
      <c r="B56" s="2" t="s">
        <v>1</v>
      </c>
      <c r="C56" s="1">
        <v>0.247</v>
      </c>
      <c r="D56" s="1">
        <v>0.52</v>
      </c>
      <c r="E56" s="1">
        <v>0.41270000000000001</v>
      </c>
      <c r="F56" s="1" t="s">
        <v>1</v>
      </c>
    </row>
    <row r="57" spans="2:6" x14ac:dyDescent="0.2">
      <c r="B57" s="2" t="s">
        <v>1</v>
      </c>
      <c r="C57" s="1">
        <v>0.255</v>
      </c>
      <c r="D57" s="1">
        <v>0.53</v>
      </c>
      <c r="E57" s="1">
        <v>0.42270000000000002</v>
      </c>
      <c r="F57" s="1" t="s">
        <v>1</v>
      </c>
    </row>
    <row r="58" spans="2:6" x14ac:dyDescent="0.2">
      <c r="B58" s="2" t="s">
        <v>1</v>
      </c>
      <c r="C58" s="1">
        <v>0.26300000000000001</v>
      </c>
      <c r="D58" s="1">
        <v>0.54</v>
      </c>
      <c r="E58" s="1">
        <v>0.43269999999999997</v>
      </c>
      <c r="F58" s="1" t="s">
        <v>1</v>
      </c>
    </row>
    <row r="59" spans="2:6" x14ac:dyDescent="0.2">
      <c r="B59" s="2" t="s">
        <v>1</v>
      </c>
      <c r="C59" s="1">
        <v>0.27100000000000002</v>
      </c>
      <c r="D59" s="1">
        <v>0.55000000000000004</v>
      </c>
      <c r="E59" s="1">
        <v>0.44259999999999999</v>
      </c>
      <c r="F59" s="1" t="s">
        <v>1</v>
      </c>
    </row>
    <row r="60" spans="2:6" x14ac:dyDescent="0.2">
      <c r="B60" s="2" t="s">
        <v>1</v>
      </c>
      <c r="C60" s="1">
        <v>0.27900000000000003</v>
      </c>
      <c r="D60" s="1">
        <v>0.56000000000000005</v>
      </c>
      <c r="E60" s="1">
        <v>0.4526</v>
      </c>
      <c r="F60" s="1" t="s">
        <v>1</v>
      </c>
    </row>
    <row r="61" spans="2:6" x14ac:dyDescent="0.2">
      <c r="B61" s="2" t="s">
        <v>1</v>
      </c>
      <c r="C61" s="1">
        <v>0.28699999999999998</v>
      </c>
      <c r="D61" s="1">
        <v>0.56999999999999995</v>
      </c>
      <c r="E61" s="1">
        <v>0.46250000000000002</v>
      </c>
      <c r="F61" s="1" t="s">
        <v>1</v>
      </c>
    </row>
    <row r="62" spans="2:6" x14ac:dyDescent="0.2">
      <c r="B62" s="2" t="s">
        <v>1</v>
      </c>
      <c r="C62" s="1">
        <v>0.29499999999999998</v>
      </c>
      <c r="D62" s="1">
        <v>0.57999999999999996</v>
      </c>
      <c r="E62" s="1">
        <v>0.47239999999999999</v>
      </c>
      <c r="F62" s="1" t="s">
        <v>1</v>
      </c>
    </row>
    <row r="63" spans="2:6" x14ac:dyDescent="0.2">
      <c r="B63" s="2" t="s">
        <v>1</v>
      </c>
      <c r="C63" s="1">
        <v>0.30299999999999999</v>
      </c>
      <c r="D63" s="1">
        <v>0.59</v>
      </c>
      <c r="E63" s="1">
        <v>0.48220000000000002</v>
      </c>
      <c r="F63" s="1" t="s">
        <v>1</v>
      </c>
    </row>
    <row r="64" spans="2:6" x14ac:dyDescent="0.2">
      <c r="B64" s="2" t="s">
        <v>1</v>
      </c>
      <c r="C64" s="1">
        <v>0.311</v>
      </c>
      <c r="D64" s="1">
        <v>0.6</v>
      </c>
      <c r="E64" s="1">
        <v>0.49199999999999999</v>
      </c>
      <c r="F64" s="1" t="s">
        <v>1</v>
      </c>
    </row>
    <row r="65" spans="2:6" x14ac:dyDescent="0.2">
      <c r="B65" s="2" t="s">
        <v>1</v>
      </c>
      <c r="C65" s="1">
        <v>0.31900000000000001</v>
      </c>
      <c r="D65" s="1">
        <v>0.61</v>
      </c>
      <c r="E65" s="1">
        <v>0.50180000000000002</v>
      </c>
      <c r="F65" s="1" t="s">
        <v>1</v>
      </c>
    </row>
    <row r="66" spans="2:6" x14ac:dyDescent="0.2">
      <c r="B66" s="2" t="s">
        <v>1</v>
      </c>
      <c r="C66" s="1">
        <v>0.32700000000000001</v>
      </c>
      <c r="D66" s="1">
        <v>0.62</v>
      </c>
      <c r="E66" s="1">
        <v>0.51149999999999995</v>
      </c>
      <c r="F66" s="1" t="s">
        <v>1</v>
      </c>
    </row>
    <row r="67" spans="2:6" x14ac:dyDescent="0.2">
      <c r="B67" s="2" t="s">
        <v>1</v>
      </c>
      <c r="C67" s="1">
        <v>0.33500000000000002</v>
      </c>
      <c r="D67" s="1">
        <v>0.63</v>
      </c>
      <c r="E67" s="1">
        <v>0.5212</v>
      </c>
      <c r="F67" s="1" t="s">
        <v>1</v>
      </c>
    </row>
    <row r="68" spans="2:6" x14ac:dyDescent="0.2">
      <c r="B68" s="2" t="s">
        <v>1</v>
      </c>
      <c r="C68" s="1">
        <v>0.34300000000000003</v>
      </c>
      <c r="D68" s="1">
        <v>0.64</v>
      </c>
      <c r="E68" s="1">
        <v>0.53080000000000005</v>
      </c>
      <c r="F68" s="1" t="s">
        <v>1</v>
      </c>
    </row>
    <row r="69" spans="2:6" x14ac:dyDescent="0.2">
      <c r="B69" s="2" t="s">
        <v>1</v>
      </c>
      <c r="C69" s="1">
        <v>0.35</v>
      </c>
      <c r="D69" s="1">
        <v>0.65</v>
      </c>
      <c r="E69" s="1">
        <v>0.54039999999999999</v>
      </c>
      <c r="F69" s="1" t="s">
        <v>1</v>
      </c>
    </row>
    <row r="70" spans="2:6" x14ac:dyDescent="0.2">
      <c r="B70" s="2" t="s">
        <v>1</v>
      </c>
      <c r="C70" s="1">
        <v>0.35799999999999998</v>
      </c>
      <c r="D70" s="1">
        <v>0.66</v>
      </c>
      <c r="E70" s="1">
        <v>0.54990000000000006</v>
      </c>
      <c r="F70" s="1" t="s">
        <v>1</v>
      </c>
    </row>
    <row r="71" spans="2:6" x14ac:dyDescent="0.2">
      <c r="B71" s="2" t="s">
        <v>1</v>
      </c>
      <c r="C71" s="1">
        <v>0.36599999999999999</v>
      </c>
      <c r="D71" s="1">
        <v>0.67</v>
      </c>
      <c r="E71" s="1">
        <v>0.55940000000000001</v>
      </c>
      <c r="F71" s="1" t="s">
        <v>1</v>
      </c>
    </row>
    <row r="72" spans="2:6" x14ac:dyDescent="0.2">
      <c r="B72" s="2" t="s">
        <v>1</v>
      </c>
      <c r="C72" s="1">
        <v>0.373</v>
      </c>
      <c r="D72" s="1">
        <v>0.68</v>
      </c>
      <c r="E72" s="1">
        <v>0.56869999999999998</v>
      </c>
      <c r="F72" s="1" t="s">
        <v>1</v>
      </c>
    </row>
    <row r="73" spans="2:6" x14ac:dyDescent="0.2">
      <c r="B73" s="2" t="s">
        <v>1</v>
      </c>
      <c r="C73" s="1">
        <v>0.38</v>
      </c>
      <c r="D73" s="1">
        <v>0.69</v>
      </c>
      <c r="E73" s="1">
        <v>0.57799999999999996</v>
      </c>
      <c r="F73" s="1" t="s">
        <v>1</v>
      </c>
    </row>
    <row r="74" spans="2:6" x14ac:dyDescent="0.2">
      <c r="B74" s="2" t="s">
        <v>1</v>
      </c>
      <c r="C74" s="1">
        <v>0.38800000000000001</v>
      </c>
      <c r="D74" s="1">
        <v>0.7</v>
      </c>
      <c r="E74" s="1">
        <v>0.58720000000000006</v>
      </c>
      <c r="F74" s="1" t="s">
        <v>1</v>
      </c>
    </row>
    <row r="75" spans="2:6" x14ac:dyDescent="0.2">
      <c r="B75" s="2" t="s">
        <v>1</v>
      </c>
      <c r="C75" s="1">
        <v>0.39500000000000002</v>
      </c>
      <c r="D75" s="1">
        <v>0.71</v>
      </c>
      <c r="E75" s="1">
        <v>0.59640000000000004</v>
      </c>
      <c r="F75" s="1" t="s">
        <v>1</v>
      </c>
    </row>
    <row r="76" spans="2:6" x14ac:dyDescent="0.2">
      <c r="B76" s="2" t="s">
        <v>1</v>
      </c>
      <c r="C76" s="1">
        <v>0.40200000000000002</v>
      </c>
      <c r="D76" s="1">
        <v>0.72</v>
      </c>
      <c r="E76" s="1">
        <v>0.60540000000000005</v>
      </c>
      <c r="F76" s="1" t="s">
        <v>1</v>
      </c>
    </row>
    <row r="77" spans="2:6" x14ac:dyDescent="0.2">
      <c r="B77" s="2" t="s">
        <v>1</v>
      </c>
      <c r="C77" s="1">
        <v>0.40899999999999997</v>
      </c>
      <c r="D77" s="1">
        <v>0.73</v>
      </c>
      <c r="E77" s="1">
        <v>0.61429999999999996</v>
      </c>
      <c r="F77" s="1" t="s">
        <v>1</v>
      </c>
    </row>
    <row r="78" spans="2:6" x14ac:dyDescent="0.2">
      <c r="B78" s="2" t="s">
        <v>1</v>
      </c>
      <c r="C78" s="1">
        <v>0.41599999999999998</v>
      </c>
      <c r="D78" s="1">
        <v>0.74</v>
      </c>
      <c r="E78" s="1">
        <v>0.62309999999999999</v>
      </c>
      <c r="F78" s="1" t="s">
        <v>1</v>
      </c>
    </row>
    <row r="79" spans="2:6" x14ac:dyDescent="0.2">
      <c r="B79" s="2" t="s">
        <v>1</v>
      </c>
      <c r="C79" s="1">
        <v>0.42199999999999999</v>
      </c>
      <c r="D79" s="1">
        <v>0.75</v>
      </c>
      <c r="E79" s="1">
        <v>0.63190000000000002</v>
      </c>
      <c r="F79" s="1" t="s">
        <v>1</v>
      </c>
    </row>
    <row r="80" spans="2:6" x14ac:dyDescent="0.2">
      <c r="B80" s="2" t="s">
        <v>1</v>
      </c>
      <c r="C80" s="1">
        <v>0.42899999999999999</v>
      </c>
      <c r="D80" s="1">
        <v>0.76</v>
      </c>
      <c r="E80" s="1">
        <v>0.64049999999999996</v>
      </c>
      <c r="F80" s="1" t="s">
        <v>1</v>
      </c>
    </row>
    <row r="81" spans="2:6" x14ac:dyDescent="0.2">
      <c r="B81" s="2" t="s">
        <v>1</v>
      </c>
      <c r="C81" s="1">
        <v>0.435</v>
      </c>
      <c r="D81" s="1">
        <v>0.77</v>
      </c>
      <c r="E81" s="1">
        <v>0.64890000000000003</v>
      </c>
      <c r="F81" s="1" t="s">
        <v>1</v>
      </c>
    </row>
    <row r="82" spans="2:6" x14ac:dyDescent="0.2">
      <c r="B82" s="2" t="s">
        <v>1</v>
      </c>
      <c r="C82" s="1">
        <v>0.441</v>
      </c>
      <c r="D82" s="1">
        <v>0.78</v>
      </c>
      <c r="E82" s="1">
        <v>0.6573</v>
      </c>
      <c r="F82" s="1" t="s">
        <v>1</v>
      </c>
    </row>
    <row r="83" spans="2:6" x14ac:dyDescent="0.2">
      <c r="B83" s="2" t="s">
        <v>1</v>
      </c>
      <c r="C83" s="1">
        <v>0.44700000000000001</v>
      </c>
      <c r="D83" s="1">
        <v>0.79</v>
      </c>
      <c r="E83" s="1">
        <v>0.66549999999999998</v>
      </c>
      <c r="F83" s="1" t="s">
        <v>1</v>
      </c>
    </row>
    <row r="84" spans="2:6" x14ac:dyDescent="0.2">
      <c r="B84" s="2" t="s">
        <v>1</v>
      </c>
      <c r="C84" s="1">
        <v>0.45300000000000001</v>
      </c>
      <c r="D84" s="1">
        <v>0.8</v>
      </c>
      <c r="E84" s="1">
        <v>0.67359999999999998</v>
      </c>
      <c r="F84" s="1" t="s">
        <v>1</v>
      </c>
    </row>
    <row r="85" spans="2:6" x14ac:dyDescent="0.2">
      <c r="B85" s="2" t="s">
        <v>1</v>
      </c>
      <c r="C85" s="1">
        <v>0.45800000000000002</v>
      </c>
      <c r="D85" s="1">
        <v>0.81</v>
      </c>
      <c r="E85" s="1">
        <v>0.68149999999999999</v>
      </c>
      <c r="F85" s="1" t="s">
        <v>1</v>
      </c>
    </row>
    <row r="86" spans="2:6" x14ac:dyDescent="0.2">
      <c r="B86" s="2" t="s">
        <v>1</v>
      </c>
      <c r="C86" s="1">
        <v>0.46300000000000002</v>
      </c>
      <c r="D86" s="1">
        <v>0.82</v>
      </c>
      <c r="E86" s="1">
        <v>0.68930000000000002</v>
      </c>
      <c r="F86" s="1" t="s">
        <v>1</v>
      </c>
    </row>
    <row r="87" spans="2:6" x14ac:dyDescent="0.2">
      <c r="B87" s="2" t="s">
        <v>1</v>
      </c>
      <c r="C87" s="1">
        <v>0.46800000000000003</v>
      </c>
      <c r="D87" s="1">
        <v>0.83</v>
      </c>
      <c r="E87" s="1">
        <v>0.69689999999999996</v>
      </c>
      <c r="F87" s="1" t="s">
        <v>1</v>
      </c>
    </row>
    <row r="88" spans="2:6" x14ac:dyDescent="0.2">
      <c r="B88" s="2" t="s">
        <v>1</v>
      </c>
      <c r="C88" s="1">
        <v>0.47299999999999998</v>
      </c>
      <c r="D88" s="1">
        <v>0.84</v>
      </c>
      <c r="E88" s="1">
        <v>0.70430000000000004</v>
      </c>
      <c r="F88" s="1" t="s">
        <v>1</v>
      </c>
    </row>
    <row r="89" spans="2:6" x14ac:dyDescent="0.2">
      <c r="B89" s="2" t="s">
        <v>1</v>
      </c>
      <c r="C89" s="1">
        <v>0.47699999999999998</v>
      </c>
      <c r="D89" s="1">
        <v>0.85</v>
      </c>
      <c r="E89" s="1">
        <v>0.71150000000000002</v>
      </c>
      <c r="F89" s="1" t="s">
        <v>1</v>
      </c>
    </row>
    <row r="90" spans="2:6" x14ac:dyDescent="0.2">
      <c r="B90" s="2" t="s">
        <v>1</v>
      </c>
      <c r="C90" s="1">
        <v>0.48099999999999998</v>
      </c>
      <c r="D90" s="1">
        <v>0.86</v>
      </c>
      <c r="E90" s="1">
        <v>0.71860000000000002</v>
      </c>
      <c r="F90" s="1" t="s">
        <v>1</v>
      </c>
    </row>
    <row r="91" spans="2:6" x14ac:dyDescent="0.2">
      <c r="B91" s="2" t="s">
        <v>1</v>
      </c>
      <c r="C91" s="1">
        <v>0.48499999999999999</v>
      </c>
      <c r="D91" s="1">
        <v>0.87</v>
      </c>
      <c r="E91" s="1">
        <v>0.72540000000000004</v>
      </c>
      <c r="F91" s="1" t="s">
        <v>1</v>
      </c>
    </row>
    <row r="92" spans="2:6" x14ac:dyDescent="0.2">
      <c r="B92" s="2" t="s">
        <v>1</v>
      </c>
      <c r="C92" s="1">
        <v>0.48799999999999999</v>
      </c>
      <c r="D92" s="1">
        <v>0.88</v>
      </c>
      <c r="E92" s="1">
        <v>0.73199999999999998</v>
      </c>
      <c r="F92" s="1" t="s">
        <v>1</v>
      </c>
    </row>
    <row r="93" spans="2:6" x14ac:dyDescent="0.2">
      <c r="B93" s="2" t="s">
        <v>1</v>
      </c>
      <c r="C93" s="1">
        <v>0.49099999999999999</v>
      </c>
      <c r="D93" s="1">
        <v>0.89</v>
      </c>
      <c r="E93" s="1">
        <v>0.73839999999999995</v>
      </c>
      <c r="F93" s="1" t="s">
        <v>1</v>
      </c>
    </row>
    <row r="94" spans="2:6" x14ac:dyDescent="0.2">
      <c r="B94" s="2" t="s">
        <v>1</v>
      </c>
      <c r="C94" s="1">
        <v>0.49399999999999999</v>
      </c>
      <c r="D94" s="1">
        <v>0.9</v>
      </c>
      <c r="E94" s="1">
        <v>0.74450000000000005</v>
      </c>
      <c r="F94" s="1" t="s">
        <v>1</v>
      </c>
    </row>
    <row r="95" spans="2:6" x14ac:dyDescent="0.2">
      <c r="B95" s="2" t="s">
        <v>1</v>
      </c>
      <c r="C95" s="1">
        <v>0.496</v>
      </c>
      <c r="D95" s="1">
        <v>0.91</v>
      </c>
      <c r="E95" s="1">
        <v>0.75039999999999996</v>
      </c>
      <c r="F95" s="1" t="s">
        <v>1</v>
      </c>
    </row>
    <row r="96" spans="2:6" x14ac:dyDescent="0.2">
      <c r="B96" s="2" t="s">
        <v>1</v>
      </c>
      <c r="C96" s="1">
        <v>0.497</v>
      </c>
      <c r="D96" s="1">
        <v>0.92</v>
      </c>
      <c r="E96" s="1">
        <v>0.75600000000000001</v>
      </c>
      <c r="F96" s="1" t="s">
        <v>1</v>
      </c>
    </row>
    <row r="97" spans="1:31" x14ac:dyDescent="0.2">
      <c r="B97" s="2" t="s">
        <v>1</v>
      </c>
      <c r="C97" s="1">
        <v>0.498</v>
      </c>
      <c r="D97" s="1">
        <v>0.93</v>
      </c>
      <c r="E97" s="1">
        <v>0.76119999999999999</v>
      </c>
      <c r="F97" s="1" t="s">
        <v>1</v>
      </c>
    </row>
    <row r="98" spans="1:31" x14ac:dyDescent="0.2">
      <c r="B98" s="2" t="s">
        <v>5</v>
      </c>
      <c r="C98" s="1" t="s">
        <v>6</v>
      </c>
      <c r="D98" s="1" t="s">
        <v>7</v>
      </c>
      <c r="E98" s="1" t="s">
        <v>8</v>
      </c>
      <c r="F98" s="1" t="s">
        <v>9</v>
      </c>
    </row>
    <row r="99" spans="1:31" x14ac:dyDescent="0.2">
      <c r="A99" s="1" t="s">
        <v>10</v>
      </c>
      <c r="I99" s="1" t="s">
        <v>10</v>
      </c>
      <c r="P99" s="1" t="s">
        <v>10</v>
      </c>
      <c r="X99" s="1" t="s">
        <v>11</v>
      </c>
    </row>
    <row r="100" spans="1:31" x14ac:dyDescent="0.2">
      <c r="C100" s="1" t="s">
        <v>12</v>
      </c>
      <c r="D100" s="1" t="s">
        <v>13</v>
      </c>
      <c r="G100" s="1" t="s">
        <v>14</v>
      </c>
      <c r="J100" s="1" t="s">
        <v>94</v>
      </c>
      <c r="M100" s="1" t="s">
        <v>95</v>
      </c>
      <c r="P100" s="1" t="s">
        <v>15</v>
      </c>
      <c r="R100" s="1" t="s">
        <v>96</v>
      </c>
      <c r="V100" s="1" t="s">
        <v>16</v>
      </c>
      <c r="AA100" s="1" t="s">
        <v>17</v>
      </c>
    </row>
    <row r="101" spans="1:31" x14ac:dyDescent="0.2">
      <c r="C101" s="1">
        <v>1.4999999999999999E-2</v>
      </c>
      <c r="E101" s="1">
        <v>10</v>
      </c>
      <c r="H101" s="1">
        <v>25</v>
      </c>
      <c r="J101" s="4" t="s">
        <v>106</v>
      </c>
      <c r="K101" s="5"/>
      <c r="P101" s="1" t="s">
        <v>18</v>
      </c>
      <c r="R101" s="64">
        <v>173620147</v>
      </c>
      <c r="S101" s="65"/>
      <c r="AA101" s="1" t="s">
        <v>19</v>
      </c>
    </row>
    <row r="102" spans="1:31" x14ac:dyDescent="0.2">
      <c r="AA102" s="1" t="s">
        <v>20</v>
      </c>
    </row>
    <row r="105" spans="1:31" s="2" customFormat="1" x14ac:dyDescent="0.2">
      <c r="B105" s="2" t="s">
        <v>21</v>
      </c>
      <c r="C105" s="2" t="s">
        <v>22</v>
      </c>
      <c r="D105" s="2" t="s">
        <v>23</v>
      </c>
      <c r="E105" s="2" t="s">
        <v>24</v>
      </c>
      <c r="F105" s="2" t="s">
        <v>25</v>
      </c>
      <c r="G105" s="2" t="s">
        <v>26</v>
      </c>
      <c r="H105" s="2" t="s">
        <v>27</v>
      </c>
      <c r="I105" s="2" t="s">
        <v>28</v>
      </c>
      <c r="J105" s="2" t="s">
        <v>29</v>
      </c>
      <c r="K105" s="2" t="s">
        <v>30</v>
      </c>
      <c r="L105" s="2" t="s">
        <v>31</v>
      </c>
      <c r="M105" s="2" t="s">
        <v>32</v>
      </c>
      <c r="N105" s="2" t="s">
        <v>33</v>
      </c>
      <c r="O105" s="2" t="s">
        <v>34</v>
      </c>
      <c r="P105" s="2" t="s">
        <v>35</v>
      </c>
      <c r="Q105" s="2" t="s">
        <v>36</v>
      </c>
      <c r="R105" s="2" t="s">
        <v>37</v>
      </c>
      <c r="S105" s="2" t="s">
        <v>27</v>
      </c>
      <c r="T105" s="2" t="s">
        <v>30</v>
      </c>
      <c r="U105" s="2" t="s">
        <v>38</v>
      </c>
      <c r="V105" s="2" t="s">
        <v>39</v>
      </c>
      <c r="W105" s="2" t="s">
        <v>40</v>
      </c>
      <c r="X105" s="2" t="s">
        <v>41</v>
      </c>
      <c r="Y105" s="2" t="s">
        <v>42</v>
      </c>
      <c r="Z105" s="2" t="s">
        <v>43</v>
      </c>
      <c r="AA105" s="2" t="s">
        <v>44</v>
      </c>
      <c r="AB105" s="2" t="s">
        <v>45</v>
      </c>
      <c r="AC105" s="6" t="s">
        <v>46</v>
      </c>
      <c r="AD105" s="6" t="s">
        <v>47</v>
      </c>
      <c r="AE105" s="6" t="s">
        <v>50</v>
      </c>
    </row>
    <row r="106" spans="1:31" s="13" customFormat="1" hidden="1" x14ac:dyDescent="0.2">
      <c r="B106" s="8"/>
      <c r="AC106" s="26"/>
      <c r="AD106" s="26"/>
      <c r="AE106" s="26"/>
    </row>
    <row r="107" spans="1:31" s="13" customFormat="1" hidden="1" x14ac:dyDescent="0.2">
      <c r="B107" s="8"/>
      <c r="AC107" s="26"/>
      <c r="AD107" s="26"/>
      <c r="AE107" s="26"/>
    </row>
    <row r="108" spans="1:31" hidden="1" x14ac:dyDescent="0.2">
      <c r="A108" s="7"/>
      <c r="B108" s="18" t="s">
        <v>51</v>
      </c>
      <c r="C108" s="13" t="s">
        <v>52</v>
      </c>
      <c r="D108" s="9">
        <v>0.59799999999999998</v>
      </c>
      <c r="E108" s="9">
        <f>ROUND(SUM($D108:D$108),2)</f>
        <v>0.6</v>
      </c>
      <c r="F108" s="11">
        <v>10</v>
      </c>
      <c r="G108" s="11">
        <f>ROUND(SUM($F$108:F108),2)</f>
        <v>10</v>
      </c>
      <c r="H108" s="12">
        <f>ROUND(84.55/(G108+13)^0.882,1)</f>
        <v>5.3</v>
      </c>
      <c r="I108" s="9">
        <v>0.5</v>
      </c>
      <c r="J108" s="22">
        <f>ROUND(J106+D108*I108,2)</f>
        <v>0.3</v>
      </c>
      <c r="K108" s="22">
        <f>ROUND(J108*H108,2)</f>
        <v>1.59</v>
      </c>
      <c r="L108" s="13"/>
      <c r="M108" s="13"/>
      <c r="N108" s="13"/>
      <c r="O108" s="13"/>
      <c r="P108" s="13"/>
      <c r="Q108" s="13"/>
      <c r="R108" s="13"/>
      <c r="S108" s="11">
        <f>ROUND(95.736/(G110+14)^0.871,1)</f>
        <v>6</v>
      </c>
      <c r="T108" s="22">
        <f>ROUND(J108*S108,2)</f>
        <v>1.8</v>
      </c>
      <c r="U108" s="9">
        <f>ROUND(IF((T108*$C$101)/((L109/12)^(8/3)*P109^0.5)&lt;0.463,(VLOOKUP((T108*$C$101)/((L109/12)^(8/3)*P109^0.5),$C$5:$E$97,2,1))*L109/12,L109/12),2)</f>
        <v>0.33</v>
      </c>
      <c r="V108" s="16">
        <f>ROUND((T108/((0.46/$C$101)*(L109/12)^(8/3)))^2,4)</f>
        <v>1E-3</v>
      </c>
      <c r="W108" s="9">
        <f>ROUND(V108*M109,2)</f>
        <v>0.08</v>
      </c>
      <c r="X108" s="15">
        <f>ROUND(IF(N109+U108+(IF(Y108&gt;0,Y108,0))&gt;Z110+(IF(Y108&gt;0,Y108,0)),(IF(U108&lt;(L109/12),1,2)),3),0)</f>
        <v>1</v>
      </c>
      <c r="Y108" s="9">
        <f>ROUND((V108-P109)*M109,2)</f>
        <v>-3.29</v>
      </c>
      <c r="Z108" s="10">
        <f>ROUND(IF(N109+U108+(IF(Y108&gt;0,Y108,0))&gt;Z110+(IF(Y108&gt;0,Y108,0)),N109+U108+(IF(Y108&gt;0,Y108,0)),Z110+(IF(Y108&gt;0,Y108,0))),2)</f>
        <v>625.33000000000004</v>
      </c>
      <c r="AA108" s="9">
        <v>629.35</v>
      </c>
      <c r="AB108" s="13" t="s">
        <v>49</v>
      </c>
      <c r="AC108" s="14">
        <f>R109-K108</f>
        <v>9.9700000000000006</v>
      </c>
      <c r="AD108" s="14">
        <f>AA108-Z108</f>
        <v>4.0199999999999818</v>
      </c>
      <c r="AE108" s="14">
        <f t="shared" ref="AE108" si="0">AA108-N109</f>
        <v>4.3500000000000227</v>
      </c>
    </row>
    <row r="109" spans="1:31" hidden="1" x14ac:dyDescent="0.2">
      <c r="A109" s="7"/>
      <c r="B109" s="18"/>
      <c r="C109" s="13"/>
      <c r="D109" s="9"/>
      <c r="E109" s="9"/>
      <c r="F109" s="11">
        <f>ROUND(+M109/Q109/60,1)</f>
        <v>0.2</v>
      </c>
      <c r="G109" s="13"/>
      <c r="H109" s="13"/>
      <c r="I109" s="13"/>
      <c r="J109" s="13"/>
      <c r="K109" s="13"/>
      <c r="L109" s="15">
        <v>15</v>
      </c>
      <c r="M109" s="13">
        <v>79</v>
      </c>
      <c r="N109" s="9">
        <v>625</v>
      </c>
      <c r="O109" s="9">
        <v>621.63</v>
      </c>
      <c r="P109" s="16">
        <f>ROUND((N109-O109)/M109,4)</f>
        <v>4.2700000000000002E-2</v>
      </c>
      <c r="Q109" s="9">
        <f>ROUND(IF((K108*$C$101)/((L109/12)^(8/3)*P109^0.5)&lt;0.463,(K108/((VLOOKUP((K108*$C$101)/((L109/12)^(8/3)*P109^0.5),$C$5:$E$97,3,1))*(L109/12)^2)),(R109/(PI()*((L109/12)/2)^2))),2)</f>
        <v>6.63</v>
      </c>
      <c r="R109" s="9">
        <f>ROUND(((L109/12)^(8/3))*((P109^0.5))*0.463/$C$101,2)</f>
        <v>11.56</v>
      </c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D109" s="17"/>
      <c r="AE109" s="14"/>
    </row>
    <row r="110" spans="1:31" hidden="1" x14ac:dyDescent="0.2">
      <c r="A110" s="7"/>
      <c r="B110" s="18"/>
      <c r="C110" s="13" t="s">
        <v>53</v>
      </c>
      <c r="D110" s="13"/>
      <c r="E110" s="9">
        <f>ROUND(SUM($D$108:D110),2)</f>
        <v>0.6</v>
      </c>
      <c r="F110" s="13"/>
      <c r="G110" s="11">
        <f>ROUND(SUM($F$108:F110),2)</f>
        <v>10.199999999999999</v>
      </c>
      <c r="H110" s="11"/>
      <c r="I110" s="9"/>
      <c r="J110" s="22">
        <f>ROUND(J108+D110*I110,2)</f>
        <v>0.3</v>
      </c>
      <c r="K110" s="22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9">
        <f>AA110+(1.25+0.13)/2</f>
        <v>622.32000000000005</v>
      </c>
      <c r="AA110" s="9">
        <v>621.63</v>
      </c>
      <c r="AB110" s="23" t="s">
        <v>48</v>
      </c>
      <c r="AC110" s="14">
        <f>R111-K110</f>
        <v>0</v>
      </c>
      <c r="AD110" s="14">
        <f>AA110-Z110</f>
        <v>-0.69000000000005457</v>
      </c>
      <c r="AE110" s="14"/>
    </row>
    <row r="111" spans="1:31" hidden="1" x14ac:dyDescent="0.2">
      <c r="A111" s="7"/>
      <c r="B111" s="8"/>
      <c r="C111" s="23"/>
      <c r="D111" s="13"/>
      <c r="E111" s="9"/>
      <c r="F111" s="13"/>
      <c r="G111" s="11"/>
      <c r="H111" s="13"/>
      <c r="I111" s="13"/>
      <c r="J111" s="9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9"/>
      <c r="AA111" s="9"/>
      <c r="AB111" s="23"/>
      <c r="AC111" s="14"/>
      <c r="AD111" s="14"/>
      <c r="AE111" s="14"/>
    </row>
    <row r="112" spans="1:31" s="13" customFormat="1" hidden="1" x14ac:dyDescent="0.2">
      <c r="B112" s="21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</row>
    <row r="113" spans="1:31" hidden="1" x14ac:dyDescent="0.2">
      <c r="A113" s="7"/>
      <c r="B113" s="8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26"/>
      <c r="AD113" s="26"/>
      <c r="AE113" s="26"/>
    </row>
    <row r="114" spans="1:31" s="13" customFormat="1" hidden="1" x14ac:dyDescent="0.2">
      <c r="B114" s="8"/>
      <c r="AC114" s="26"/>
      <c r="AD114" s="26"/>
      <c r="AE114" s="26"/>
    </row>
    <row r="115" spans="1:31" s="13" customFormat="1" hidden="1" x14ac:dyDescent="0.2">
      <c r="B115" s="18" t="s">
        <v>51</v>
      </c>
      <c r="C115" s="13" t="s">
        <v>55</v>
      </c>
      <c r="D115" s="9">
        <v>0.77</v>
      </c>
      <c r="E115" s="9">
        <f>ROUND(SUM($D$115:D115),2)</f>
        <v>0.77</v>
      </c>
      <c r="F115" s="11">
        <v>10</v>
      </c>
      <c r="G115" s="11">
        <f>ROUND(SUM($F$115:F115),2)</f>
        <v>10</v>
      </c>
      <c r="H115" s="12">
        <f>ROUND(84.55/(G115+13)^0.882,1)</f>
        <v>5.3</v>
      </c>
      <c r="I115" s="9">
        <v>0.5</v>
      </c>
      <c r="J115" s="22">
        <f>ROUND(J113+D115*I115,2)</f>
        <v>0.39</v>
      </c>
      <c r="K115" s="22">
        <f>ROUND(J115*H115,2)</f>
        <v>2.0699999999999998</v>
      </c>
      <c r="S115" s="11">
        <f>ROUND(95.736/(G131+14)^0.871,1)</f>
        <v>5.9</v>
      </c>
      <c r="T115" s="22">
        <f>ROUND(J115*S115,2)</f>
        <v>2.2999999999999998</v>
      </c>
      <c r="U115" s="9">
        <f>ROUND(IF((T115*$C$101)/((L116/12)^(8/3)*P116^0.5)&lt;0.463,(VLOOKUP((T115*$C$101)/((L116/12)^(8/3)*P116^0.5),$C$5:$E$97,2,1))*L116/12,L116/12),2)</f>
        <v>0.34</v>
      </c>
      <c r="V115" s="16">
        <f>ROUND((T115/((0.46/$C$101)*(L116/12)^(8/3)))^2,4)</f>
        <v>1.6999999999999999E-3</v>
      </c>
      <c r="W115" s="9">
        <f>ROUND(V115*M116,2)</f>
        <v>0.23</v>
      </c>
      <c r="X115" s="15">
        <f>ROUND(IF(N116+U115+(IF(Y115&gt;0,Y115,0))&gt;Z117+(IF(Y115&gt;0,Y115,0)),(IF(U115&lt;(L116/12),1,2)),3),0)</f>
        <v>1</v>
      </c>
      <c r="Y115" s="9">
        <f>ROUND((V115-P116)*M116,2)</f>
        <v>-8.7799999999999994</v>
      </c>
      <c r="Z115" s="10">
        <f>ROUND(IF(N116+U115+(IF(Y115&gt;0,Y115,0))&gt;Z117+(IF(Y115&gt;0,Y115,0)),N116+U115+(IF(Y115&gt;0,Y115,0)),Z117+(IF(Y115&gt;0,Y115,0))),2)</f>
        <v>578.53</v>
      </c>
      <c r="AA115" s="9">
        <v>582.19000000000005</v>
      </c>
      <c r="AB115" s="13" t="s">
        <v>56</v>
      </c>
      <c r="AC115" s="14">
        <f>R116-K115</f>
        <v>12.23</v>
      </c>
      <c r="AD115" s="14">
        <f>AA115-Z115</f>
        <v>3.6600000000000819</v>
      </c>
      <c r="AE115" s="14">
        <f>AA115-N116</f>
        <v>4</v>
      </c>
    </row>
    <row r="116" spans="1:31" s="13" customFormat="1" hidden="1" x14ac:dyDescent="0.2">
      <c r="B116" s="18"/>
      <c r="D116" s="9"/>
      <c r="E116" s="9"/>
      <c r="F116" s="11">
        <f>ROUND(+M116/Q116/60,1)</f>
        <v>0.3</v>
      </c>
      <c r="L116" s="15">
        <v>15</v>
      </c>
      <c r="M116" s="13">
        <v>138</v>
      </c>
      <c r="N116" s="9">
        <v>578.19000000000005</v>
      </c>
      <c r="O116" s="9">
        <v>569.17999999999995</v>
      </c>
      <c r="P116" s="16">
        <f>ROUND((N116-O116)/M116,4)</f>
        <v>6.5299999999999997E-2</v>
      </c>
      <c r="Q116" s="9">
        <f>ROUND(IF((K115*$C$101)/((L116/12)^(8/3)*P116^0.5)&lt;0.463,(K115/((VLOOKUP((K115*$C$101)/((L116/12)^(8/3)*P116^0.5),$C$5:$E$97,3,1))*(L116/12)^2)),(R116/(PI()*((L116/12)/2)^2))),2)</f>
        <v>8.6300000000000008</v>
      </c>
      <c r="R116" s="9">
        <f>ROUND(((L116/12)^(8/3))*((P116^0.5))*0.463/$C$101,2)</f>
        <v>14.3</v>
      </c>
      <c r="AC116" s="3"/>
      <c r="AD116" s="17"/>
      <c r="AE116" s="14"/>
    </row>
    <row r="117" spans="1:31" s="13" customFormat="1" hidden="1" x14ac:dyDescent="0.2">
      <c r="B117" s="18" t="str">
        <f>B129</f>
        <v>D?</v>
      </c>
      <c r="C117" s="13" t="str">
        <f>C129</f>
        <v>SR 32 EB Sta. 253+10.48, 19.64' Rt</v>
      </c>
      <c r="E117" s="9">
        <f>ROUND(SUM($D$115:D117),2)</f>
        <v>0.77</v>
      </c>
      <c r="G117" s="11">
        <f>ROUND(SUM($F$115:F117),2)</f>
        <v>10.3</v>
      </c>
      <c r="H117" s="11"/>
      <c r="I117" s="9"/>
      <c r="J117" s="22">
        <f>ROUND(J115+D117*I117,2)</f>
        <v>0.39</v>
      </c>
      <c r="K117" s="22"/>
      <c r="Z117" s="9">
        <f>Z129</f>
        <v>569.96</v>
      </c>
      <c r="AA117" s="9">
        <f>AA129</f>
        <v>576.75</v>
      </c>
      <c r="AB117" s="23" t="str">
        <f>AB129</f>
        <v>MH-3-72</v>
      </c>
      <c r="AC117" s="14">
        <f>R118-K117</f>
        <v>0</v>
      </c>
      <c r="AD117" s="14">
        <f>AA117-Z117</f>
        <v>6.7899999999999636</v>
      </c>
      <c r="AE117" s="14"/>
    </row>
    <row r="118" spans="1:31" s="13" customFormat="1" hidden="1" x14ac:dyDescent="0.2">
      <c r="B118" s="8"/>
      <c r="C118" s="9"/>
      <c r="D118" s="9"/>
      <c r="E118" s="9"/>
      <c r="F118" s="11"/>
      <c r="G118" s="11"/>
      <c r="H118" s="11"/>
      <c r="I118" s="9"/>
      <c r="J118" s="9"/>
      <c r="K118" s="9"/>
      <c r="S118" s="11"/>
      <c r="T118" s="9"/>
      <c r="U118" s="9"/>
      <c r="V118" s="16"/>
      <c r="W118" s="9"/>
      <c r="X118" s="15"/>
      <c r="Y118" s="9"/>
      <c r="Z118" s="9"/>
      <c r="AA118" s="9"/>
      <c r="AB118" s="9"/>
      <c r="AC118" s="14"/>
      <c r="AD118" s="14"/>
      <c r="AE118" s="14"/>
    </row>
    <row r="119" spans="1:31" s="13" customFormat="1" ht="15" hidden="1" x14ac:dyDescent="0.25">
      <c r="B119" s="29"/>
      <c r="C119" s="30"/>
      <c r="D119"/>
      <c r="E119" s="31"/>
      <c r="F119" s="32"/>
      <c r="G119" s="33"/>
      <c r="H119" s="32"/>
      <c r="I119"/>
      <c r="J119" s="31"/>
      <c r="K119" s="32"/>
      <c r="L119"/>
      <c r="M119"/>
      <c r="N119"/>
      <c r="O119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0"/>
      <c r="AA119" s="30"/>
      <c r="AB119" s="32"/>
      <c r="AC119" s="34"/>
      <c r="AD119" s="34"/>
      <c r="AE119" s="35"/>
    </row>
    <row r="120" spans="1:31" s="13" customFormat="1" ht="15" hidden="1" x14ac:dyDescent="0.25">
      <c r="B120" s="43" t="s">
        <v>51</v>
      </c>
      <c r="C120" s="39" t="s">
        <v>61</v>
      </c>
      <c r="D120" s="30">
        <v>1.05</v>
      </c>
      <c r="E120" s="31">
        <f>ROUND(SUM($D120:D$120),2)</f>
        <v>1.05</v>
      </c>
      <c r="F120" s="44">
        <v>10</v>
      </c>
      <c r="G120" s="33">
        <f>ROUND(SUM($F120:F$120),2)</f>
        <v>10</v>
      </c>
      <c r="H120" s="44">
        <f>ROUND(84.55/(G120+13)^0.882,1)</f>
        <v>5.3</v>
      </c>
      <c r="I120" s="30">
        <v>0.7</v>
      </c>
      <c r="J120" s="31">
        <f>ROUND(J118+D120*I120,2)</f>
        <v>0.74</v>
      </c>
      <c r="K120" s="31">
        <f>ROUND(J120*H120,2)</f>
        <v>3.92</v>
      </c>
      <c r="L120"/>
      <c r="M120"/>
      <c r="N120"/>
      <c r="O120"/>
      <c r="P120"/>
      <c r="Q120"/>
      <c r="R120"/>
      <c r="S120" s="33">
        <f>ROUND(95.736/($G$131+14)^0.871,1)</f>
        <v>5.9</v>
      </c>
      <c r="T120" s="31">
        <f>ROUND(J120*S120,2)</f>
        <v>4.37</v>
      </c>
      <c r="U120" s="31">
        <f>ROUND(IF((T120*$C$101)/((L121/12)^(8/3)*P121^0.5)&lt;0.463,(VLOOKUP((T120*$C$101)/((L121/12)^(8/3)*P121^0.5),$C$5:$E$97,2,1))*L121/12,L121/12),2)</f>
        <v>0.44</v>
      </c>
      <c r="V120" s="37">
        <f>ROUND((T120/((0.46/$C$101)*(L121/12)^(8/3)))^2,4)</f>
        <v>6.1999999999999998E-3</v>
      </c>
      <c r="W120" s="31">
        <f>ROUND(V120*M121,2)</f>
        <v>0.26</v>
      </c>
      <c r="X120" s="38">
        <f>ROUND(IF(N121+U120+(IF(Y120&gt;0,Y120,0))&gt;Z122+(IF(Y120&gt;0,Y120,0)),(IF(U120&lt;(L121/12),1,2)),3),0)</f>
        <v>1</v>
      </c>
      <c r="Y120" s="31">
        <f>ROUND((V120-P121)*M121,2)</f>
        <v>-3.11</v>
      </c>
      <c r="Z120" s="31">
        <f>ROUND(IF(N121+U120+(IF(Y120&gt;0,Y120,0))&gt;Z122+(IF(Y120&gt;0,Y120,0)),N121+U120+(IF(Y120&gt;0,Y120,0)),Z122+(IF(Y120&gt;0,Y120,0))),2)</f>
        <v>579.23</v>
      </c>
      <c r="AA120" s="30">
        <v>577.55999999999995</v>
      </c>
      <c r="AB120" s="39" t="s">
        <v>57</v>
      </c>
      <c r="AC120" s="34">
        <f>R121-K120</f>
        <v>11.93</v>
      </c>
      <c r="AD120" s="34">
        <f>AA120-Z120</f>
        <v>-1.6700000000000728</v>
      </c>
      <c r="AE120" s="40">
        <f>AA120-N121</f>
        <v>-1.2300000000000182</v>
      </c>
    </row>
    <row r="121" spans="1:31" s="13" customFormat="1" ht="15" hidden="1" x14ac:dyDescent="0.25">
      <c r="B121" s="43"/>
      <c r="C121" s="32"/>
      <c r="D121" s="30"/>
      <c r="E121"/>
      <c r="F121" s="44">
        <f>ROUND(+M121/Q121/60,1)</f>
        <v>0.1</v>
      </c>
      <c r="G121"/>
      <c r="H121"/>
      <c r="I121"/>
      <c r="J121"/>
      <c r="K121"/>
      <c r="L121" s="41">
        <v>15</v>
      </c>
      <c r="M121">
        <v>42</v>
      </c>
      <c r="N121" s="42">
        <v>578.79</v>
      </c>
      <c r="O121" s="42">
        <f>N128+(L128-L121)/12</f>
        <v>575.41999999999996</v>
      </c>
      <c r="P121" s="45">
        <f>ROUND((N121-O121)/M121,4)</f>
        <v>8.0199999999999994E-2</v>
      </c>
      <c r="Q121" s="30">
        <f>ROUND(IF((K120*$C$101)/((L121/12)^(8/3)*P121^0.5)&lt;0.463,(K120/((VLOOKUP((K120*$C$101)/((L121/12)^(8/3)*P121^0.5),$C$5:$E$97,3,1))*(L121/12)^2)),(R121/(PI()*((L121/12)/2)^2))),2)</f>
        <v>11.1</v>
      </c>
      <c r="R121" s="30">
        <f>ROUND(((L121/12)^(8/3))*((P121^0.5))*0.463/$C$101,2)</f>
        <v>15.85</v>
      </c>
      <c r="S121"/>
      <c r="T121"/>
      <c r="U121" s="32"/>
      <c r="V121" s="32"/>
      <c r="W121" s="32"/>
      <c r="X121" s="32"/>
      <c r="Y121" s="32"/>
      <c r="Z121" s="32"/>
      <c r="AA121" s="32"/>
      <c r="AB121" s="32"/>
      <c r="AC121" s="35"/>
      <c r="AD121" s="35"/>
      <c r="AE121" s="35"/>
    </row>
    <row r="122" spans="1:31" s="13" customFormat="1" ht="15" hidden="1" x14ac:dyDescent="0.25">
      <c r="B122" s="43" t="str">
        <f>B127</f>
        <v>D?</v>
      </c>
      <c r="C122" s="39" t="str">
        <f>C127</f>
        <v>SR 32 EB Sta. 253+24.18, 40.00' Lt.</v>
      </c>
      <c r="D122" s="30"/>
      <c r="E122" s="31">
        <f>ROUND(SUM($D120:D$122),2)</f>
        <v>1.05</v>
      </c>
      <c r="F122" s="44"/>
      <c r="G122" s="33">
        <f>ROUND(SUM($F$120:F122),2)</f>
        <v>10.1</v>
      </c>
      <c r="H122" s="44"/>
      <c r="I122" s="30"/>
      <c r="J122" s="46">
        <f>ROUND(J120+D122*I122,2)</f>
        <v>0.74</v>
      </c>
      <c r="K122" s="31"/>
      <c r="L122"/>
      <c r="M122"/>
      <c r="N122" s="36"/>
      <c r="O122" s="36"/>
      <c r="P122"/>
      <c r="Q122"/>
      <c r="R122"/>
      <c r="S122" s="33"/>
      <c r="T122" s="31"/>
      <c r="U122" s="31"/>
      <c r="V122" s="37"/>
      <c r="W122" s="31"/>
      <c r="X122" s="38"/>
      <c r="Y122" s="31"/>
      <c r="Z122" s="31">
        <f>Z127</f>
        <v>574.54</v>
      </c>
      <c r="AA122" s="30">
        <f>AA127</f>
        <v>578.95000000000005</v>
      </c>
      <c r="AB122" s="39" t="str">
        <f>AB127</f>
        <v>MH-3-72</v>
      </c>
      <c r="AC122" s="34">
        <f>R123-K122</f>
        <v>0</v>
      </c>
      <c r="AD122" s="34">
        <f>AA122-Z122</f>
        <v>4.4100000000000819</v>
      </c>
      <c r="AE122" s="40">
        <f>AA122-N123</f>
        <v>578.95000000000005</v>
      </c>
    </row>
    <row r="123" spans="1:31" s="13" customFormat="1" ht="15" hidden="1" x14ac:dyDescent="0.25">
      <c r="B123" s="29"/>
      <c r="C123" s="30"/>
      <c r="D123"/>
      <c r="E123" s="31"/>
      <c r="F123" s="32"/>
      <c r="G123" s="33"/>
      <c r="H123" s="32"/>
      <c r="I123"/>
      <c r="J123" s="31"/>
      <c r="K123" s="32"/>
      <c r="L123"/>
      <c r="M123"/>
      <c r="N123"/>
      <c r="O123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0"/>
      <c r="AA123" s="30"/>
      <c r="AB123" s="32"/>
      <c r="AC123" s="34"/>
      <c r="AD123" s="34"/>
      <c r="AE123" s="35"/>
    </row>
    <row r="124" spans="1:31" s="13" customFormat="1" ht="15" hidden="1" x14ac:dyDescent="0.25">
      <c r="B124" s="29"/>
      <c r="C124" s="30"/>
      <c r="D124"/>
      <c r="E124" s="31"/>
      <c r="F124" s="32"/>
      <c r="G124" s="33"/>
      <c r="H124" s="32"/>
      <c r="I124"/>
      <c r="J124" s="31"/>
      <c r="K124" s="32"/>
      <c r="L124"/>
      <c r="M124"/>
      <c r="N124"/>
      <c r="O124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0"/>
      <c r="AA124" s="30"/>
      <c r="AB124" s="32"/>
      <c r="AC124" s="34"/>
      <c r="AD124" s="34"/>
      <c r="AE124" s="35"/>
    </row>
    <row r="125" spans="1:31" s="13" customFormat="1" ht="15" hidden="1" x14ac:dyDescent="0.25">
      <c r="B125" s="43" t="s">
        <v>51</v>
      </c>
      <c r="C125" s="39" t="s">
        <v>62</v>
      </c>
      <c r="D125" s="30">
        <v>30</v>
      </c>
      <c r="E125" s="31">
        <f>ROUND(SUM($D125:D$125),2)</f>
        <v>30</v>
      </c>
      <c r="F125" s="44">
        <v>10</v>
      </c>
      <c r="G125" s="33">
        <f>ROUND(SUM($F125:F$125),2)</f>
        <v>10</v>
      </c>
      <c r="H125" s="44">
        <f>ROUND(84.55/(G125+13)^0.882,1)</f>
        <v>5.3</v>
      </c>
      <c r="I125" s="30">
        <v>0.47</v>
      </c>
      <c r="J125" s="31">
        <f>ROUND(J123+D125*I125,2)</f>
        <v>14.1</v>
      </c>
      <c r="K125" s="31">
        <f>ROUND(J125*H125,2)</f>
        <v>74.73</v>
      </c>
      <c r="L125"/>
      <c r="M125"/>
      <c r="N125"/>
      <c r="O125"/>
      <c r="P125"/>
      <c r="Q125"/>
      <c r="R125"/>
      <c r="S125" s="33">
        <f>ROUND(95.736/($G$131+14)^0.871,1)</f>
        <v>5.9</v>
      </c>
      <c r="T125" s="31">
        <f>ROUND(J125*S125,2)</f>
        <v>83.19</v>
      </c>
      <c r="U125" s="31">
        <f>ROUND(IF((T125*$C$101)/((L126/12)^(8/3)*P126^0.5)&lt;0.463,(VLOOKUP((T125*$C$101)/((L126/12)^(8/3)*P126^0.5),$C$5:$E$97,2,1))*L126/12,L126/12),2)</f>
        <v>1.02</v>
      </c>
      <c r="V125" s="37">
        <f>ROUND((T125/((0.46/$C$101)*(L126/12)^(8/3)))^2,4)</f>
        <v>9.1999999999999998E-3</v>
      </c>
      <c r="W125" s="31">
        <f>ROUND(V125*M126,2)</f>
        <v>0.24</v>
      </c>
      <c r="X125" s="38">
        <f>ROUND(IF(N126+U125+(IF(Y125&gt;0,Y125,0))&gt;Z127+(IF(Y125&gt;0,Y125,0)),(IF(U125&lt;(L126/12),1,2)),3),0)</f>
        <v>1</v>
      </c>
      <c r="Y125" s="31">
        <f>ROUND((V125-P126)*M126,2)</f>
        <v>-5.98</v>
      </c>
      <c r="Z125" s="31">
        <f>ROUND(IF(N126+U125+(IF(Y125&gt;0,Y125,0))&gt;Z127+(IF(Y125&gt;0,Y125,0)),N126+U125+(IF(Y125&gt;0,Y125,0)),Z127+(IF(Y125&gt;0,Y125,0))),2)</f>
        <v>580.4</v>
      </c>
      <c r="AA125" s="30">
        <v>580</v>
      </c>
      <c r="AB125" s="39" t="s">
        <v>57</v>
      </c>
      <c r="AC125" s="34">
        <f>R126-K125</f>
        <v>354.59</v>
      </c>
      <c r="AD125" s="34">
        <f>AA125-Z125</f>
        <v>-0.39999999999997726</v>
      </c>
      <c r="AE125" s="40">
        <f>AA125-N126</f>
        <v>0.62000000000000455</v>
      </c>
    </row>
    <row r="126" spans="1:31" s="13" customFormat="1" ht="15" hidden="1" x14ac:dyDescent="0.25">
      <c r="B126" s="43"/>
      <c r="C126" s="32"/>
      <c r="D126" s="30"/>
      <c r="E126"/>
      <c r="F126" s="44">
        <f>ROUND(+M126/Q126/60,1)</f>
        <v>0</v>
      </c>
      <c r="G126"/>
      <c r="H126"/>
      <c r="I126"/>
      <c r="J126"/>
      <c r="K126"/>
      <c r="L126" s="41">
        <v>42</v>
      </c>
      <c r="M126">
        <v>25.6</v>
      </c>
      <c r="N126" s="42">
        <v>579.38</v>
      </c>
      <c r="O126" s="49">
        <v>573.16999999999996</v>
      </c>
      <c r="P126" s="45">
        <f>ROUND((N126-O126)/M126,4)</f>
        <v>0.24260000000000001</v>
      </c>
      <c r="Q126" s="30">
        <f>ROUND(IF((K125*$C$101)/((L126/12)^(8/3)*P126^0.5)&lt;0.463,(K125/((VLOOKUP((K125*$C$101)/((L126/12)^(8/3)*P126^0.5),$C$5:$E$97,3,1))*(L126/12)^2)),(R126/(PI()*((L126/12)/2)^2))),2)</f>
        <v>33.89</v>
      </c>
      <c r="R126" s="30">
        <f>ROUND(((L126/12)^(8/3))*((P126^0.5))*0.463/$C$101,2)</f>
        <v>429.32</v>
      </c>
      <c r="S126"/>
      <c r="T126"/>
      <c r="U126" s="32"/>
      <c r="V126" s="32"/>
      <c r="W126" s="32"/>
      <c r="X126" s="32"/>
      <c r="Y126" s="32"/>
      <c r="Z126" s="32"/>
      <c r="AA126" s="32"/>
      <c r="AB126" s="32"/>
      <c r="AC126" s="35"/>
      <c r="AD126" s="35"/>
      <c r="AE126" s="35"/>
    </row>
    <row r="127" spans="1:31" s="13" customFormat="1" ht="15" hidden="1" x14ac:dyDescent="0.25">
      <c r="B127" s="43" t="s">
        <v>51</v>
      </c>
      <c r="C127" s="39" t="s">
        <v>60</v>
      </c>
      <c r="D127" s="30"/>
      <c r="E127" s="31">
        <f>ROUND(SUM($D$125:D127),2)</f>
        <v>30</v>
      </c>
      <c r="F127" s="44"/>
      <c r="G127" s="33">
        <f>ROUND(SUM($F$125:F127),2)</f>
        <v>10</v>
      </c>
      <c r="H127" s="44">
        <f>ROUND(84.55/(G127+13)^0.882,1)</f>
        <v>5.3</v>
      </c>
      <c r="I127" s="30"/>
      <c r="J127" s="47">
        <f>ROUND(J125+D127*I127,2)+J122</f>
        <v>14.84</v>
      </c>
      <c r="K127" s="31">
        <f>ROUND(J127*H127,2)</f>
        <v>78.650000000000006</v>
      </c>
      <c r="L127"/>
      <c r="M127"/>
      <c r="N127" s="36"/>
      <c r="O127" s="36"/>
      <c r="P127"/>
      <c r="Q127"/>
      <c r="R127"/>
      <c r="S127" s="33">
        <f>ROUND(95.736/($G$131+14)^0.871,1)</f>
        <v>5.9</v>
      </c>
      <c r="T127" s="31">
        <f>ROUND(J127*S127,2)</f>
        <v>87.56</v>
      </c>
      <c r="U127" s="31">
        <f>ROUND(IF((T127*$C$101)/((L128/12)^(8/3)*P128^0.5)&lt;0.463,(VLOOKUP((T127*$C$101)/((L128/12)^(8/3)*P128^0.5),$C$5:$E$97,2,1))*L128/12,L128/12),2)</f>
        <v>1.37</v>
      </c>
      <c r="V127" s="37">
        <f>ROUND((T127/((0.46/$C$101)*(L128/12)^(8/3)))^2,4)</f>
        <v>1.0200000000000001E-2</v>
      </c>
      <c r="W127" s="31">
        <f>ROUND(V127*M128,2)</f>
        <v>0.63</v>
      </c>
      <c r="X127" s="38">
        <f>ROUND(IF(N128+U127+(IF(Y127&gt;0,Y127,0))&gt;Z129+(IF(Y127&gt;0,Y127,0)),(IF(U127&lt;(L128/12),1,2)),3),0)</f>
        <v>1</v>
      </c>
      <c r="Y127" s="31">
        <f>ROUND((V127-P128)*M128,2)</f>
        <v>-4.91</v>
      </c>
      <c r="Z127" s="31">
        <f>ROUND(IF(N128+U127+(IF(Y127&gt;0,Y127,0))&gt;Z129+(IF(Y127&gt;0,Y127,0)),N128+U127+(IF(Y127&gt;0,Y127,0)),Z129+(IF(Y127&gt;0,Y127,0))),2)</f>
        <v>574.54</v>
      </c>
      <c r="AA127" s="30">
        <v>578.95000000000005</v>
      </c>
      <c r="AB127" s="39" t="s">
        <v>58</v>
      </c>
      <c r="AC127" s="34">
        <f>R128-K127</f>
        <v>182.70000000000002</v>
      </c>
      <c r="AD127" s="34">
        <f>AA127-Z127</f>
        <v>4.4100000000000819</v>
      </c>
      <c r="AE127" s="40">
        <f>AA127-N128</f>
        <v>5.7800000000000864</v>
      </c>
    </row>
    <row r="128" spans="1:31" s="13" customFormat="1" ht="15" hidden="1" x14ac:dyDescent="0.25">
      <c r="B128" s="43"/>
      <c r="C128" s="32"/>
      <c r="D128" s="30"/>
      <c r="E128"/>
      <c r="F128" s="44">
        <f>ROUND(+M128/Q128/60,1)</f>
        <v>0</v>
      </c>
      <c r="G128"/>
      <c r="H128"/>
      <c r="I128"/>
      <c r="J128"/>
      <c r="K128"/>
      <c r="L128" s="41">
        <v>42</v>
      </c>
      <c r="M128">
        <v>61.6</v>
      </c>
      <c r="N128" s="49">
        <v>573.16999999999996</v>
      </c>
      <c r="O128" s="49">
        <v>567.63</v>
      </c>
      <c r="P128" s="45">
        <f>ROUND((N128-O128)/M128,4)</f>
        <v>8.9899999999999994E-2</v>
      </c>
      <c r="Q128" s="30">
        <f>ROUND(IF((K127*$C$101)/((L128/12)^(8/3)*P128^0.5)&lt;0.463,(K127/((VLOOKUP((K127*$C$101)/((L128/12)^(8/3)*P128^0.5),$C$5:$E$97,3,1))*(L128/12)^2)),(R128/(PI()*((L128/12)/2)^2))),2)</f>
        <v>24.3</v>
      </c>
      <c r="R128" s="30">
        <f>ROUND(((L128/12)^(8/3))*((P128^0.5))*0.463/$C$101,2)</f>
        <v>261.35000000000002</v>
      </c>
      <c r="S128"/>
      <c r="T128"/>
      <c r="U128" s="32"/>
      <c r="V128" s="32"/>
      <c r="W128" s="32"/>
      <c r="X128" s="32"/>
      <c r="Y128" s="32"/>
      <c r="Z128" s="32"/>
      <c r="AA128" s="32"/>
      <c r="AB128" s="32"/>
      <c r="AC128" s="35"/>
      <c r="AD128" s="35"/>
      <c r="AE128" s="35"/>
    </row>
    <row r="129" spans="2:31" s="13" customFormat="1" ht="15" hidden="1" x14ac:dyDescent="0.25">
      <c r="B129" s="43" t="s">
        <v>51</v>
      </c>
      <c r="C129" s="13" t="s">
        <v>54</v>
      </c>
      <c r="D129" s="30"/>
      <c r="E129" s="31">
        <f>ROUND(SUM($D$125:D129),2)</f>
        <v>30</v>
      </c>
      <c r="F129" s="44"/>
      <c r="G129" s="33">
        <f>ROUND(SUM($F$125:F129),2)</f>
        <v>10</v>
      </c>
      <c r="H129" s="44">
        <f>ROUND(84.55/(G129+13)^0.882,1)</f>
        <v>5.3</v>
      </c>
      <c r="I129" s="30"/>
      <c r="J129" s="48">
        <f>ROUND(J127+D129*I129,2)+J117</f>
        <v>15.23</v>
      </c>
      <c r="K129" s="31">
        <f>ROUND(J129*H129,2)</f>
        <v>80.72</v>
      </c>
      <c r="L129"/>
      <c r="M129"/>
      <c r="N129" s="36"/>
      <c r="O129" s="36"/>
      <c r="P129"/>
      <c r="Q129"/>
      <c r="R129"/>
      <c r="S129" s="33">
        <f>ROUND(95.736/($G$131+14)^0.871,1)</f>
        <v>5.9</v>
      </c>
      <c r="T129" s="31">
        <f>ROUND(J129*S129,2)</f>
        <v>89.86</v>
      </c>
      <c r="U129" s="31">
        <f>ROUND(IF((T129*$C$101)/((L130/12)^(8/3)*P130^0.5)&lt;0.463,(VLOOKUP((T129*$C$101)/((L130/12)^(8/3)*P130^0.5),$C$5:$E$97,2,1))*L130/12,L130/12),2)</f>
        <v>2.66</v>
      </c>
      <c r="V129" s="37">
        <f>ROUND((T129/((0.46/$C$101)*(L130/12)^(8/3)))^2,4)</f>
        <v>1.0800000000000001E-2</v>
      </c>
      <c r="W129" s="31">
        <f>ROUND(V129*M130,2)</f>
        <v>2.6</v>
      </c>
      <c r="X129" s="38">
        <f>ROUND(IF(N130+U129+(IF(Y129&gt;0,Y129,0))&gt;Z131+(IF(Y129&gt;0,Y129,0)),(IF(U129&lt;(L130/12),1,2)),3),0)</f>
        <v>1</v>
      </c>
      <c r="Y129" s="31">
        <f>ROUND((V129-P130)*M130,2)</f>
        <v>-0.31</v>
      </c>
      <c r="Z129" s="31">
        <f>ROUND(IF(N130+U129+(IF(Y129&gt;0,Y129,0))&gt;Z131+(IF(Y129&gt;0,Y129,0)),N130+U129+(IF(Y129&gt;0,Y129,0)),Z131+(IF(Y129&gt;0,Y129,0))),2)</f>
        <v>569.96</v>
      </c>
      <c r="AA129" s="30">
        <v>576.75</v>
      </c>
      <c r="AB129" s="39" t="s">
        <v>58</v>
      </c>
      <c r="AC129" s="34">
        <f>R130-K129</f>
        <v>15.159999999999997</v>
      </c>
      <c r="AD129" s="34">
        <f>AA129-Z129</f>
        <v>6.7899999999999636</v>
      </c>
      <c r="AE129" s="40">
        <f>AA129-N130</f>
        <v>9.4500000000000455</v>
      </c>
    </row>
    <row r="130" spans="2:31" s="13" customFormat="1" ht="15" hidden="1" x14ac:dyDescent="0.25">
      <c r="B130" s="43"/>
      <c r="C130" s="32"/>
      <c r="D130" s="30"/>
      <c r="E130"/>
      <c r="F130" s="44">
        <f>ROUND(+M130/Q130/60,1)</f>
        <v>0.4</v>
      </c>
      <c r="G130"/>
      <c r="H130"/>
      <c r="I130"/>
      <c r="J130"/>
      <c r="K130"/>
      <c r="L130" s="41">
        <v>42</v>
      </c>
      <c r="M130">
        <v>240.3</v>
      </c>
      <c r="N130" s="49">
        <v>567.29999999999995</v>
      </c>
      <c r="O130" s="49">
        <v>564.39</v>
      </c>
      <c r="P130" s="45">
        <f>ROUND((N130-O130)/M130,4)</f>
        <v>1.21E-2</v>
      </c>
      <c r="Q130" s="30">
        <f>ROUND(IF((K129*$C$101)/((L130/12)^(8/3)*P130^0.5)&lt;0.463,(K129/((VLOOKUP((K129*$C$101)/((L130/12)^(8/3)*P130^0.5),$C$5:$E$97,3,1))*(L130/12)^2)),(R130/(PI()*((L130/12)/2)^2))),2)</f>
        <v>11.22</v>
      </c>
      <c r="R130" s="30">
        <f>ROUND(((L130/12)^(8/3))*((P130^0.5))*0.463/$C$101,2)</f>
        <v>95.88</v>
      </c>
      <c r="S130"/>
      <c r="T130"/>
      <c r="U130" s="32"/>
      <c r="V130" s="32"/>
      <c r="W130" s="32"/>
      <c r="X130" s="32"/>
      <c r="Y130" s="32"/>
      <c r="Z130" s="32"/>
      <c r="AA130" s="32"/>
      <c r="AB130" s="32"/>
      <c r="AC130" s="35"/>
      <c r="AD130" s="35"/>
      <c r="AE130" s="35"/>
    </row>
    <row r="131" spans="2:31" s="13" customFormat="1" ht="15" hidden="1" x14ac:dyDescent="0.25">
      <c r="B131" s="43" t="s">
        <v>51</v>
      </c>
      <c r="C131" s="39" t="s">
        <v>59</v>
      </c>
      <c r="D131" s="30"/>
      <c r="E131" s="31">
        <f>ROUND(SUM($D$125:D131),2)</f>
        <v>30</v>
      </c>
      <c r="F131" s="44"/>
      <c r="G131" s="33">
        <f>ROUND(SUM($F$125:F131),2)</f>
        <v>10.4</v>
      </c>
      <c r="H131" s="44"/>
      <c r="I131" s="30"/>
      <c r="J131" s="31">
        <f>ROUND(J129+D131*I131,2)</f>
        <v>15.23</v>
      </c>
      <c r="K131" s="31"/>
      <c r="L131"/>
      <c r="M131"/>
      <c r="N131"/>
      <c r="O131"/>
      <c r="P131"/>
      <c r="Q131"/>
      <c r="R131"/>
      <c r="S131" s="33"/>
      <c r="T131" s="31"/>
      <c r="U131" s="31"/>
      <c r="V131" s="37"/>
      <c r="W131" s="31"/>
      <c r="X131" s="39"/>
      <c r="Y131" s="31"/>
      <c r="Z131" s="31">
        <v>564.39</v>
      </c>
      <c r="AA131" s="30">
        <f>O130</f>
        <v>564.39</v>
      </c>
      <c r="AB131" s="39" t="s">
        <v>57</v>
      </c>
      <c r="AC131" s="34">
        <f>R132-K131</f>
        <v>0</v>
      </c>
      <c r="AD131" s="34">
        <f>AA131-Z131</f>
        <v>0</v>
      </c>
      <c r="AE131" s="40"/>
    </row>
    <row r="132" spans="2:31" s="13" customFormat="1" ht="15" hidden="1" x14ac:dyDescent="0.25">
      <c r="B132" s="29"/>
      <c r="C132"/>
      <c r="D132" s="30"/>
      <c r="E132"/>
      <c r="F132" s="44"/>
      <c r="G132"/>
      <c r="H132"/>
      <c r="I132"/>
      <c r="J132"/>
      <c r="K132"/>
      <c r="L132" s="41"/>
      <c r="M132"/>
      <c r="N132" s="49"/>
      <c r="O132" s="30"/>
      <c r="P132" s="45"/>
      <c r="Q132" s="30"/>
      <c r="R132" s="30"/>
      <c r="S132"/>
      <c r="T132"/>
      <c r="U132"/>
      <c r="V132"/>
      <c r="W132"/>
      <c r="X132"/>
      <c r="Y132"/>
      <c r="Z132"/>
      <c r="AA132"/>
      <c r="AB132" s="32"/>
      <c r="AC132" s="35"/>
      <c r="AD132" s="35"/>
      <c r="AE132" s="35"/>
    </row>
    <row r="133" spans="2:31" s="13" customFormat="1" ht="15" hidden="1" x14ac:dyDescent="0.25">
      <c r="B133" s="29"/>
      <c r="C133" s="36"/>
      <c r="D133" s="30"/>
      <c r="E133" s="30"/>
      <c r="F133" s="44"/>
      <c r="G133" s="44"/>
      <c r="H133" s="44"/>
      <c r="I133" s="30"/>
      <c r="J133" s="30"/>
      <c r="K133" s="30"/>
      <c r="L133"/>
      <c r="M133"/>
      <c r="N133"/>
      <c r="O133"/>
      <c r="P133"/>
      <c r="Q133"/>
      <c r="R133"/>
      <c r="S133" s="44"/>
      <c r="T133" s="30"/>
      <c r="U133" s="30"/>
      <c r="V133" s="45"/>
      <c r="W133" s="30"/>
      <c r="X133" s="41"/>
      <c r="Y133" s="30"/>
      <c r="Z133" s="30"/>
      <c r="AA133" s="30"/>
      <c r="AB133" s="39"/>
      <c r="AC133" s="34"/>
      <c r="AD133" s="34"/>
      <c r="AE133" s="35"/>
    </row>
    <row r="134" spans="2:31" s="13" customFormat="1" ht="15" x14ac:dyDescent="0.25">
      <c r="B134" s="27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</row>
    <row r="135" spans="2:31" s="13" customFormat="1" ht="15" x14ac:dyDescent="0.25">
      <c r="B135" s="43"/>
      <c r="C135" s="13" t="s">
        <v>107</v>
      </c>
      <c r="D135" s="30">
        <v>0.32</v>
      </c>
      <c r="E135" s="30">
        <f>D135</f>
        <v>0.32</v>
      </c>
      <c r="F135" s="44">
        <v>10</v>
      </c>
      <c r="G135" s="44">
        <f>ROUND(SUM($F$114:F135),2)</f>
        <v>40.799999999999997</v>
      </c>
      <c r="H135" s="44">
        <v>5.3</v>
      </c>
      <c r="I135" s="30">
        <v>0.9</v>
      </c>
      <c r="J135" s="50">
        <f>ROUND(D135*I135,2)</f>
        <v>0.28999999999999998</v>
      </c>
      <c r="K135" s="30">
        <f>ROUND(J135*H135,2)</f>
        <v>1.54</v>
      </c>
      <c r="L135"/>
      <c r="M135"/>
      <c r="N135" s="36"/>
      <c r="O135" s="36"/>
      <c r="P135"/>
      <c r="Q135"/>
      <c r="R135"/>
      <c r="S135" s="44">
        <f>ROUND(95.736/($G$118+14)^0.871,1)</f>
        <v>9.6</v>
      </c>
      <c r="T135" s="30">
        <f>ROUND(J135*S135,2)</f>
        <v>2.78</v>
      </c>
      <c r="U135" s="30">
        <f>ROUND(IF((T135*$C$101)/((L136/12)^(8/3)*P136^0.5)&lt;0.463,(VLOOKUP((T135*$C$101)/((L136/12)^(8/3)*P136^0.5),$C$5:$E$97,2,1))*L136/12,L136/12),2)</f>
        <v>0.39</v>
      </c>
      <c r="V135" s="45">
        <f>ROUND((T135/((0.46/$C$101)*(L136/12)^(8/3)))^2,4)</f>
        <v>8.2000000000000007E-3</v>
      </c>
      <c r="W135" s="30">
        <f>ROUND(V135*M136,2)</f>
        <v>0.26</v>
      </c>
      <c r="X135" s="41">
        <f>ROUND(IF(N136+U135+(IF(Y135&gt;0,Y135,0))&gt;Z137+(IF(Y135&gt;0,Y135,0)),(IF(U135&lt;(L136/12),1,2)),3),0)</f>
        <v>1</v>
      </c>
      <c r="Y135" s="30">
        <f>ROUND((V135-P136)*M136,2)</f>
        <v>-2.23</v>
      </c>
      <c r="Z135" s="30">
        <v>509.38</v>
      </c>
      <c r="AA135" s="30">
        <v>512.23</v>
      </c>
      <c r="AB135" s="59" t="s">
        <v>98</v>
      </c>
      <c r="AC135" s="34">
        <f>R136-K135</f>
        <v>7.0699999999999994</v>
      </c>
      <c r="AD135" s="34">
        <f>AA135-Z135</f>
        <v>2.8500000000000227</v>
      </c>
      <c r="AE135" s="40">
        <f>AA135-N136</f>
        <v>1.5</v>
      </c>
    </row>
    <row r="136" spans="2:31" s="13" customFormat="1" ht="15" x14ac:dyDescent="0.25">
      <c r="B136" s="43"/>
      <c r="C136" s="32"/>
      <c r="D136" s="30"/>
      <c r="E136"/>
      <c r="F136" s="44">
        <v>0</v>
      </c>
      <c r="G136"/>
      <c r="H136"/>
      <c r="I136"/>
      <c r="J136"/>
      <c r="K136" s="30"/>
      <c r="L136" s="41">
        <v>12</v>
      </c>
      <c r="M136">
        <v>32</v>
      </c>
      <c r="N136" s="50">
        <v>510.73</v>
      </c>
      <c r="O136" s="50">
        <v>508.24</v>
      </c>
      <c r="P136" s="45">
        <f>ROUND((N136-O136)/M136,4)</f>
        <v>7.7799999999999994E-2</v>
      </c>
      <c r="Q136" s="30">
        <f>ROUND(IF((K135*$C$101)/((L136/12)^(8/3)*P136^0.5)&lt;0.463,(K135/((VLOOKUP((K135*$C$101)/((L136/12)^(8/3)*P136^0.5),$C$5:$E$97,3,1))*(L136/12)^2)),(R136/(PI()*((L136/12)/2)^2))),2)</f>
        <v>8.56</v>
      </c>
      <c r="R136" s="30">
        <f>ROUND(((L136/12)^(8/3))*((P136^0.5))*0.463/$C$101,2)</f>
        <v>8.61</v>
      </c>
      <c r="S136" s="44"/>
      <c r="T136" s="30"/>
      <c r="U136" s="30"/>
      <c r="V136" s="45"/>
      <c r="W136" s="30"/>
      <c r="X136" s="41"/>
      <c r="Y136" s="30"/>
      <c r="Z136" s="30"/>
      <c r="AA136"/>
      <c r="AB136" s="60"/>
      <c r="AC136" s="35"/>
      <c r="AD136" s="35"/>
      <c r="AE136" s="40"/>
    </row>
    <row r="137" spans="2:31" s="13" customFormat="1" ht="15" x14ac:dyDescent="0.25">
      <c r="B137" s="43" t="s">
        <v>97</v>
      </c>
      <c r="C137" s="13" t="s">
        <v>108</v>
      </c>
      <c r="D137" s="30"/>
      <c r="E137" s="30">
        <f>ROUND(SUM($D$108:D137),2)</f>
        <v>32.74</v>
      </c>
      <c r="F137" s="44"/>
      <c r="G137" s="44">
        <f>ROUND(SUM($F$108:F137),2)</f>
        <v>51</v>
      </c>
      <c r="H137" s="44"/>
      <c r="I137" s="30"/>
      <c r="J137" s="30">
        <f>ROUND(J135+D137*I137,2)</f>
        <v>0.28999999999999998</v>
      </c>
      <c r="K137" s="30"/>
      <c r="L137"/>
      <c r="M137"/>
      <c r="N137"/>
      <c r="O137"/>
      <c r="P137"/>
      <c r="Q137"/>
      <c r="R137"/>
      <c r="S137" s="44"/>
      <c r="T137" s="30"/>
      <c r="U137" s="30"/>
      <c r="V137" s="45"/>
      <c r="W137" s="30"/>
      <c r="X137" s="41"/>
      <c r="Y137" s="30"/>
      <c r="Z137" s="30">
        <v>507.01</v>
      </c>
      <c r="AA137" s="30">
        <v>510</v>
      </c>
      <c r="AB137" s="59" t="s">
        <v>49</v>
      </c>
      <c r="AC137" s="34">
        <f>R137-K137</f>
        <v>0</v>
      </c>
      <c r="AD137" s="34">
        <f>AA137-Z137</f>
        <v>2.9900000000000091</v>
      </c>
      <c r="AE137" s="40"/>
    </row>
    <row r="138" spans="2:31" s="13" customFormat="1" ht="15" x14ac:dyDescent="0.25">
      <c r="B138" s="43"/>
      <c r="AB138" s="61"/>
    </row>
    <row r="139" spans="2:31" s="13" customFormat="1" x14ac:dyDescent="0.2">
      <c r="B139" s="8"/>
      <c r="AB139" s="61"/>
    </row>
    <row r="140" spans="2:31" s="13" customFormat="1" x14ac:dyDescent="0.2">
      <c r="B140" s="8"/>
      <c r="AB140" s="61"/>
    </row>
    <row r="141" spans="2:31" s="13" customFormat="1" ht="15" x14ac:dyDescent="0.25">
      <c r="B141" s="43" t="s">
        <v>99</v>
      </c>
      <c r="C141" s="13" t="s">
        <v>109</v>
      </c>
      <c r="D141" s="30">
        <v>0.15</v>
      </c>
      <c r="E141" s="30">
        <f>ROUND(SUM($D$114:D141),2)</f>
        <v>32.29</v>
      </c>
      <c r="F141" s="44">
        <v>10</v>
      </c>
      <c r="G141" s="44">
        <f>ROUND(SUM($F$114:F141),2)</f>
        <v>50.8</v>
      </c>
      <c r="H141" s="44">
        <f>ROUND(84.55/(G141+13)^0.882,1)</f>
        <v>2.2000000000000002</v>
      </c>
      <c r="I141" s="30">
        <v>0.9</v>
      </c>
      <c r="J141" s="50">
        <f>ROUND(D141*I141,2)</f>
        <v>0.14000000000000001</v>
      </c>
      <c r="K141" s="54">
        <f>ROUND(J141*H141,2)+6.1</f>
        <v>6.4099999999999993</v>
      </c>
      <c r="L141" s="55" t="s">
        <v>100</v>
      </c>
      <c r="M141"/>
      <c r="N141" s="36"/>
      <c r="O141" s="36"/>
      <c r="P141"/>
      <c r="Q141"/>
      <c r="R141"/>
      <c r="S141" s="44">
        <f>ROUND(95.736/($G$118+14)^0.871,1)</f>
        <v>9.6</v>
      </c>
      <c r="T141" s="54">
        <f>ROUND(J141*S141,2)+6.1</f>
        <v>7.4399999999999995</v>
      </c>
      <c r="U141" s="30">
        <f>ROUND(IF((T141*$C$101)/((L142/12)^(8/3)*P142^0.5)&lt;0.463,(VLOOKUP((T141*$C$101)/((L142/12)^(8/3)*P142^0.5),$C$5:$E$97,2,1))*L142/12,L142/12),2)</f>
        <v>0.66</v>
      </c>
      <c r="V141" s="45">
        <f>ROUND((T141/((0.46/$C$101)*(L142/12)^(8/3)))^2,4)</f>
        <v>5.8900000000000001E-2</v>
      </c>
      <c r="W141" s="30">
        <f>ROUND(V141*M142,2)</f>
        <v>2.1800000000000002</v>
      </c>
      <c r="X141" s="41">
        <f>ROUND(IF(N142+U141+(IF(Y141&gt;0,Y141,0))&gt;Z143+(IF(Y141&gt;0,Y141,0)),(IF(U141&lt;(L142/12),1,2)),3),0)</f>
        <v>1</v>
      </c>
      <c r="Y141" s="30">
        <f>ROUND((V141-P142)*M142,2)</f>
        <v>-1.34</v>
      </c>
      <c r="Z141" s="31">
        <f>ROUND(IF(N142+U141+(IF(Y141&gt;0,Y141,0))&gt;Z143+(IF(Y141&gt;0,Y141,0)),N142+U141+(IF(Y141&gt;0,Y141,0)),Z143+(IF(Y141&gt;0,Y141,0))),2)</f>
        <v>510.18</v>
      </c>
      <c r="AA141" s="30">
        <v>512.1</v>
      </c>
      <c r="AB141" s="59" t="s">
        <v>101</v>
      </c>
      <c r="AC141" s="34">
        <f>R142-K141</f>
        <v>3.1100000000000003</v>
      </c>
      <c r="AD141" s="34">
        <f>AA141-Z141</f>
        <v>1.9200000000000159</v>
      </c>
      <c r="AE141" s="40">
        <f>AA141-N142</f>
        <v>2.5800000000000409</v>
      </c>
    </row>
    <row r="142" spans="2:31" s="13" customFormat="1" ht="15" x14ac:dyDescent="0.25">
      <c r="B142" s="43"/>
      <c r="C142" s="32"/>
      <c r="D142" s="30"/>
      <c r="E142"/>
      <c r="F142" s="44">
        <v>0</v>
      </c>
      <c r="G142"/>
      <c r="H142"/>
      <c r="I142"/>
      <c r="J142"/>
      <c r="K142" s="30"/>
      <c r="L142" s="41">
        <v>12</v>
      </c>
      <c r="M142">
        <v>37</v>
      </c>
      <c r="N142" s="50">
        <v>509.52</v>
      </c>
      <c r="O142" s="50">
        <v>506</v>
      </c>
      <c r="P142" s="45">
        <f>ROUND((N142-O142)/M142,4)</f>
        <v>9.5100000000000004E-2</v>
      </c>
      <c r="Q142" s="30">
        <f>ROUND(IF((K141*$C$101)/((L142/12)^(8/3)*P142^0.5)&lt;0.463,(K141/((VLOOKUP((K141*$C$101)/((L142/12)^(8/3)*P142^0.5),$C$5:$E$97,3,1))*(L142/12)^2)),(R142/(PI()*((L142/12)/2)^2))),2)</f>
        <v>13.03</v>
      </c>
      <c r="R142" s="30">
        <f>ROUND(((L142/12)^(8/3))*((P142^0.5))*0.463/$C$101,2)</f>
        <v>9.52</v>
      </c>
      <c r="S142" s="44"/>
      <c r="T142" s="30"/>
      <c r="U142" s="30"/>
      <c r="V142" s="45"/>
      <c r="W142" s="30"/>
      <c r="X142" s="41"/>
      <c r="Y142" s="30"/>
      <c r="Z142" s="31"/>
      <c r="AA142"/>
      <c r="AB142" s="60"/>
      <c r="AC142" s="35"/>
      <c r="AD142" s="35"/>
      <c r="AE142" s="40"/>
    </row>
    <row r="143" spans="2:31" s="13" customFormat="1" ht="15" x14ac:dyDescent="0.25">
      <c r="B143" s="43" t="s">
        <v>97</v>
      </c>
      <c r="C143" s="13" t="s">
        <v>108</v>
      </c>
      <c r="D143" s="30">
        <v>7.0000000000000007E-2</v>
      </c>
      <c r="E143" s="30">
        <f>ROUND(SUM($D$114:D143),2)</f>
        <v>32.36</v>
      </c>
      <c r="F143" s="44"/>
      <c r="G143" s="44">
        <f>ROUND(SUM($F$114:F143),2)</f>
        <v>50.8</v>
      </c>
      <c r="H143" s="44">
        <f>ROUND(84.55/(G143+13)^0.882,1)</f>
        <v>2.2000000000000002</v>
      </c>
      <c r="I143" s="30">
        <v>0.9</v>
      </c>
      <c r="J143" s="54">
        <f>ROUND(J141+D143*I143,2)+J137</f>
        <v>0.49</v>
      </c>
      <c r="K143" s="54">
        <f>ROUND(J143*H143,2)+K135</f>
        <v>2.62</v>
      </c>
      <c r="L143"/>
      <c r="M143"/>
      <c r="N143"/>
      <c r="O143"/>
      <c r="P143"/>
      <c r="Q143"/>
      <c r="R143"/>
      <c r="S143" s="44">
        <f>ROUND(95.736/($G$118+14)^0.871,1)</f>
        <v>9.6</v>
      </c>
      <c r="T143" s="54">
        <f>ROUND(J143*S143,2)+T135</f>
        <v>7.48</v>
      </c>
      <c r="U143" s="30">
        <f>ROUND(IF((T143*$C$101)/((L144/12)^(8/3)*P144^0.5)&lt;0.463,(VLOOKUP((T143*$C$101)/((L144/12)^(8/3)*P144^0.5),$C$5:$E$97,2,1))*L144/12,L144/12),2)</f>
        <v>1</v>
      </c>
      <c r="V143" s="45">
        <f>ROUND((T143/((0.46/$C$101)*(L144/12)^(8/3)))^2,4)</f>
        <v>5.9499999999999997E-2</v>
      </c>
      <c r="W143" s="30">
        <f>ROUND(V143*M144,2)</f>
        <v>1.84</v>
      </c>
      <c r="X143" s="41">
        <f>ROUND(IF(N144+U143+(IF(Y143&gt;0,Y143,0))&gt;Z145+(IF(Y143&gt;0,Y143,0)),(IF(U143&lt;(L144/12),1,2)),3),0)</f>
        <v>3</v>
      </c>
      <c r="Y143" s="30">
        <f>ROUND((V143-P144)*M144,2)</f>
        <v>0.34</v>
      </c>
      <c r="Z143" s="31">
        <f>ROUND(IF(N144+U143+(IF(Y143&gt;0,Y143,0))&gt;Z145+(IF(Y143&gt;0,Y143,0)),N144+U143+(IF(Y143&gt;0,Y143,0)),Z145+(IF(Y143&gt;0,Y143,0))),2)</f>
        <v>507.97</v>
      </c>
      <c r="AA143" s="30">
        <v>510</v>
      </c>
      <c r="AB143" s="59" t="s">
        <v>49</v>
      </c>
      <c r="AC143" s="34">
        <f>R144-K143</f>
        <v>4.17</v>
      </c>
      <c r="AD143" s="34">
        <f>AA143-Z143</f>
        <v>2.0299999999999727</v>
      </c>
      <c r="AE143" s="40">
        <f>AA143-N144</f>
        <v>4</v>
      </c>
    </row>
    <row r="144" spans="2:31" s="13" customFormat="1" ht="15" x14ac:dyDescent="0.25">
      <c r="B144" s="43"/>
      <c r="C144" s="32"/>
      <c r="D144" s="30"/>
      <c r="E144"/>
      <c r="F144" s="44">
        <f>ROUND(+M144/Q144/60,1)</f>
        <v>0.1</v>
      </c>
      <c r="G144"/>
      <c r="H144"/>
      <c r="I144"/>
      <c r="J144"/>
      <c r="K144"/>
      <c r="L144" s="41">
        <v>12</v>
      </c>
      <c r="M144">
        <v>31</v>
      </c>
      <c r="N144" s="50">
        <v>506</v>
      </c>
      <c r="O144" s="50">
        <v>504.5</v>
      </c>
      <c r="P144" s="45">
        <f>ROUND((N144-O144)/M144,4)</f>
        <v>4.8399999999999999E-2</v>
      </c>
      <c r="Q144" s="30">
        <f>ROUND(IF((K143*$C$101)/((L144/12)^(8/3)*P144^0.5)&lt;0.463,(K143/((VLOOKUP((K143*$C$101)/((L144/12)^(8/3)*P144^0.5),$C$5:$E$97,3,1))*(L144/12)^2)),(R144/(PI()*((L144/12)/2)^2))),2)</f>
        <v>8.11</v>
      </c>
      <c r="R144" s="30">
        <f>ROUND(((L144/12)^(8/3))*((P144^0.5))*0.463/$C$101,2)</f>
        <v>6.79</v>
      </c>
      <c r="S144" s="44"/>
      <c r="T144" s="30"/>
      <c r="U144" s="30"/>
      <c r="V144" s="45"/>
      <c r="W144" s="30"/>
      <c r="X144" s="41"/>
      <c r="Y144" s="30"/>
      <c r="Z144" s="31"/>
      <c r="AA144"/>
      <c r="AB144" s="60"/>
      <c r="AC144" s="35"/>
      <c r="AD144" s="35"/>
      <c r="AE144" s="35"/>
    </row>
    <row r="145" spans="2:31" s="13" customFormat="1" ht="15" x14ac:dyDescent="0.25">
      <c r="B145" s="43"/>
      <c r="C145" s="13" t="s">
        <v>110</v>
      </c>
      <c r="D145" s="30"/>
      <c r="E145" s="30">
        <f>ROUND(SUM($D$114:D145),2)</f>
        <v>32.36</v>
      </c>
      <c r="F145" s="44">
        <v>10</v>
      </c>
      <c r="G145" s="44">
        <f>ROUND(SUM($F$114:F145),2)</f>
        <v>60.9</v>
      </c>
      <c r="H145" s="44">
        <f>ROUND(84.55/(G145+13)^0.882,1)</f>
        <v>1.9</v>
      </c>
      <c r="I145" s="30">
        <v>0.9</v>
      </c>
      <c r="J145" s="50">
        <f>ROUND(J143+D145*I145,2)</f>
        <v>0.49</v>
      </c>
      <c r="K145" s="54">
        <f>ROUND(J145*H145,2)+6.1</f>
        <v>7.0299999999999994</v>
      </c>
      <c r="L145" s="55" t="s">
        <v>100</v>
      </c>
      <c r="M145"/>
      <c r="N145" s="36"/>
      <c r="O145" s="36"/>
      <c r="P145"/>
      <c r="Q145"/>
      <c r="R145"/>
      <c r="S145" s="44">
        <f>ROUND(95.736/($G$118+14)^0.871,1)</f>
        <v>9.6</v>
      </c>
      <c r="T145" s="54">
        <f>ROUND(J145*S145,2)+6.1</f>
        <v>10.8</v>
      </c>
      <c r="U145" s="30">
        <f>ROUND(IF((T145*$C$101)/((L146/12)^(8/3)*P146^0.5)&lt;0.463,(VLOOKUP((T145*$C$101)/((L146/12)^(8/3)*P146^0.5),$C$5:$E$97,2,1))*L146/12,L146/12),2)</f>
        <v>1</v>
      </c>
      <c r="V145" s="45">
        <f>ROUND((T145/((0.46/$C$101)*(L146/12)^(8/3)))^2,4)</f>
        <v>0.124</v>
      </c>
      <c r="W145" s="30">
        <f>ROUND(V145*M146,2)</f>
        <v>5.46</v>
      </c>
      <c r="X145" s="41">
        <f>ROUND(IF(N146+U145+(IF(Y145&gt;0,Y145,0))&gt;Z147+(IF(Y145&gt;0,Y145,0)),(IF(U145&lt;(L146/12),1,2)),3),0)</f>
        <v>2</v>
      </c>
      <c r="Y145" s="30">
        <f>ROUND((V145-P146)*M146,2)</f>
        <v>2.64</v>
      </c>
      <c r="Z145" s="31">
        <f>ROUND(IF(N146+U145+(IF(Y145&gt;0,Y145,0))&gt;Z147+(IF(Y145&gt;0,Y145,0)),N146+U145+(IF(Y145&gt;0,Y145,0)),Z147+(IF(Y145&gt;0,Y145,0))),2)</f>
        <v>507.63</v>
      </c>
      <c r="AA145" s="30">
        <v>510.66</v>
      </c>
      <c r="AB145" s="59" t="s">
        <v>102</v>
      </c>
      <c r="AC145" s="34">
        <f>R146-K145</f>
        <v>0.78000000000000025</v>
      </c>
      <c r="AD145" s="34">
        <f>AA145-Z145</f>
        <v>3.0300000000000296</v>
      </c>
      <c r="AE145" s="40">
        <f>AA145-N146</f>
        <v>6.6700000000000159</v>
      </c>
    </row>
    <row r="146" spans="2:31" s="13" customFormat="1" ht="15" x14ac:dyDescent="0.25">
      <c r="B146" s="43"/>
      <c r="C146" s="32"/>
      <c r="D146" s="30"/>
      <c r="E146"/>
      <c r="F146" s="44">
        <v>0</v>
      </c>
      <c r="G146"/>
      <c r="H146"/>
      <c r="I146"/>
      <c r="J146"/>
      <c r="K146" s="30"/>
      <c r="L146" s="41">
        <v>12</v>
      </c>
      <c r="M146">
        <v>44</v>
      </c>
      <c r="N146" s="50">
        <v>503.99</v>
      </c>
      <c r="O146" s="50">
        <v>501.17</v>
      </c>
      <c r="P146" s="45">
        <f>ROUND((N146-O146)/M146,4)</f>
        <v>6.4100000000000004E-2</v>
      </c>
      <c r="Q146" s="30">
        <f>ROUND(IF((K145*$C$101)/((L146/12)^(8/3)*P146^0.5)&lt;0.463,(K145/((VLOOKUP((K145*$C$101)/((L146/12)^(8/3)*P146^0.5),$C$5:$E$97,3,1))*(L146/12)^2)),(R146/(PI()*((L146/12)/2)^2))),2)</f>
        <v>11.28</v>
      </c>
      <c r="R146" s="30">
        <f>ROUND(((L146/12)^(8/3))*((P146^0.5))*0.463/$C$101,2)</f>
        <v>7.81</v>
      </c>
      <c r="S146" s="44"/>
      <c r="T146" s="30"/>
      <c r="U146" s="30"/>
      <c r="V146" s="45"/>
      <c r="W146" s="30"/>
      <c r="X146" s="41"/>
      <c r="Y146" s="30"/>
      <c r="Z146" s="31"/>
      <c r="AA146"/>
      <c r="AB146" s="60"/>
      <c r="AC146" s="35"/>
      <c r="AD146" s="35"/>
      <c r="AE146" s="40"/>
    </row>
    <row r="147" spans="2:31" s="13" customFormat="1" ht="15" x14ac:dyDescent="0.25">
      <c r="B147" s="43"/>
      <c r="C147" s="13" t="s">
        <v>111</v>
      </c>
      <c r="D147" s="30">
        <v>0.15</v>
      </c>
      <c r="E147" s="30">
        <f>ROUND(SUM($D$114:D147),2)</f>
        <v>32.51</v>
      </c>
      <c r="F147" s="44"/>
      <c r="G147" s="44">
        <f>ROUND(SUM($F$114:F147),2)</f>
        <v>60.9</v>
      </c>
      <c r="H147" s="44">
        <f>ROUND(84.55/(G147+13)^0.882,1)</f>
        <v>1.9</v>
      </c>
      <c r="I147" s="30">
        <v>0.9</v>
      </c>
      <c r="J147" s="50">
        <f>ROUND(J145+D147*I147,2)</f>
        <v>0.63</v>
      </c>
      <c r="K147" s="30">
        <f>ROUND(J147*H147,2)</f>
        <v>1.2</v>
      </c>
      <c r="L147"/>
      <c r="M147"/>
      <c r="N147"/>
      <c r="O147"/>
      <c r="P147"/>
      <c r="Q147"/>
      <c r="R147"/>
      <c r="S147" s="44">
        <f>ROUND(95.736/($G$118+14)^0.871,1)</f>
        <v>9.6</v>
      </c>
      <c r="T147" s="30">
        <f>ROUND(J147*S147,2)</f>
        <v>6.05</v>
      </c>
      <c r="U147" s="30">
        <f>ROUND(IF((T147*$C$101)/((L148/12)^(8/3)*P148^0.5)&lt;0.463,(VLOOKUP((T147*$C$101)/((L148/12)^(8/3)*P148^0.5),$C$5:$E$97,2,1))*L148/12,L148/12),2)</f>
        <v>1</v>
      </c>
      <c r="V147" s="45">
        <f>ROUND((T147/((0.46/$C$101)*(L148/12)^(8/3)))^2,4)</f>
        <v>3.8899999999999997E-2</v>
      </c>
      <c r="W147" s="30">
        <f>ROUND(V147*M148,2)</f>
        <v>0.97</v>
      </c>
      <c r="X147" s="41">
        <f>ROUND(IF(N148+U147+(IF(Y147&gt;0,Y147,0))&gt;Z155+(IF(Y147&gt;0,Y147,0)),(IF(U147&lt;(L148/12),1,2)),3),0)</f>
        <v>3</v>
      </c>
      <c r="Y147" s="30">
        <f>ROUND((V147-P148)*M148,2)</f>
        <v>0.43</v>
      </c>
      <c r="Z147" s="31">
        <f>ROUND(IF(N148+U147+(IF(Y147&gt;0,Y147,0))&gt;Z149+(IF(Y147&gt;0,Y147,0)),N148+U147+(IF(Y147&gt;0,Y147,0)),Z149+(IF(Y147&gt;0,Y147,0))),2)</f>
        <v>502.6</v>
      </c>
      <c r="AA147" s="30">
        <v>504.12</v>
      </c>
      <c r="AB147" s="59" t="s">
        <v>103</v>
      </c>
      <c r="AC147" s="34">
        <f>R148-K147</f>
        <v>3.34</v>
      </c>
      <c r="AD147" s="34">
        <f>AA147-Z147</f>
        <v>1.5199999999999818</v>
      </c>
      <c r="AE147" s="40">
        <f>AA147-N148</f>
        <v>2.9499999999999886</v>
      </c>
    </row>
    <row r="148" spans="2:31" s="13" customFormat="1" ht="15" x14ac:dyDescent="0.25">
      <c r="B148" s="43"/>
      <c r="C148" s="32"/>
      <c r="D148" s="30"/>
      <c r="E148"/>
      <c r="F148" s="44">
        <f>ROUND(+M148/Q148/60,1)</f>
        <v>0.1</v>
      </c>
      <c r="G148"/>
      <c r="H148"/>
      <c r="I148"/>
      <c r="J148"/>
      <c r="K148"/>
      <c r="L148" s="41">
        <v>12</v>
      </c>
      <c r="M148">
        <v>25</v>
      </c>
      <c r="N148" s="50">
        <v>501.17</v>
      </c>
      <c r="O148" s="50">
        <v>500.63</v>
      </c>
      <c r="P148" s="45">
        <f>ROUND((N148-O148)/M148,4)</f>
        <v>2.1600000000000001E-2</v>
      </c>
      <c r="Q148" s="30">
        <f>ROUND(IF((K147*$C$101)/((L148/12)^(8/3)*P148^0.5)&lt;0.463,(K147/((VLOOKUP((K147*$C$101)/((L148/12)^(8/3)*P148^0.5),$C$5:$E$97,3,1))*(L148/12)^2)),(R148/(PI()*((L148/12)/2)^2))),2)</f>
        <v>4.9000000000000004</v>
      </c>
      <c r="R148" s="30">
        <f>ROUND(((L148/12)^(8/3))*((P148^0.5))*0.463/$C$101,2)</f>
        <v>4.54</v>
      </c>
      <c r="S148" s="44"/>
      <c r="T148" s="30"/>
      <c r="U148" s="30"/>
      <c r="V148" s="45"/>
      <c r="W148" s="30"/>
      <c r="X148" s="41"/>
      <c r="Y148" s="30"/>
      <c r="Z148" s="31"/>
      <c r="AA148"/>
      <c r="AB148" s="60"/>
      <c r="AC148" s="35"/>
      <c r="AD148" s="35"/>
      <c r="AE148" s="35"/>
    </row>
    <row r="149" spans="2:31" s="13" customFormat="1" ht="15" x14ac:dyDescent="0.25">
      <c r="B149" s="43" t="s">
        <v>105</v>
      </c>
      <c r="C149" s="13" t="s">
        <v>114</v>
      </c>
      <c r="D149" s="30">
        <v>0.04</v>
      </c>
      <c r="E149" s="30">
        <f>ROUND(SUM($D$114:D149),2)</f>
        <v>32.549999999999997</v>
      </c>
      <c r="F149" s="44">
        <v>10</v>
      </c>
      <c r="G149" s="44">
        <f>ROUND(SUM($F$114:F149),2)</f>
        <v>71</v>
      </c>
      <c r="H149" s="44">
        <f>ROUND(84.55/(G149+13)^0.882,1)</f>
        <v>1.7</v>
      </c>
      <c r="I149" s="30">
        <v>0.9</v>
      </c>
      <c r="J149" s="50">
        <f>ROUND(J147+D149*I149,2)</f>
        <v>0.67</v>
      </c>
      <c r="K149" s="30">
        <f>ROUND(J149*H149,2)</f>
        <v>1.1399999999999999</v>
      </c>
      <c r="L149" s="55"/>
      <c r="M149"/>
      <c r="N149" s="36"/>
      <c r="O149" s="36"/>
      <c r="P149"/>
      <c r="Q149"/>
      <c r="R149"/>
      <c r="S149" s="44">
        <f>ROUND(95.736/($G$118+14)^0.871,1)</f>
        <v>9.6</v>
      </c>
      <c r="T149" s="30">
        <f>ROUND(J149*S149,2)</f>
        <v>6.43</v>
      </c>
      <c r="U149" s="30">
        <f>ROUND(IF((T149*$C$101)/((L150/12)^(8/3)*P150^0.5)&lt;0.463,(VLOOKUP((T149*$C$101)/((L150/12)^(8/3)*P150^0.5),$C$5:$E$97,2,1))*L150/12,L150/12),2)</f>
        <v>1</v>
      </c>
      <c r="V149" s="45">
        <f>ROUND((T149/((0.46/$C$101)*(L150/12)^(8/3)))^2,4)</f>
        <v>4.3999999999999997E-2</v>
      </c>
      <c r="W149" s="30">
        <f>ROUND(V149*M150,2)</f>
        <v>1.36</v>
      </c>
      <c r="X149" s="41">
        <f>ROUND(IF(N150+U149+(IF(Y149&gt;0,Y149,0))&gt;Z151+(IF(Y149&gt;0,Y149,0)),(IF(U149&lt;(L150/12),1,2)),3),0)</f>
        <v>2</v>
      </c>
      <c r="Y149" s="30">
        <f>ROUND((V149-P150)*M150,2)</f>
        <v>0.23</v>
      </c>
      <c r="Z149" s="31">
        <f>ROUND(IF(N150+U149+(IF(Y149&gt;0,Y149,0))&gt;Z151+(IF(Y149&gt;0,Y149,0)),N150+U149+(IF(Y149&gt;0,Y149,0)),Z151+(IF(Y149&gt;0,Y149,0))),2)</f>
        <v>501.86</v>
      </c>
      <c r="AA149" s="30">
        <v>504.15</v>
      </c>
      <c r="AB149" s="59" t="s">
        <v>103</v>
      </c>
      <c r="AC149" s="34">
        <f>R150-K149</f>
        <v>4.7600000000000007</v>
      </c>
      <c r="AD149" s="34">
        <f>AA149-Z149</f>
        <v>2.2899999999999636</v>
      </c>
      <c r="AE149" s="40">
        <f>AA149-N150</f>
        <v>3.5199999999999818</v>
      </c>
    </row>
    <row r="150" spans="2:31" s="13" customFormat="1" ht="15" x14ac:dyDescent="0.25">
      <c r="B150" s="43"/>
      <c r="C150" s="32"/>
      <c r="D150" s="30"/>
      <c r="E150"/>
      <c r="F150" s="44">
        <v>0</v>
      </c>
      <c r="G150"/>
      <c r="H150"/>
      <c r="I150"/>
      <c r="J150"/>
      <c r="K150" s="30"/>
      <c r="L150" s="41">
        <v>12</v>
      </c>
      <c r="M150">
        <v>31</v>
      </c>
      <c r="N150" s="50">
        <v>500.63</v>
      </c>
      <c r="O150" s="50">
        <v>499.5</v>
      </c>
      <c r="P150" s="45">
        <f>ROUND((N150-O150)/M150,4)</f>
        <v>3.6499999999999998E-2</v>
      </c>
      <c r="Q150" s="30">
        <f>ROUND(IF((K149*$C$101)/((L150/12)^(8/3)*P150^0.5)&lt;0.463,(K149/((VLOOKUP((K149*$C$101)/((L150/12)^(8/3)*P150^0.5),$C$5:$E$97,3,1))*(L150/12)^2)),(R150/(PI()*((L150/12)/2)^2))),2)</f>
        <v>6.03</v>
      </c>
      <c r="R150" s="30">
        <f>ROUND(((L150/12)^(8/3))*((P150^0.5))*0.463/$C$101,2)</f>
        <v>5.9</v>
      </c>
      <c r="S150" s="44"/>
      <c r="T150" s="30"/>
      <c r="U150" s="30"/>
      <c r="V150" s="45"/>
      <c r="W150" s="30"/>
      <c r="X150" s="41"/>
      <c r="Y150" s="30"/>
      <c r="Z150" s="31"/>
      <c r="AA150"/>
      <c r="AB150" s="60"/>
      <c r="AC150" s="35"/>
      <c r="AD150" s="35"/>
      <c r="AE150" s="40"/>
    </row>
    <row r="151" spans="2:31" s="13" customFormat="1" ht="15" x14ac:dyDescent="0.25">
      <c r="B151" s="43" t="s">
        <v>104</v>
      </c>
      <c r="C151" s="13" t="str">
        <f>C177</f>
        <v>C.C, STA. 73+05.05, 7.0' RT</v>
      </c>
      <c r="D151" s="30"/>
      <c r="E151" s="30">
        <f>ROUND(SUM($D$114:D151),2)</f>
        <v>32.549999999999997</v>
      </c>
      <c r="F151" s="44"/>
      <c r="G151" s="44">
        <f>ROUND(SUM($F$114:F151),2)</f>
        <v>71</v>
      </c>
      <c r="H151" s="44"/>
      <c r="I151" s="30"/>
      <c r="J151" s="50">
        <f>ROUND(J149+D151*I151,2)</f>
        <v>0.67</v>
      </c>
      <c r="K151" s="30"/>
      <c r="L151"/>
      <c r="M151"/>
      <c r="N151"/>
      <c r="O151"/>
      <c r="P151"/>
      <c r="Q151"/>
      <c r="R151"/>
      <c r="S151" s="44"/>
      <c r="T151" s="30"/>
      <c r="U151" s="30"/>
      <c r="V151" s="45"/>
      <c r="W151" s="30"/>
      <c r="X151" s="41"/>
      <c r="Y151" s="30"/>
      <c r="Z151" s="31">
        <f>Z177</f>
        <v>492.98</v>
      </c>
      <c r="AA151" s="30">
        <f>AA177</f>
        <v>502.78</v>
      </c>
      <c r="AB151" s="59" t="str">
        <f>AB177</f>
        <v>MH-3</v>
      </c>
      <c r="AC151" s="34">
        <f>T151-K151</f>
        <v>0</v>
      </c>
      <c r="AD151" s="34">
        <f>AA151-Z151</f>
        <v>9.7999999999999545</v>
      </c>
      <c r="AE151" s="40"/>
    </row>
    <row r="152" spans="2:31" s="13" customFormat="1" ht="15" x14ac:dyDescent="0.25">
      <c r="B152" s="29"/>
      <c r="C152"/>
      <c r="D152" s="30"/>
      <c r="E152"/>
      <c r="F152" s="44"/>
      <c r="G152"/>
      <c r="H152"/>
      <c r="I152"/>
      <c r="J152"/>
      <c r="K152"/>
      <c r="L152" s="41"/>
      <c r="M152"/>
      <c r="N152" s="49"/>
      <c r="O152" s="30"/>
      <c r="P152" s="45"/>
      <c r="Q152" s="30"/>
      <c r="R152" s="30"/>
      <c r="S152"/>
      <c r="T152"/>
      <c r="U152"/>
      <c r="V152"/>
      <c r="W152"/>
      <c r="X152"/>
      <c r="Y152"/>
      <c r="Z152" s="31"/>
      <c r="AA152"/>
      <c r="AB152" s="32"/>
      <c r="AC152" s="35"/>
      <c r="AD152" s="35"/>
      <c r="AE152" s="35"/>
    </row>
    <row r="153" spans="2:31" s="13" customFormat="1" ht="15" x14ac:dyDescent="0.25">
      <c r="B153" s="29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 s="31"/>
      <c r="AA153"/>
      <c r="AB153"/>
      <c r="AC153"/>
      <c r="AD153"/>
      <c r="AE153"/>
    </row>
    <row r="154" spans="2:31" s="13" customFormat="1" ht="15" x14ac:dyDescent="0.25">
      <c r="B154" s="29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 s="31"/>
      <c r="AA154"/>
      <c r="AB154"/>
      <c r="AC154"/>
      <c r="AD154"/>
      <c r="AE154"/>
    </row>
    <row r="155" spans="2:31" s="13" customFormat="1" ht="15" x14ac:dyDescent="0.25">
      <c r="B155" s="43"/>
      <c r="C155" s="39" t="s">
        <v>83</v>
      </c>
      <c r="D155" s="30">
        <v>0.18</v>
      </c>
      <c r="E155" s="31">
        <f>ROUND(SUM($D$155:D155),2)</f>
        <v>0.18</v>
      </c>
      <c r="F155" s="44">
        <v>10</v>
      </c>
      <c r="G155" s="33">
        <f>ROUND(SUM($F$155:F155),2)</f>
        <v>10</v>
      </c>
      <c r="H155" s="44">
        <f>ROUND(84.55/(G155+13)^0.882,1)</f>
        <v>5.3</v>
      </c>
      <c r="I155" s="30">
        <v>0.8</v>
      </c>
      <c r="J155" s="31">
        <f>ROUND(D155*I155,2)</f>
        <v>0.14000000000000001</v>
      </c>
      <c r="K155" s="31">
        <f>ROUND(J155*H155,2)</f>
        <v>0.74</v>
      </c>
      <c r="L155"/>
      <c r="M155"/>
      <c r="N155"/>
      <c r="O155"/>
      <c r="P155"/>
      <c r="Q155"/>
      <c r="R155"/>
      <c r="S155" s="33">
        <f>ROUND(95.736/($G$131+14)^0.871,1)</f>
        <v>5.9</v>
      </c>
      <c r="T155" s="31">
        <f>ROUND(J155*S155,2)</f>
        <v>0.83</v>
      </c>
      <c r="U155" s="31">
        <f>ROUND(IF((T155*$C$101)/((L156/12)^(8/3)*P156^0.5)&lt;0.463,(VLOOKUP((T155*$C$101)/((L156/12)^(8/3)*P156^0.5),$C$5:$E$97,2,1))*L156/12,L156/12),2)</f>
        <v>0.22</v>
      </c>
      <c r="V155" s="37">
        <f>ROUND((T155/((0.46/$C$101)*(L156/12)^(8/3)))^2,4)</f>
        <v>6.9999999999999999E-4</v>
      </c>
      <c r="W155" s="31">
        <f>ROUND(V155*M156,2)</f>
        <v>0.14000000000000001</v>
      </c>
      <c r="X155" s="38">
        <f>ROUND(IF(N156+U155+(IF(Y155&gt;0,Y155,0))&gt;Z157+(IF(Y155&gt;0,Y155,0)),(IF(U155&lt;(L156/12),1,2)),3),0)</f>
        <v>1</v>
      </c>
      <c r="Y155" s="31">
        <f>ROUND((V155-P156)*M156,2)</f>
        <v>-11.37</v>
      </c>
      <c r="Z155" s="31">
        <f>ROUND(IF(N156+U155+(IF(Y155&gt;0,Y155,0))&gt;Z157+(IF(Y155&gt;0,Y155,0)),N156+U155+(IF(Y155&gt;0,Y155,0)),Z157+(IF(Y155&gt;0,Y155,0))),2)</f>
        <v>554.29</v>
      </c>
      <c r="AA155" s="30">
        <v>557.24</v>
      </c>
      <c r="AB155" s="62" t="s">
        <v>63</v>
      </c>
      <c r="AC155" s="34">
        <f>R156-K155</f>
        <v>6.56</v>
      </c>
      <c r="AD155" s="34">
        <f>AA155-Z155</f>
        <v>2.9500000000000455</v>
      </c>
      <c r="AE155" s="40">
        <f>AA155-N156</f>
        <v>3.1699999999999591</v>
      </c>
    </row>
    <row r="156" spans="2:31" s="13" customFormat="1" ht="15" x14ac:dyDescent="0.25">
      <c r="B156" s="43"/>
      <c r="C156" s="32"/>
      <c r="D156" s="30"/>
      <c r="E156"/>
      <c r="F156" s="44">
        <f>ROUND(+M156/Q156/60,1)</f>
        <v>0.6</v>
      </c>
      <c r="G156"/>
      <c r="H156" s="44"/>
      <c r="I156" s="30"/>
      <c r="J156"/>
      <c r="K156" s="31"/>
      <c r="L156" s="41">
        <v>12</v>
      </c>
      <c r="M156">
        <v>206</v>
      </c>
      <c r="N156" s="56">
        <v>554.07000000000005</v>
      </c>
      <c r="O156" s="56">
        <v>542.54999999999995</v>
      </c>
      <c r="P156" s="45">
        <f>ROUND((N156-O156)/M156,4)</f>
        <v>5.5899999999999998E-2</v>
      </c>
      <c r="Q156" s="30">
        <f>ROUND(IF((K155*$C$101)/((L156/12)^(8/3)*P156^0.5)&lt;0.463,(K155/((VLOOKUP((K155*$C$101)/((L156/12)^(8/3)*P156^0.5),$C$5:$E$97,3,1))*(L156/12)^2)),(R156/(PI()*((L156/12)/2)^2))),2)</f>
        <v>6.17</v>
      </c>
      <c r="R156" s="30">
        <f>ROUND(((L156/12)^(8/3))*((P156^0.5))*0.463/$C$101,2)</f>
        <v>7.3</v>
      </c>
      <c r="S156"/>
      <c r="T156"/>
      <c r="U156" s="32"/>
      <c r="V156" s="32"/>
      <c r="W156" s="32"/>
      <c r="X156" s="32"/>
      <c r="Y156" s="32"/>
      <c r="Z156" s="32"/>
      <c r="AA156" s="32"/>
      <c r="AB156" s="63"/>
      <c r="AC156" s="35"/>
      <c r="AD156" s="35"/>
      <c r="AE156" s="35"/>
    </row>
    <row r="157" spans="2:31" s="13" customFormat="1" ht="15" x14ac:dyDescent="0.25">
      <c r="B157" s="53"/>
      <c r="C157" s="39" t="s">
        <v>82</v>
      </c>
      <c r="D157" s="30">
        <v>2.73</v>
      </c>
      <c r="E157" s="31">
        <f>ROUND(SUM($D$155:D157),2)</f>
        <v>2.91</v>
      </c>
      <c r="F157" s="44"/>
      <c r="G157" s="33">
        <f>ROUND(SUM($F$155:F157),2)</f>
        <v>10.6</v>
      </c>
      <c r="H157" s="44">
        <f t="shared" ref="H157" si="1">ROUND(84.55/(G157+13)^0.882,1)</f>
        <v>5.2</v>
      </c>
      <c r="I157" s="30">
        <v>0.8</v>
      </c>
      <c r="J157" s="46">
        <f>ROUND(J155+D157*I157,2)</f>
        <v>2.3199999999999998</v>
      </c>
      <c r="K157" s="54">
        <f>ROUND(J157*H157,2)+14</f>
        <v>26.060000000000002</v>
      </c>
      <c r="L157" s="55" t="s">
        <v>92</v>
      </c>
      <c r="M157"/>
      <c r="N157" s="57"/>
      <c r="O157" s="57"/>
      <c r="P157"/>
      <c r="Q157"/>
      <c r="R157"/>
      <c r="S157" s="33">
        <f>ROUND(95.736/($G$179+14)^0.871,1)</f>
        <v>5.6</v>
      </c>
      <c r="T157" s="54">
        <f>ROUND(J157*S157,2)+14</f>
        <v>26.990000000000002</v>
      </c>
      <c r="U157" s="31">
        <f>ROUND(IF((T157*$C$101)/((L158/12)^(8/3)*P158^0.5)&lt;0.463,(VLOOKUP((T157*$C$101)/((L158/12)^(8/3)*P158^0.5),$C$5:$E$97,2,1))*L158/12,L158/12),2)</f>
        <v>1.1399999999999999</v>
      </c>
      <c r="V157" s="37">
        <f>ROUND((T157/((0.46/$C$101)*(L158/12)^(8/3)))^2,4)</f>
        <v>1.9199999999999998E-2</v>
      </c>
      <c r="W157" s="31">
        <f>ROUND(V157*M158,2)</f>
        <v>3.74</v>
      </c>
      <c r="X157" s="38">
        <f>ROUND(IF(N158+U157+(IF(Y157&gt;0,Y157,0))&gt;Z161+(IF(Y157&gt;0,Y157,0)),(IF(U157&lt;(L158/12),1,2)),3),0)</f>
        <v>1</v>
      </c>
      <c r="Y157" s="31">
        <f>ROUND((V157-P158)*M158,2)</f>
        <v>-5.44</v>
      </c>
      <c r="Z157" s="31">
        <f>Z163</f>
        <v>516.65</v>
      </c>
      <c r="AA157" s="30">
        <v>548.07000000000005</v>
      </c>
      <c r="AB157" s="62" t="s">
        <v>63</v>
      </c>
      <c r="AC157" s="34">
        <f>R158-K157</f>
        <v>16.479999999999997</v>
      </c>
      <c r="AD157" s="34">
        <f>AA157-Z157</f>
        <v>31.420000000000073</v>
      </c>
      <c r="AE157" s="40">
        <f>AA157-O156</f>
        <v>5.5200000000000955</v>
      </c>
    </row>
    <row r="158" spans="2:31" s="13" customFormat="1" ht="15" x14ac:dyDescent="0.25">
      <c r="B158" s="43"/>
      <c r="D158" s="30"/>
      <c r="E158"/>
      <c r="F158" s="44">
        <f>ROUND(+M158/Q158/60,1)</f>
        <v>0.2</v>
      </c>
      <c r="G158"/>
      <c r="H158"/>
      <c r="I158"/>
      <c r="J158"/>
      <c r="K158"/>
      <c r="L158" s="41">
        <v>24</v>
      </c>
      <c r="M158">
        <v>195</v>
      </c>
      <c r="N158" s="56">
        <f>O156</f>
        <v>542.54999999999995</v>
      </c>
      <c r="O158" s="56">
        <v>533.37</v>
      </c>
      <c r="P158" s="45">
        <f>ROUND((N158-O158)/M158,4)</f>
        <v>4.7100000000000003E-2</v>
      </c>
      <c r="Q158" s="30">
        <f>ROUND(IF((K157*$C$101)/((L158/12)^(8/3)*P158^0.5)&lt;0.463,(K157/((VLOOKUP((K157*$C$101)/((L158/12)^(8/3)*P158^0.5),$C$5:$E$97,3,1))*(L158/12)^2)),(R158/(PI()*((L158/12)/2)^2))),2)</f>
        <v>14.39</v>
      </c>
      <c r="R158" s="30">
        <f>ROUND(((L158/12)^(8/3))*((P158^0.5))*0.463/$C$101,2)</f>
        <v>42.54</v>
      </c>
      <c r="S158"/>
      <c r="T158"/>
      <c r="U158" s="32"/>
      <c r="V158" s="32"/>
      <c r="W158" s="32"/>
      <c r="X158" s="32"/>
      <c r="Y158" s="32"/>
      <c r="Z158" s="32"/>
      <c r="AA158" s="32"/>
      <c r="AB158" s="63"/>
      <c r="AC158" s="35"/>
      <c r="AD158" s="35"/>
      <c r="AE158" s="35"/>
    </row>
    <row r="159" spans="2:31" s="13" customFormat="1" ht="15" x14ac:dyDescent="0.25">
      <c r="B159" s="53"/>
      <c r="C159" s="36" t="s">
        <v>84</v>
      </c>
      <c r="D159" s="30">
        <v>0.94</v>
      </c>
      <c r="E159" s="31">
        <f>ROUND(SUM($D$155:D159),2)</f>
        <v>3.85</v>
      </c>
      <c r="F159" s="44"/>
      <c r="G159" s="33">
        <f>ROUND(SUM($F$155:F159),2)</f>
        <v>10.8</v>
      </c>
      <c r="H159" s="44">
        <f>ROUND(84.55/(G159+13)^0.882,1)</f>
        <v>5.2</v>
      </c>
      <c r="I159" s="30">
        <v>0.8</v>
      </c>
      <c r="J159" s="42">
        <f>ROUND(J157+D159*I159,2)</f>
        <v>3.07</v>
      </c>
      <c r="K159" s="54">
        <f>ROUND(J159*H159,2)+7</f>
        <v>22.96</v>
      </c>
      <c r="L159" s="55" t="s">
        <v>93</v>
      </c>
      <c r="M159"/>
      <c r="N159" s="57"/>
      <c r="O159" s="57"/>
      <c r="P159"/>
      <c r="Q159"/>
      <c r="R159"/>
      <c r="S159" s="33">
        <f>ROUND(95.736/($G$179+14)^0.871,1)</f>
        <v>5.6</v>
      </c>
      <c r="T159" s="54">
        <f>ROUND(J159*S159,2)+7</f>
        <v>24.19</v>
      </c>
      <c r="U159" s="31">
        <f>ROUND(IF((T159*$C$101)/((L160/12)^(8/3)*P160^0.5)&lt;0.463,(VLOOKUP((T159*$C$101)/((L160/12)^(8/3)*P160^0.5),$C$5:$E$97,2,1))*L160/12,L160/12),2)</f>
        <v>1.04</v>
      </c>
      <c r="V159" s="37">
        <f>ROUND((T159/((0.46/$C$101)*(L160/12)^(8/3)))^2,4)</f>
        <v>1.54E-2</v>
      </c>
      <c r="W159" s="31">
        <f>ROUND(V159*M160,2)</f>
        <v>2.99</v>
      </c>
      <c r="X159" s="38">
        <f>ROUND(IF(N160+U159+(IF(Y159&gt;0,Y159,0))&gt;Z163+(IF(Y159&gt;0,Y159,0)),(IF(U159&lt;(L160/12),1,2)),3),0)</f>
        <v>1</v>
      </c>
      <c r="Y159" s="31">
        <f>ROUND((V159-P160)*M160,2)</f>
        <v>-6.89</v>
      </c>
      <c r="Z159" s="31">
        <f>ROUND(IF(N160+U159+(IF(Y159&gt;0,Y159,0))&gt;Z163+(IF(Y159&gt;0,Y159,0)),N160+U159+(IF(Y159&gt;0,Y159,0)),Z163+(IF(Y159&gt;0,Y159,0))),2)</f>
        <v>534.41</v>
      </c>
      <c r="AA159" s="30">
        <v>538.47</v>
      </c>
      <c r="AB159" s="62" t="s">
        <v>63</v>
      </c>
      <c r="AC159" s="34">
        <f>R160-K159</f>
        <v>21.259999999999998</v>
      </c>
      <c r="AD159" s="34">
        <f>AA159-Z159</f>
        <v>4.0600000000000591</v>
      </c>
      <c r="AE159" s="40">
        <f>AA159-N160</f>
        <v>5.1000000000000227</v>
      </c>
    </row>
    <row r="160" spans="2:31" s="13" customFormat="1" ht="15" x14ac:dyDescent="0.25">
      <c r="B160" s="43"/>
      <c r="C160" s="32"/>
      <c r="D160" s="30"/>
      <c r="E160"/>
      <c r="F160" s="44">
        <f>ROUND(+M160/Q160/60,1)</f>
        <v>0.2</v>
      </c>
      <c r="G160"/>
      <c r="H160"/>
      <c r="I160"/>
      <c r="J160"/>
      <c r="K160"/>
      <c r="L160" s="41">
        <v>24</v>
      </c>
      <c r="M160">
        <v>194</v>
      </c>
      <c r="N160" s="56">
        <f>O158</f>
        <v>533.37</v>
      </c>
      <c r="O160" s="56">
        <v>523.5</v>
      </c>
      <c r="P160" s="45">
        <f>ROUND((N160-O160)/M160,4)</f>
        <v>5.0900000000000001E-2</v>
      </c>
      <c r="Q160" s="30">
        <f>ROUND(IF((K159*$C$101)/((L160/12)^(8/3)*P160^0.5)&lt;0.463,(K159/((VLOOKUP((K159*$C$101)/((L160/12)^(8/3)*P160^0.5),$C$5:$E$97,3,1))*(L160/12)^2)),(R160/(PI()*((L160/12)/2)^2))),2)</f>
        <v>14.25</v>
      </c>
      <c r="R160" s="30">
        <f>ROUND(((L160/12)^(8/3))*((P160^0.5))*0.463/$C$101,2)</f>
        <v>44.22</v>
      </c>
      <c r="S160"/>
      <c r="T160"/>
      <c r="U160" s="32"/>
      <c r="V160" s="32"/>
      <c r="W160" s="32"/>
      <c r="X160" s="32"/>
      <c r="Y160" s="32"/>
      <c r="Z160" s="32"/>
      <c r="AA160" s="32"/>
      <c r="AB160" s="63"/>
      <c r="AC160" s="35"/>
      <c r="AD160" s="35"/>
      <c r="AE160" s="35"/>
    </row>
    <row r="161" spans="2:31" s="13" customFormat="1" ht="15" x14ac:dyDescent="0.25">
      <c r="B161" s="53"/>
      <c r="C161" s="13" t="s">
        <v>85</v>
      </c>
      <c r="D161" s="30">
        <v>0.9</v>
      </c>
      <c r="E161" s="31">
        <f>ROUND(SUM($D$155:D161),2)</f>
        <v>4.75</v>
      </c>
      <c r="F161" s="44"/>
      <c r="G161" s="33">
        <f>ROUND(SUM($F$155:F161),2)</f>
        <v>11</v>
      </c>
      <c r="H161" s="44">
        <f>ROUND(84.55/(G161+13)^0.882,1)</f>
        <v>5.0999999999999996</v>
      </c>
      <c r="I161" s="30">
        <v>0.8</v>
      </c>
      <c r="J161" s="46">
        <f>ROUND(J159+D161*I161,2)</f>
        <v>3.79</v>
      </c>
      <c r="K161" s="54">
        <f>ROUND(J161*H161,2)+15</f>
        <v>34.33</v>
      </c>
      <c r="L161" s="55" t="s">
        <v>93</v>
      </c>
      <c r="M161"/>
      <c r="N161" s="57"/>
      <c r="O161" s="57"/>
      <c r="P161"/>
      <c r="Q161"/>
      <c r="R161"/>
      <c r="S161" s="33">
        <f>ROUND(95.736/($G$179+14)^0.871,1)</f>
        <v>5.6</v>
      </c>
      <c r="T161" s="54">
        <f>ROUND(J161*S161,2)+15</f>
        <v>36.22</v>
      </c>
      <c r="U161" s="31">
        <f>ROUND(IF((T161*$C$101)/((L162/12)^(8/3)*P162^0.5)&lt;0.463,(VLOOKUP((T161*$C$101)/((L162/12)^(8/3)*P162^0.5),$C$5:$E$97,2,1))*L162/12,L162/12),2)</f>
        <v>1.42</v>
      </c>
      <c r="V161" s="37">
        <f>ROUND((T161/((0.46/$C$101)*(L162/12)^(8/3)))^2,4)</f>
        <v>3.4599999999999999E-2</v>
      </c>
      <c r="W161" s="31">
        <f>ROUND(V161*M162,2)</f>
        <v>5.85</v>
      </c>
      <c r="X161" s="38">
        <f>ROUND(IF(N162+U161+(IF(Y161&gt;0,Y161,0))&gt;Z163+(IF(Y161&gt;0,Y161,0)),(IF(U161&lt;(L162/12),1,2)),3),0)</f>
        <v>1</v>
      </c>
      <c r="Y161" s="31">
        <f>ROUND((V161-P162)*M162,2)</f>
        <v>-1.91</v>
      </c>
      <c r="Z161" s="31">
        <f>ROUND(IF(N162+U161+(IF(Y161&gt;0,Y161,0))&gt;Z163+(IF(Y161&gt;0,Y161,0)),N162+U161+(IF(Y161&gt;0,Y161,0)),Z163+(IF(Y161&gt;0,Y161,0))),2)</f>
        <v>524.91999999999996</v>
      </c>
      <c r="AA161" s="30">
        <v>528.54999999999995</v>
      </c>
      <c r="AB161" s="62" t="s">
        <v>63</v>
      </c>
      <c r="AC161" s="34">
        <f>R162-K161</f>
        <v>7.6600000000000037</v>
      </c>
      <c r="AD161" s="34">
        <f>AA161-Z161</f>
        <v>3.6299999999999955</v>
      </c>
      <c r="AE161" s="40">
        <f>AA161-N162</f>
        <v>5.0499999999999545</v>
      </c>
    </row>
    <row r="162" spans="2:31" s="13" customFormat="1" ht="15" x14ac:dyDescent="0.25">
      <c r="B162" s="43"/>
      <c r="D162" s="30"/>
      <c r="E162"/>
      <c r="F162" s="44">
        <f>ROUND(+M162/Q162/60,1)</f>
        <v>0.2</v>
      </c>
      <c r="G162"/>
      <c r="H162"/>
      <c r="I162"/>
      <c r="J162"/>
      <c r="K162"/>
      <c r="L162" s="41">
        <v>24</v>
      </c>
      <c r="M162">
        <v>169</v>
      </c>
      <c r="N162" s="56">
        <f>O160</f>
        <v>523.5</v>
      </c>
      <c r="O162" s="56">
        <v>515.75</v>
      </c>
      <c r="P162" s="45">
        <f>ROUND((N162-O162)/M162,4)</f>
        <v>4.5900000000000003E-2</v>
      </c>
      <c r="Q162" s="30">
        <f>ROUND(IF((K161*$C$101)/((L162/12)^(8/3)*P162^0.5)&lt;0.463,(K161/((VLOOKUP((K161*$C$101)/((L162/12)^(8/3)*P162^0.5),$C$5:$E$97,3,1))*(L162/12)^2)),(R162/(PI()*((L162/12)/2)^2))),2)</f>
        <v>15.09</v>
      </c>
      <c r="R162" s="30">
        <f>ROUND(((L162/12)^(8/3))*((P162^0.5))*0.463/$C$101,2)</f>
        <v>41.99</v>
      </c>
      <c r="S162"/>
      <c r="T162"/>
      <c r="U162" s="32"/>
      <c r="V162" s="32"/>
      <c r="W162" s="32"/>
      <c r="X162" s="32"/>
      <c r="Y162" s="32"/>
      <c r="Z162" s="32"/>
      <c r="AA162" s="32"/>
      <c r="AB162" s="63"/>
      <c r="AC162" s="35"/>
      <c r="AD162" s="35"/>
      <c r="AE162" s="35"/>
    </row>
    <row r="163" spans="2:31" s="13" customFormat="1" ht="15" x14ac:dyDescent="0.25">
      <c r="B163" s="43"/>
      <c r="C163" s="13" t="s">
        <v>86</v>
      </c>
      <c r="D163" s="30">
        <v>0.78</v>
      </c>
      <c r="E163" s="31">
        <f>ROUND(SUM($D$155:D163),2)</f>
        <v>5.53</v>
      </c>
      <c r="F163" s="44"/>
      <c r="G163" s="33">
        <f>ROUND(SUM($F$155:F163),2)</f>
        <v>11.2</v>
      </c>
      <c r="H163" s="44">
        <f>ROUND(84.55/(G163+13)^0.882,1)</f>
        <v>5.0999999999999996</v>
      </c>
      <c r="I163" s="30">
        <v>0.8</v>
      </c>
      <c r="J163" s="46">
        <f>ROUND(J161+D163*I163,2)</f>
        <v>4.41</v>
      </c>
      <c r="K163" s="31">
        <f>ROUND(J163*H163,2)</f>
        <v>22.49</v>
      </c>
      <c r="L163"/>
      <c r="M163"/>
      <c r="N163" s="57"/>
      <c r="O163" s="57"/>
      <c r="P163"/>
      <c r="Q163"/>
      <c r="R163"/>
      <c r="S163" s="33">
        <f>ROUND(95.736/($G$179+14)^0.871,1)</f>
        <v>5.6</v>
      </c>
      <c r="T163" s="31">
        <f>ROUND(J163*S163,2)</f>
        <v>24.7</v>
      </c>
      <c r="U163" s="31">
        <f>ROUND(IF((T163*$C$101)/((L164/12)^(8/3)*P164^0.5)&lt;0.463,(VLOOKUP((T163*$C$101)/((L164/12)^(8/3)*P164^0.5),$C$5:$E$97,2,1))*L164/12,L164/12),2)</f>
        <v>0.9</v>
      </c>
      <c r="V163" s="37">
        <f>ROUND((T163/((0.46/$C$101)*(L164/12)^(8/3)))^2,4)</f>
        <v>1.9E-3</v>
      </c>
      <c r="W163" s="31">
        <f>ROUND(V163*M164,2)</f>
        <v>0.05</v>
      </c>
      <c r="X163" s="38">
        <f>ROUND(IF(N164+U163+(IF(Y163&gt;0,Y163,0))&gt;Z179+(IF(Y163&gt;0,Y163,0)),(IF(U163&lt;(L164/12),1,2)),3),0)</f>
        <v>1</v>
      </c>
      <c r="Y163" s="31">
        <f>ROUND((V163-P164)*M164,2)</f>
        <v>-1.07</v>
      </c>
      <c r="Z163" s="31">
        <f>ROUND(IF(N164+U163+(IF(Y163&gt;0,Y163,0))&gt;Z179+(IF(Y163&gt;0,Y163,0)),N164+U163+(IF(Y163&gt;0,Y163,0)),Z179+(IF(Y163&gt;0,Y163,0))),2)</f>
        <v>516.65</v>
      </c>
      <c r="AA163" s="30">
        <v>520.73</v>
      </c>
      <c r="AB163" s="62" t="s">
        <v>63</v>
      </c>
      <c r="AC163" s="34">
        <f>R164-K163</f>
        <v>99.820000000000007</v>
      </c>
      <c r="AD163" s="34">
        <f>AA163-Z163</f>
        <v>4.0800000000000409</v>
      </c>
      <c r="AE163" s="40">
        <f>AA163-N164</f>
        <v>4.9800000000000182</v>
      </c>
    </row>
    <row r="164" spans="2:31" s="13" customFormat="1" ht="15" x14ac:dyDescent="0.25">
      <c r="B164" s="43"/>
      <c r="C164" s="32"/>
      <c r="D164" s="30"/>
      <c r="E164"/>
      <c r="F164" s="44">
        <f>ROUND(+M164/Q164/60,1)</f>
        <v>0</v>
      </c>
      <c r="G164"/>
      <c r="H164"/>
      <c r="I164"/>
      <c r="J164"/>
      <c r="K164"/>
      <c r="L164" s="41">
        <v>36</v>
      </c>
      <c r="M164">
        <v>25</v>
      </c>
      <c r="N164" s="56">
        <f>O162</f>
        <v>515.75</v>
      </c>
      <c r="O164" s="56">
        <v>514.63</v>
      </c>
      <c r="P164" s="45">
        <f>ROUND((N164-O164)/M164,4)</f>
        <v>4.48E-2</v>
      </c>
      <c r="Q164" s="30">
        <f>ROUND(IF((K163*$C$101)/((L164/12)^(8/3)*P164^0.5)&lt;0.463,(K163/((VLOOKUP((K163*$C$101)/((L164/12)^(8/3)*P164^0.5),$C$5:$E$97,3,1))*(L164/12)^2)),(R164/(PI()*((L164/12)/2)^2))),2)</f>
        <v>13.22</v>
      </c>
      <c r="R164" s="30">
        <f>ROUND(((L164/12)^(8/3))*((P164^0.5))*0.463/$C$101,2)</f>
        <v>122.31</v>
      </c>
      <c r="S164"/>
      <c r="T164"/>
      <c r="U164" s="32"/>
      <c r="V164" s="32"/>
      <c r="W164" s="32"/>
      <c r="X164" s="32"/>
      <c r="Y164" s="32"/>
      <c r="Z164" s="32"/>
      <c r="AA164" s="32"/>
      <c r="AB164" s="63"/>
      <c r="AC164" s="35"/>
      <c r="AD164" s="35"/>
      <c r="AE164" s="35"/>
    </row>
    <row r="165" spans="2:31" s="13" customFormat="1" ht="15" x14ac:dyDescent="0.25">
      <c r="B165" s="53"/>
      <c r="C165" s="13" t="s">
        <v>87</v>
      </c>
      <c r="D165" s="30"/>
      <c r="E165" s="31">
        <f>ROUND(SUM($D$155:D165),2)</f>
        <v>5.53</v>
      </c>
      <c r="F165" s="44"/>
      <c r="G165" s="33">
        <f>ROUND(SUM($F$155:F165),2)</f>
        <v>11.2</v>
      </c>
      <c r="H165" s="44">
        <f>ROUND(84.55/(G165+13)^0.882,1)</f>
        <v>5.0999999999999996</v>
      </c>
      <c r="I165" s="30">
        <v>0.8</v>
      </c>
      <c r="J165" s="46">
        <f>ROUND(J163+D165*I165,2)</f>
        <v>4.41</v>
      </c>
      <c r="K165" s="54">
        <f>ROUND(J165*H165,2)+15</f>
        <v>37.489999999999995</v>
      </c>
      <c r="L165" s="55" t="s">
        <v>93</v>
      </c>
      <c r="M165"/>
      <c r="N165" s="57"/>
      <c r="O165" s="57"/>
      <c r="P165"/>
      <c r="Q165"/>
      <c r="R165"/>
      <c r="S165" s="33">
        <f>ROUND(95.736/($G$179+14)^0.871,1)</f>
        <v>5.6</v>
      </c>
      <c r="T165" s="54">
        <f>ROUND(J165*S165,2)+15</f>
        <v>39.700000000000003</v>
      </c>
      <c r="U165" s="31">
        <f>ROUND(IF((T165*$C$101)/((L166/12)^(8/3)*P166^0.5)&lt;0.463,(VLOOKUP((T165*$C$101)/((L166/12)^(8/3)*P166^0.5),$C$5:$E$97,2,1))*L166/12,L166/12),2)</f>
        <v>1.46</v>
      </c>
      <c r="V165" s="37">
        <f>ROUND((T165/((0.46/$C$101)*(L166/12)^(8/3)))^2,4)</f>
        <v>4.1599999999999998E-2</v>
      </c>
      <c r="W165" s="31">
        <f>ROUND(V165*M166,2)</f>
        <v>2.08</v>
      </c>
      <c r="X165" s="38">
        <f>ROUND(IF(N166+U165+(IF(Y165&gt;0,Y165,0))&gt;Z167+(IF(Y165&gt;0,Y165,0)),(IF(U165&lt;(L166/12),1,2)),3),0)</f>
        <v>1</v>
      </c>
      <c r="Y165" s="31">
        <f>ROUND((V165-P166)*M166,2)</f>
        <v>-0.47</v>
      </c>
      <c r="Z165" s="31">
        <f>ROUND(IF(N166+U165+(IF(Y165&gt;0,Y165,0))&gt;Z167+(IF(Y165&gt;0,Y165,0)),N166+U165+(IF(Y165&gt;0,Y165,0)),Z167+(IF(Y165&gt;0,Y165,0))),2)</f>
        <v>516.09</v>
      </c>
      <c r="AA165" s="30">
        <v>517.58000000000004</v>
      </c>
      <c r="AB165" s="62" t="s">
        <v>81</v>
      </c>
      <c r="AC165" s="34">
        <f>R166-K165</f>
        <v>6.7700000000000031</v>
      </c>
      <c r="AD165" s="34">
        <f>AA165-Z165</f>
        <v>1.4900000000000091</v>
      </c>
      <c r="AE165" s="40">
        <f>AA165-N166</f>
        <v>2.9500000000000455</v>
      </c>
    </row>
    <row r="166" spans="2:31" s="13" customFormat="1" ht="15" x14ac:dyDescent="0.25">
      <c r="B166" s="43"/>
      <c r="D166" s="30"/>
      <c r="E166"/>
      <c r="F166" s="44">
        <f>ROUND(+M166/Q166/60,1)</f>
        <v>0.1</v>
      </c>
      <c r="G166"/>
      <c r="H166"/>
      <c r="I166"/>
      <c r="J166"/>
      <c r="K166"/>
      <c r="L166" s="41">
        <v>24</v>
      </c>
      <c r="M166">
        <v>50</v>
      </c>
      <c r="N166" s="56">
        <f>O164</f>
        <v>514.63</v>
      </c>
      <c r="O166" s="56">
        <v>512.08000000000004</v>
      </c>
      <c r="P166" s="45">
        <f>ROUND((N166-O166)/M166,4)</f>
        <v>5.0999999999999997E-2</v>
      </c>
      <c r="Q166" s="30">
        <f>ROUND(IF((K165*$C$101)/((L166/12)^(8/3)*P166^0.5)&lt;0.463,(K165/((VLOOKUP((K165*$C$101)/((L166/12)^(8/3)*P166^0.5),$C$5:$E$97,3,1))*(L166/12)^2)),(R166/(PI()*((L166/12)/2)^2))),2)</f>
        <v>15.96</v>
      </c>
      <c r="R166" s="30">
        <f>ROUND(((L166/12)^(8/3))*((P166^0.5))*0.463/$C$101,2)</f>
        <v>44.26</v>
      </c>
      <c r="S166"/>
      <c r="T166"/>
      <c r="U166" s="32"/>
      <c r="V166" s="32"/>
      <c r="W166" s="32"/>
      <c r="X166" s="32"/>
      <c r="Y166" s="32"/>
      <c r="Z166" s="32"/>
      <c r="AA166" s="32"/>
      <c r="AB166" s="63"/>
      <c r="AC166" s="35"/>
      <c r="AD166" s="35"/>
      <c r="AE166" s="35"/>
    </row>
    <row r="167" spans="2:31" s="13" customFormat="1" ht="15" x14ac:dyDescent="0.25">
      <c r="B167" s="53"/>
      <c r="C167" s="13" t="s">
        <v>88</v>
      </c>
      <c r="D167" s="30"/>
      <c r="E167" s="31">
        <f>ROUND(SUM($D$155:D167),2)</f>
        <v>5.53</v>
      </c>
      <c r="F167" s="44"/>
      <c r="G167" s="33">
        <f>ROUND(SUM($F$155:F167),2)</f>
        <v>11.3</v>
      </c>
      <c r="H167" s="44">
        <f>ROUND(84.55/(G167+13)^0.882,1)</f>
        <v>5.0999999999999996</v>
      </c>
      <c r="I167" s="30">
        <v>0.8</v>
      </c>
      <c r="J167" s="46">
        <f>ROUND(J165+D167*I167,2)</f>
        <v>4.41</v>
      </c>
      <c r="K167" s="54">
        <f>ROUND(J167*H167,2)+15</f>
        <v>37.489999999999995</v>
      </c>
      <c r="L167" s="55" t="s">
        <v>93</v>
      </c>
      <c r="M167"/>
      <c r="N167" s="57"/>
      <c r="O167" s="57"/>
      <c r="P167"/>
      <c r="Q167"/>
      <c r="R167"/>
      <c r="S167" s="33">
        <f>ROUND(95.736/($G$179+14)^0.871,1)</f>
        <v>5.6</v>
      </c>
      <c r="T167" s="54">
        <f>ROUND(J167*S167,2)+15</f>
        <v>39.700000000000003</v>
      </c>
      <c r="U167" s="31">
        <f>ROUND(IF((T167*$C$101)/((L168/12)^(8/3)*P168^0.5)&lt;0.463,(VLOOKUP((T167*$C$101)/((L168/12)^(8/3)*P168^0.5),$C$5:$E$97,2,1))*L168/12,L168/12),2)</f>
        <v>1.17</v>
      </c>
      <c r="V167" s="37">
        <f>ROUND((T167/((0.46/$C$101)*(L168/12)^(8/3)))^2,4)</f>
        <v>4.7999999999999996E-3</v>
      </c>
      <c r="W167" s="31">
        <f>ROUND(V167*M168,2)</f>
        <v>1.02</v>
      </c>
      <c r="X167" s="38">
        <f>ROUND(IF(N168+U167+(IF(Y167&gt;0,Y167,0))&gt;Z179+(IF(Y167&gt;0,Y167,0)),(IF(U167&lt;(L168/12),1,2)),3),0)</f>
        <v>1</v>
      </c>
      <c r="Y167" s="31">
        <f>ROUND((V167-P168)*M168,2)</f>
        <v>-8.5399999999999991</v>
      </c>
      <c r="Z167" s="31">
        <f>ROUND(IF(N168+U167+(IF(Y167&gt;0,Y167,0))&gt;Z179+(IF(Y167&gt;0,Y167,0)),N168+U167+(IF(Y167&gt;0,Y167,0)),Z179+(IF(Y167&gt;0,Y167,0))),2)</f>
        <v>513.25</v>
      </c>
      <c r="AA167" s="30">
        <v>516.78</v>
      </c>
      <c r="AB167" s="62" t="s">
        <v>81</v>
      </c>
      <c r="AC167" s="34">
        <f>R168-K167</f>
        <v>84.95</v>
      </c>
      <c r="AD167" s="34">
        <f>AA167-Z167</f>
        <v>3.5299999999999727</v>
      </c>
      <c r="AE167" s="40">
        <f>AA167-N168</f>
        <v>4.6999999999999318</v>
      </c>
    </row>
    <row r="168" spans="2:31" s="13" customFormat="1" ht="15" x14ac:dyDescent="0.25">
      <c r="B168" s="43"/>
      <c r="D168" s="30"/>
      <c r="E168"/>
      <c r="F168" s="44">
        <f>ROUND(+M168/Q168/60,1)</f>
        <v>0.2</v>
      </c>
      <c r="G168"/>
      <c r="H168"/>
      <c r="I168"/>
      <c r="J168"/>
      <c r="K168"/>
      <c r="L168" s="41">
        <v>36</v>
      </c>
      <c r="M168">
        <v>213</v>
      </c>
      <c r="N168" s="56">
        <f>O166</f>
        <v>512.08000000000004</v>
      </c>
      <c r="O168" s="56">
        <v>502.51</v>
      </c>
      <c r="P168" s="45">
        <f>ROUND((N168-O168)/M168,4)</f>
        <v>4.4900000000000002E-2</v>
      </c>
      <c r="Q168" s="30">
        <f>ROUND(IF((K167*$C$101)/((L168/12)^(8/3)*P168^0.5)&lt;0.463,(K167/((VLOOKUP((K167*$C$101)/((L168/12)^(8/3)*P168^0.5),$C$5:$E$97,3,1))*(L168/12)^2)),(R168/(PI()*((L168/12)/2)^2))),2)</f>
        <v>15.77</v>
      </c>
      <c r="R168" s="30">
        <f>ROUND(((L168/12)^(8/3))*((P168^0.5))*0.463/$C$101,2)</f>
        <v>122.44</v>
      </c>
      <c r="S168"/>
      <c r="T168"/>
      <c r="U168" s="32"/>
      <c r="V168" s="32"/>
      <c r="W168" s="32"/>
      <c r="X168" s="32"/>
      <c r="Y168" s="32"/>
      <c r="Z168" s="32"/>
      <c r="AA168" s="32"/>
      <c r="AB168" s="63"/>
      <c r="AC168" s="35"/>
      <c r="AD168" s="35"/>
      <c r="AE168" s="35"/>
    </row>
    <row r="169" spans="2:31" s="13" customFormat="1" ht="15" x14ac:dyDescent="0.25">
      <c r="B169" s="43"/>
      <c r="C169" s="13" t="s">
        <v>89</v>
      </c>
      <c r="D169" s="30">
        <v>4.18</v>
      </c>
      <c r="E169" s="31">
        <f>ROUND(SUM($D$155:D169),2)</f>
        <v>9.7100000000000009</v>
      </c>
      <c r="F169" s="44"/>
      <c r="G169" s="33">
        <f>ROUND(SUM($F$155:F169),2)</f>
        <v>11.5</v>
      </c>
      <c r="H169" s="44">
        <f>ROUND(84.55/(G169+13)^0.882,1)</f>
        <v>5</v>
      </c>
      <c r="I169" s="30">
        <v>0.8</v>
      </c>
      <c r="J169" s="46">
        <f>ROUND(J167+D169*I169,2)</f>
        <v>7.75</v>
      </c>
      <c r="K169" s="31">
        <f>ROUND(J169*H169,2)</f>
        <v>38.75</v>
      </c>
      <c r="L169"/>
      <c r="M169"/>
      <c r="N169" s="57"/>
      <c r="O169" s="57"/>
      <c r="P169"/>
      <c r="Q169"/>
      <c r="R169"/>
      <c r="S169" s="33">
        <f>ROUND(95.736/($G$179+14)^0.871,1)</f>
        <v>5.6</v>
      </c>
      <c r="T169" s="31">
        <f>ROUND(J169*S169,2)</f>
        <v>43.4</v>
      </c>
      <c r="U169" s="31">
        <f>ROUND(IF((T169*$C$101)/((L170/12)^(8/3)*P170^0.5)&lt;0.463,(VLOOKUP((T169*$C$101)/((L170/12)^(8/3)*P170^0.5),$C$5:$E$97,2,1))*L170/12,L170/12),2)</f>
        <v>0.87</v>
      </c>
      <c r="V169" s="37">
        <f>ROUND((T169/((0.46/$C$101)*(L170/12)^(8/3)))^2,4)</f>
        <v>5.7000000000000002E-3</v>
      </c>
      <c r="W169" s="31">
        <f>ROUND(V169*M170,2)</f>
        <v>0.03</v>
      </c>
      <c r="X169" s="38">
        <f>ROUND(IF(N170+U169+(IF(Y169&gt;0,Y169,0))&gt;Z181+(IF(Y169&gt;0,Y169,0)),(IF(U169&lt;(L170/12),1,2)),3),0)</f>
        <v>1</v>
      </c>
      <c r="Y169" s="31">
        <f>ROUND((V169-P170)*M170,2)</f>
        <v>-0.97</v>
      </c>
      <c r="Z169" s="31">
        <f>ROUND(IF(N170+U169+(IF(Y169&gt;0,Y169,0))&gt;Z181+(IF(Y169&gt;0,Y169,0)),N170+U169+(IF(Y169&gt;0,Y169,0)),Z181+(IF(Y169&gt;0,Y169,0))),2)</f>
        <v>503.38</v>
      </c>
      <c r="AA169" s="30">
        <v>506.73</v>
      </c>
      <c r="AB169" s="62" t="s">
        <v>63</v>
      </c>
      <c r="AC169" s="34">
        <f>R170-K169</f>
        <v>197.18</v>
      </c>
      <c r="AD169" s="34">
        <f>AA169-Z169</f>
        <v>3.3500000000000227</v>
      </c>
      <c r="AE169" s="40">
        <f>AA169-N170</f>
        <v>4.2200000000000273</v>
      </c>
    </row>
    <row r="170" spans="2:31" s="13" customFormat="1" ht="15" x14ac:dyDescent="0.25">
      <c r="B170" s="43"/>
      <c r="D170" s="30"/>
      <c r="E170"/>
      <c r="F170" s="44">
        <f>ROUND(+M170/Q170/60,1)</f>
        <v>0</v>
      </c>
      <c r="G170"/>
      <c r="H170"/>
      <c r="I170"/>
      <c r="J170"/>
      <c r="K170"/>
      <c r="L170" s="41">
        <v>36</v>
      </c>
      <c r="M170">
        <v>6</v>
      </c>
      <c r="N170" s="56">
        <f>O168</f>
        <v>502.51</v>
      </c>
      <c r="O170" s="56">
        <v>501.51</v>
      </c>
      <c r="P170" s="45">
        <f>ROUND((N170-O170)/M170,4)</f>
        <v>0.16669999999999999</v>
      </c>
      <c r="Q170" s="30">
        <f>ROUND(IF((K169*$C$101)/((L170/12)^(8/3)*P170^0.5)&lt;0.463,(K169/((VLOOKUP((K169*$C$101)/((L170/12)^(8/3)*P170^0.5),$C$5:$E$97,3,1))*(L170/12)^2)),(R170/(PI()*((L170/12)/2)^2))),2)</f>
        <v>25.16</v>
      </c>
      <c r="R170" s="30">
        <f>ROUND(((L170/12)^(8/3))*((P170^0.5))*0.463/$C$101,2)</f>
        <v>235.93</v>
      </c>
      <c r="S170"/>
      <c r="T170"/>
      <c r="U170" s="32"/>
      <c r="V170" s="32"/>
      <c r="W170" s="32"/>
      <c r="X170" s="32"/>
      <c r="Y170" s="32"/>
      <c r="Z170" s="32"/>
      <c r="AA170" s="32"/>
      <c r="AB170" s="63"/>
      <c r="AC170" s="35"/>
      <c r="AD170" s="35"/>
      <c r="AE170" s="35"/>
    </row>
    <row r="171" spans="2:31" s="13" customFormat="1" ht="15" x14ac:dyDescent="0.25">
      <c r="B171" s="43"/>
      <c r="C171" s="13" t="s">
        <v>90</v>
      </c>
      <c r="D171" s="30"/>
      <c r="E171" s="31">
        <f>ROUND(SUM($D$155:D171),2)</f>
        <v>9.7100000000000009</v>
      </c>
      <c r="F171" s="44"/>
      <c r="G171" s="33">
        <f>ROUND(SUM($F$155:F171),2)</f>
        <v>11.5</v>
      </c>
      <c r="H171" s="44">
        <f>ROUND(84.55/(G171+13)^0.882,1)</f>
        <v>5</v>
      </c>
      <c r="I171" s="30">
        <v>0.8</v>
      </c>
      <c r="J171" s="46">
        <f>ROUND(J169+D171*I171,2)</f>
        <v>7.75</v>
      </c>
      <c r="K171" s="31">
        <f>ROUND(J171*H171,2)</f>
        <v>38.75</v>
      </c>
      <c r="L171"/>
      <c r="M171"/>
      <c r="N171" s="36"/>
      <c r="O171" s="36"/>
      <c r="P171"/>
      <c r="Q171"/>
      <c r="R171"/>
      <c r="S171" s="33">
        <f>ROUND(95.736/($G$179+14)^0.871,1)</f>
        <v>5.6</v>
      </c>
      <c r="T171" s="31">
        <f>ROUND(J171*S171,2)</f>
        <v>43.4</v>
      </c>
      <c r="U171" s="31">
        <f>ROUND(IF((T171*$C$101)/((L172/12)^(8/3)*P172^0.5)&lt;0.463,(VLOOKUP((T171*$C$101)/((L172/12)^(8/3)*P172^0.5),$C$5:$E$97,2,1))*L172/12,L172/12),2)</f>
        <v>1.8</v>
      </c>
      <c r="V171" s="37">
        <f>ROUND((T171/((0.46/$C$101)*(L172/12)^(8/3)))^2,4)</f>
        <v>5.7000000000000002E-3</v>
      </c>
      <c r="W171" s="31">
        <f>ROUND(V171*M172,2)</f>
        <v>0.48</v>
      </c>
      <c r="X171" s="38">
        <f>ROUND(IF(N172+U171+(IF(Y171&gt;0,Y171,0))&gt;Z183+(IF(Y171&gt;0,Y171,0)),(IF(U171&lt;(L172/12),1,2)),3),0)</f>
        <v>1</v>
      </c>
      <c r="Y171" s="31">
        <f>ROUND((V171-P172)*M172,2)</f>
        <v>-0.53</v>
      </c>
      <c r="Z171" s="31">
        <f>ROUND(IF(N172+U171+(IF(Y171&gt;0,Y171,0))&gt;Z183+(IF(Y171&gt;0,Y171,0)),N172+U171+(IF(Y171&gt;0,Y171,0)),Z183+(IF(Y171&gt;0,Y171,0))),2)</f>
        <v>503.31</v>
      </c>
      <c r="AA171" s="30">
        <v>506.01</v>
      </c>
      <c r="AB171" s="62" t="s">
        <v>81</v>
      </c>
      <c r="AC171" s="34">
        <f>R172-K171</f>
        <v>24.29</v>
      </c>
      <c r="AD171" s="34">
        <f>AA171-Z171</f>
        <v>2.6999999999999886</v>
      </c>
      <c r="AE171" s="40">
        <f>AA171-N172</f>
        <v>4.5</v>
      </c>
    </row>
    <row r="172" spans="2:31" s="13" customFormat="1" ht="15" x14ac:dyDescent="0.25">
      <c r="B172" s="43"/>
      <c r="D172" s="30"/>
      <c r="E172"/>
      <c r="F172" s="44">
        <f>ROUND(+M172/Q172/60,1)</f>
        <v>0.1</v>
      </c>
      <c r="G172"/>
      <c r="H172"/>
      <c r="I172"/>
      <c r="J172"/>
      <c r="K172"/>
      <c r="L172" s="41">
        <v>36</v>
      </c>
      <c r="M172">
        <v>85</v>
      </c>
      <c r="N172" s="56">
        <f>O170</f>
        <v>501.51</v>
      </c>
      <c r="O172" s="58">
        <v>500.5</v>
      </c>
      <c r="P172" s="45">
        <f>ROUND((N172-O172)/M172,4)</f>
        <v>1.1900000000000001E-2</v>
      </c>
      <c r="Q172" s="30">
        <f>ROUND(IF((K171*$C$101)/((L172/12)^(8/3)*P172^0.5)&lt;0.463,(K171/((VLOOKUP((K171*$C$101)/((L172/12)^(8/3)*P172^0.5),$C$5:$E$97,3,1))*(L172/12)^2)),(R172/(PI()*((L172/12)/2)^2))),2)</f>
        <v>9.51</v>
      </c>
      <c r="R172" s="30">
        <f>ROUND(((L172/12)^(8/3))*((P172^0.5))*0.463/$C$101,2)</f>
        <v>63.04</v>
      </c>
      <c r="S172"/>
      <c r="T172"/>
      <c r="U172" s="32"/>
      <c r="V172" s="32"/>
      <c r="W172" s="32"/>
      <c r="X172" s="32"/>
      <c r="Y172" s="32"/>
      <c r="Z172" s="32"/>
      <c r="AA172" s="32"/>
      <c r="AB172" s="63"/>
      <c r="AC172" s="35"/>
      <c r="AD172" s="35"/>
      <c r="AE172" s="35"/>
    </row>
    <row r="173" spans="2:31" s="13" customFormat="1" ht="15" x14ac:dyDescent="0.25">
      <c r="B173" s="43"/>
      <c r="C173" s="13" t="s">
        <v>91</v>
      </c>
      <c r="D173" s="30"/>
      <c r="E173" s="31">
        <f>ROUND(SUM($D$155:D173),2)</f>
        <v>9.7100000000000009</v>
      </c>
      <c r="F173" s="44"/>
      <c r="G173" s="33">
        <f>ROUND(SUM($F$155:F173),2)</f>
        <v>11.6</v>
      </c>
      <c r="H173" s="44">
        <f>ROUND(84.55/(G173+13)^0.882,1)</f>
        <v>5</v>
      </c>
      <c r="I173" s="30">
        <v>0.8</v>
      </c>
      <c r="J173" s="46">
        <f>ROUND(J171+D173*I173,2)</f>
        <v>7.75</v>
      </c>
      <c r="K173" s="31">
        <f>ROUND(J173*H173,2)</f>
        <v>38.75</v>
      </c>
      <c r="L173"/>
      <c r="M173"/>
      <c r="N173" s="36"/>
      <c r="O173" s="36"/>
      <c r="P173"/>
      <c r="Q173"/>
      <c r="R173"/>
      <c r="S173" s="33">
        <f>ROUND(95.736/($G$179+14)^0.871,1)</f>
        <v>5.6</v>
      </c>
      <c r="T173" s="31">
        <f>ROUND(J173*S173,2)</f>
        <v>43.4</v>
      </c>
      <c r="U173" s="31">
        <f>ROUND(IF((T173*$C$101)/((L174/12)^(8/3)*P174^0.5)&lt;0.463,(VLOOKUP((T173*$C$101)/((L174/12)^(8/3)*P174^0.5),$C$5:$E$97,2,1))*L174/12,L174/12),2)</f>
        <v>1.53</v>
      </c>
      <c r="V173" s="37">
        <f>ROUND((T173/((0.46/$C$101)*(L174/12)^(8/3)))^2,4)</f>
        <v>5.7000000000000002E-3</v>
      </c>
      <c r="W173" s="31">
        <f>ROUND(V173*M174,2)</f>
        <v>0.66</v>
      </c>
      <c r="X173" s="38">
        <f>ROUND(IF(N174+U173+(IF(Y173&gt;0,Y173,0))&gt;Z185+(IF(Y173&gt;0,Y173,0)),(IF(U173&lt;(L174/12),1,2)),3),0)</f>
        <v>1</v>
      </c>
      <c r="Y173" s="31">
        <f>ROUND((V173-P174)*M174,2)</f>
        <v>-1.71</v>
      </c>
      <c r="Z173" s="31">
        <f>ROUND(IF(N174+U173+(IF(Y173&gt;0,Y173,0))&gt;Z185+(IF(Y173&gt;0,Y173,0)),N174+U173+(IF(Y173&gt;0,Y173,0)),Z185+(IF(Y173&gt;0,Y173,0))),2)</f>
        <v>502.03</v>
      </c>
      <c r="AA173" s="30">
        <v>506</v>
      </c>
      <c r="AB173" s="62" t="s">
        <v>81</v>
      </c>
      <c r="AC173" s="34">
        <f>R174-K173</f>
        <v>44.19</v>
      </c>
      <c r="AD173" s="34">
        <f>AA173-Z173</f>
        <v>3.9700000000000273</v>
      </c>
      <c r="AE173" s="40">
        <f>AA173-N174</f>
        <v>5.5</v>
      </c>
    </row>
    <row r="174" spans="2:31" s="13" customFormat="1" ht="15" x14ac:dyDescent="0.25">
      <c r="B174" s="43"/>
      <c r="D174" s="30"/>
      <c r="E174"/>
      <c r="F174" s="44">
        <f>ROUND(+M174/Q174/60,1)</f>
        <v>0.2</v>
      </c>
      <c r="G174"/>
      <c r="H174"/>
      <c r="I174"/>
      <c r="J174"/>
      <c r="K174"/>
      <c r="L174" s="41">
        <v>36</v>
      </c>
      <c r="M174">
        <v>115</v>
      </c>
      <c r="N174" s="58">
        <f>O172</f>
        <v>500.5</v>
      </c>
      <c r="O174" s="42">
        <v>498.13</v>
      </c>
      <c r="P174" s="45">
        <f>ROUND((N174-O174)/M174,4)</f>
        <v>2.06E-2</v>
      </c>
      <c r="Q174" s="30">
        <f>ROUND(IF((K173*$C$101)/((L174/12)^(8/3)*P174^0.5)&lt;0.463,(K173/((VLOOKUP((K173*$C$101)/((L174/12)^(8/3)*P174^0.5),$C$5:$E$97,3,1))*(L174/12)^2)),(R174/(PI()*((L174/12)/2)^2))),2)</f>
        <v>11.55</v>
      </c>
      <c r="R174" s="30">
        <f>ROUND(((L174/12)^(8/3))*((P174^0.5))*0.463/$C$101,2)</f>
        <v>82.94</v>
      </c>
      <c r="S174"/>
      <c r="T174"/>
      <c r="U174" s="32"/>
      <c r="V174" s="32"/>
      <c r="W174" s="32"/>
      <c r="X174" s="32"/>
      <c r="Y174" s="32"/>
      <c r="Z174" s="32"/>
      <c r="AA174" s="32"/>
      <c r="AB174" s="63"/>
      <c r="AC174" s="35"/>
      <c r="AD174" s="35"/>
      <c r="AE174" s="35"/>
    </row>
    <row r="175" spans="2:31" s="13" customFormat="1" ht="15" x14ac:dyDescent="0.25">
      <c r="B175" s="43"/>
      <c r="C175" s="13" t="s">
        <v>91</v>
      </c>
      <c r="D175" s="30"/>
      <c r="E175" s="31">
        <f>ROUND(SUM($D$155:D175),2)</f>
        <v>9.7100000000000009</v>
      </c>
      <c r="F175" s="44"/>
      <c r="G175" s="33">
        <f>ROUND(SUM($F$155:F175),2)</f>
        <v>11.8</v>
      </c>
      <c r="H175" s="44">
        <f>ROUND(84.55/(G175+13)^0.882,1)</f>
        <v>5</v>
      </c>
      <c r="I175" s="30">
        <v>0.8</v>
      </c>
      <c r="J175" s="46">
        <f>ROUND(J173+D175*I175,2)</f>
        <v>7.75</v>
      </c>
      <c r="K175" s="31">
        <f>ROUND(J175*H175,2)</f>
        <v>38.75</v>
      </c>
      <c r="L175"/>
      <c r="M175"/>
      <c r="N175" s="36"/>
      <c r="O175" s="36"/>
      <c r="P175"/>
      <c r="Q175"/>
      <c r="R175"/>
      <c r="S175" s="33">
        <f>ROUND(95.736/($G$179+14)^0.871,1)</f>
        <v>5.6</v>
      </c>
      <c r="T175" s="31">
        <f>ROUND(J175*S175,2)</f>
        <v>43.4</v>
      </c>
      <c r="U175" s="31">
        <f>ROUND(IF((T175*$C$101)/((L176/12)^(8/3)*P176^0.5)&lt;0.463,(VLOOKUP((T175*$C$101)/((L176/12)^(8/3)*P176^0.5),$C$5:$E$97,2,1))*L176/12,L176/12),2)</f>
        <v>1.53</v>
      </c>
      <c r="V175" s="37">
        <f>ROUND((T175/((0.46/$C$101)*(L176/12)^(8/3)))^2,4)</f>
        <v>5.7000000000000002E-3</v>
      </c>
      <c r="W175" s="31">
        <f>ROUND(V175*M176,2)</f>
        <v>1.84</v>
      </c>
      <c r="X175" s="38">
        <f>ROUND(IF(N176+U175+(IF(Y175&gt;0,Y175,0))&gt;Z187+(IF(Y175&gt;0,Y175,0)),(IF(U175&lt;(L176/12),1,2)),3),0)</f>
        <v>1</v>
      </c>
      <c r="Y175" s="31">
        <f>ROUND((V175-P176)*M176,2)</f>
        <v>-4.83</v>
      </c>
      <c r="Z175" s="31">
        <f>ROUND(IF(N176+U175+(IF(Y175&gt;0,Y175,0))&gt;Z187+(IF(Y175&gt;0,Y175,0)),N176+U175+(IF(Y175&gt;0,Y175,0)),Z187+(IF(Y175&gt;0,Y175,0))),2)</f>
        <v>499.66</v>
      </c>
      <c r="AA175" s="30">
        <v>504.83</v>
      </c>
      <c r="AB175" s="62" t="s">
        <v>81</v>
      </c>
      <c r="AC175" s="34">
        <f>R176-K175</f>
        <v>44.39</v>
      </c>
      <c r="AD175" s="34">
        <f>AA175-Z175</f>
        <v>5.1699999999999591</v>
      </c>
      <c r="AE175" s="40">
        <f>AA175-N176</f>
        <v>6.6999999999999886</v>
      </c>
    </row>
    <row r="176" spans="2:31" s="13" customFormat="1" ht="15" x14ac:dyDescent="0.25">
      <c r="B176" s="43"/>
      <c r="D176" s="30"/>
      <c r="E176"/>
      <c r="F176" s="44">
        <f>ROUND(+M176/Q176/60,1)</f>
        <v>0.5</v>
      </c>
      <c r="G176"/>
      <c r="H176"/>
      <c r="I176"/>
      <c r="J176"/>
      <c r="K176"/>
      <c r="L176" s="41">
        <v>36</v>
      </c>
      <c r="M176">
        <v>322</v>
      </c>
      <c r="N176" s="42">
        <f>O174</f>
        <v>498.13</v>
      </c>
      <c r="O176" s="42">
        <v>491.45</v>
      </c>
      <c r="P176" s="45">
        <f>ROUND((N176-O176)/M176,4)</f>
        <v>2.07E-2</v>
      </c>
      <c r="Q176" s="30">
        <f>ROUND(IF((K175*$C$101)/((L176/12)^(8/3)*P176^0.5)&lt;0.463,(K175/((VLOOKUP((K175*$C$101)/((L176/12)^(8/3)*P176^0.5),$C$5:$E$97,3,1))*(L176/12)^2)),(R176/(PI()*((L176/12)/2)^2))),2)</f>
        <v>11.87</v>
      </c>
      <c r="R176" s="30">
        <f>ROUND(((L176/12)^(8/3))*((P176^0.5))*0.463/$C$101,2)</f>
        <v>83.14</v>
      </c>
      <c r="S176"/>
      <c r="T176"/>
      <c r="U176" s="32"/>
      <c r="V176" s="32"/>
      <c r="W176" s="32"/>
      <c r="X176" s="32"/>
      <c r="Y176" s="32"/>
      <c r="Z176" s="32"/>
      <c r="AA176" s="32"/>
      <c r="AB176" s="63"/>
      <c r="AC176" s="35"/>
      <c r="AD176" s="35"/>
      <c r="AE176" s="35"/>
    </row>
    <row r="177" spans="1:31" s="13" customFormat="1" ht="15" x14ac:dyDescent="0.25">
      <c r="B177" s="43" t="s">
        <v>104</v>
      </c>
      <c r="C177" s="13" t="s">
        <v>112</v>
      </c>
      <c r="D177" s="30"/>
      <c r="E177" s="31">
        <f>ROUND(SUM($D$155:D177),2)</f>
        <v>9.7100000000000009</v>
      </c>
      <c r="F177" s="44"/>
      <c r="G177" s="33">
        <f>ROUND(SUM($F$155:F177),2)</f>
        <v>12.3</v>
      </c>
      <c r="H177" s="44">
        <f>ROUND(84.55/(G177+13)^0.882,1)</f>
        <v>4.9000000000000004</v>
      </c>
      <c r="I177" s="30">
        <v>0.8</v>
      </c>
      <c r="J177" s="54">
        <f>ROUND(J175+D177*I177,2)+J151</f>
        <v>8.42</v>
      </c>
      <c r="K177" s="54">
        <f>ROUND(J177*H177,2)+K149</f>
        <v>42.4</v>
      </c>
      <c r="L177"/>
      <c r="M177"/>
      <c r="N177" s="36"/>
      <c r="O177" s="36"/>
      <c r="P177"/>
      <c r="Q177"/>
      <c r="R177"/>
      <c r="S177" s="33">
        <f>ROUND(95.736/($G$179+14)^0.871,1)</f>
        <v>5.6</v>
      </c>
      <c r="T177" s="54">
        <f>ROUND(J177*S177,2)+T149</f>
        <v>53.58</v>
      </c>
      <c r="U177" s="31">
        <f>ROUND(IF((T177*$C$101)/((L178/12)^(8/3)*P178^0.5)&lt;0.463,(VLOOKUP((T177*$C$101)/((L178/12)^(8/3)*P178^0.5),$C$5:$E$97,2,1))*L178/12,L178/12),2)</f>
        <v>1.53</v>
      </c>
      <c r="V177" s="37">
        <f>ROUND((T177/((0.46/$C$101)*(L178/12)^(8/3)))^2,4)</f>
        <v>8.6999999999999994E-3</v>
      </c>
      <c r="W177" s="31">
        <f>ROUND(V177*M178,2)</f>
        <v>0.23</v>
      </c>
      <c r="X177" s="38">
        <f>ROUND(IF(N178+U177+(IF(Y177&gt;0,Y177,0))&gt;Z189+(IF(Y177&gt;0,Y177,0)),(IF(U177&lt;(L178/12),1,2)),3),0)</f>
        <v>1</v>
      </c>
      <c r="Y177" s="31">
        <f>ROUND((V177-P178)*M178,2)</f>
        <v>-0.6</v>
      </c>
      <c r="Z177" s="31">
        <f>ROUND(IF(N178+U177+(IF(Y177&gt;0,Y177,0))&gt;Z189+(IF(Y177&gt;0,Y177,0)),N178+U177+(IF(Y177&gt;0,Y177,0)),Z189+(IF(Y177&gt;0,Y177,0))),2)</f>
        <v>492.98</v>
      </c>
      <c r="AA177" s="30">
        <v>502.78</v>
      </c>
      <c r="AB177" s="62" t="s">
        <v>81</v>
      </c>
      <c r="AC177" s="34">
        <f>R178-K177</f>
        <v>59.500000000000007</v>
      </c>
      <c r="AD177" s="34">
        <f>AA177-Z177</f>
        <v>9.7999999999999545</v>
      </c>
      <c r="AE177" s="40">
        <f>AA177-N178</f>
        <v>11.329999999999984</v>
      </c>
    </row>
    <row r="178" spans="1:31" s="13" customFormat="1" ht="15" x14ac:dyDescent="0.25">
      <c r="B178" s="43"/>
      <c r="D178" s="30"/>
      <c r="E178"/>
      <c r="F178" s="44">
        <f>ROUND(+M178/Q178/60,1)</f>
        <v>0</v>
      </c>
      <c r="G178"/>
      <c r="H178"/>
      <c r="I178"/>
      <c r="J178"/>
      <c r="K178"/>
      <c r="L178" s="41">
        <v>36</v>
      </c>
      <c r="M178">
        <v>27</v>
      </c>
      <c r="N178" s="42">
        <f>O176</f>
        <v>491.45</v>
      </c>
      <c r="O178" s="42">
        <v>490.61</v>
      </c>
      <c r="P178" s="45">
        <f>ROUND((N178-O178)/M178,4)</f>
        <v>3.1099999999999999E-2</v>
      </c>
      <c r="Q178" s="30">
        <f>ROUND(IF((K177*$C$101)/((L178/12)^(8/3)*P178^0.5)&lt;0.463,(K177/((VLOOKUP((K177*$C$101)/((L178/12)^(8/3)*P178^0.5),$C$5:$E$97,3,1))*(L178/12)^2)),(R178/(PI()*((L178/12)/2)^2))),2)</f>
        <v>14.16</v>
      </c>
      <c r="R178" s="30">
        <f>ROUND(((L178/12)^(8/3))*((P178^0.5))*0.463/$C$101,2)</f>
        <v>101.9</v>
      </c>
      <c r="S178"/>
      <c r="T178"/>
      <c r="U178" s="32"/>
      <c r="V178" s="32"/>
      <c r="W178" s="32"/>
      <c r="X178" s="32"/>
      <c r="Y178" s="32"/>
      <c r="Z178" s="32"/>
      <c r="AA178" s="32"/>
      <c r="AB178" s="63"/>
      <c r="AC178" s="35"/>
      <c r="AD178" s="35"/>
      <c r="AE178" s="35"/>
    </row>
    <row r="179" spans="1:31" s="13" customFormat="1" ht="15" x14ac:dyDescent="0.25">
      <c r="B179" s="43" t="s">
        <v>104</v>
      </c>
      <c r="C179" s="13" t="s">
        <v>113</v>
      </c>
      <c r="D179" s="30"/>
      <c r="E179" s="31">
        <f>ROUND(SUM($D$155:D179),2)</f>
        <v>9.7100000000000009</v>
      </c>
      <c r="F179" s="44"/>
      <c r="G179" s="33">
        <f>ROUND(SUM($F$155:F179),2)</f>
        <v>12.3</v>
      </c>
      <c r="H179" s="44"/>
      <c r="I179" s="30"/>
      <c r="J179" s="31">
        <f>ROUND(J177+D179*I179,2)</f>
        <v>8.42</v>
      </c>
      <c r="K179" s="31"/>
      <c r="L179"/>
      <c r="M179"/>
      <c r="N179"/>
      <c r="O179"/>
      <c r="P179"/>
      <c r="Q179"/>
      <c r="R179"/>
      <c r="S179" s="33"/>
      <c r="T179" s="31"/>
      <c r="U179" s="31"/>
      <c r="V179" s="37"/>
      <c r="W179" s="31"/>
      <c r="X179" s="31" t="s">
        <v>64</v>
      </c>
      <c r="Y179" s="31"/>
      <c r="Z179" s="31">
        <f>AA179+(0.217+1.25)/2</f>
        <v>491.34350000000001</v>
      </c>
      <c r="AA179" s="30">
        <v>490.61</v>
      </c>
      <c r="AB179" s="62" t="s">
        <v>57</v>
      </c>
      <c r="AC179" s="34">
        <f>R180-K179</f>
        <v>0</v>
      </c>
      <c r="AD179" s="34">
        <f>AA179-Z179</f>
        <v>-0.73349999999999227</v>
      </c>
      <c r="AE179" s="40"/>
    </row>
    <row r="180" spans="1:31" s="13" customFormat="1" ht="15" x14ac:dyDescent="0.25">
      <c r="B180" s="29"/>
      <c r="C180"/>
      <c r="D180" s="30"/>
      <c r="E180"/>
      <c r="F180" s="44"/>
      <c r="G180"/>
      <c r="H180"/>
      <c r="I180"/>
      <c r="J180"/>
      <c r="K180"/>
      <c r="L180" s="41"/>
      <c r="M180"/>
      <c r="N180" s="49"/>
      <c r="O180" s="30"/>
      <c r="P180" s="45"/>
      <c r="Q180" s="30"/>
      <c r="R180" s="30"/>
      <c r="S180"/>
      <c r="T180"/>
      <c r="U180"/>
      <c r="V180"/>
      <c r="W180"/>
      <c r="X180"/>
      <c r="Y180"/>
      <c r="Z180"/>
      <c r="AA180"/>
      <c r="AB180" s="32"/>
      <c r="AC180" s="35"/>
      <c r="AD180" s="35"/>
      <c r="AE180" s="35"/>
    </row>
    <row r="181" spans="1:31" s="13" customFormat="1" ht="15" x14ac:dyDescent="0.25">
      <c r="B181" s="29"/>
      <c r="C181" s="36"/>
      <c r="D181" s="30"/>
      <c r="E181" s="30"/>
      <c r="F181" s="44"/>
      <c r="G181" s="44"/>
      <c r="H181" s="44"/>
      <c r="I181" s="30"/>
      <c r="J181" s="30"/>
      <c r="K181" s="30"/>
      <c r="L181"/>
      <c r="M181"/>
      <c r="N181"/>
      <c r="O181"/>
      <c r="P181"/>
      <c r="Q181"/>
      <c r="R181"/>
      <c r="S181" s="44"/>
      <c r="T181" s="30"/>
      <c r="U181" s="30"/>
      <c r="V181" s="45"/>
      <c r="W181" s="30"/>
      <c r="X181" s="41"/>
      <c r="Y181" s="30"/>
      <c r="Z181" s="30"/>
      <c r="AA181" s="30"/>
      <c r="AB181" s="39"/>
      <c r="AC181" s="34"/>
      <c r="AD181" s="34"/>
      <c r="AE181" s="35"/>
    </row>
    <row r="182" spans="1:31" s="13" customFormat="1" ht="15" x14ac:dyDescent="0.25">
      <c r="B182" s="27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</row>
    <row r="183" spans="1:31" s="13" customFormat="1" hidden="1" x14ac:dyDescent="0.2">
      <c r="B183" s="8"/>
      <c r="C183" s="23"/>
      <c r="D183" s="9"/>
      <c r="E183" s="9"/>
      <c r="F183" s="11"/>
      <c r="G183" s="24"/>
      <c r="H183" s="11"/>
      <c r="I183" s="9"/>
      <c r="J183" s="20"/>
      <c r="K183" s="9"/>
      <c r="S183" s="11"/>
      <c r="T183" s="9"/>
      <c r="U183" s="9"/>
      <c r="V183" s="16"/>
      <c r="W183" s="9"/>
      <c r="X183" s="15"/>
      <c r="Y183" s="9"/>
      <c r="Z183" s="9"/>
      <c r="AA183" s="9"/>
      <c r="AB183" s="23"/>
      <c r="AC183" s="25"/>
      <c r="AD183" s="25"/>
      <c r="AE183" s="25"/>
    </row>
    <row r="184" spans="1:31" hidden="1" x14ac:dyDescent="0.2">
      <c r="A184" s="7"/>
      <c r="B184" s="18" t="s">
        <v>51</v>
      </c>
      <c r="C184" s="13" t="s">
        <v>79</v>
      </c>
      <c r="D184" s="9">
        <v>0.16059999999999999</v>
      </c>
      <c r="E184" s="9">
        <f>ROUND(SUM($D$184:D184),2)</f>
        <v>0.16</v>
      </c>
      <c r="F184" s="11">
        <v>10</v>
      </c>
      <c r="G184" s="11">
        <f>ROUND(SUM($F$184:F184),2)</f>
        <v>10</v>
      </c>
      <c r="H184" s="12">
        <f>ROUND(84.55/(G184+13)^0.882,1)</f>
        <v>5.3</v>
      </c>
      <c r="I184" s="9">
        <v>0.5</v>
      </c>
      <c r="J184" s="22">
        <f>ROUND(J182+D184*I184,2)</f>
        <v>0.08</v>
      </c>
      <c r="K184" s="22">
        <f>ROUND(J184*H184,2)</f>
        <v>0.42</v>
      </c>
      <c r="L184" s="13"/>
      <c r="M184" s="13"/>
      <c r="N184" s="13"/>
      <c r="O184" s="13"/>
      <c r="P184" s="13"/>
      <c r="Q184" s="13"/>
      <c r="R184" s="13"/>
      <c r="S184" s="11">
        <f>ROUND(95.736/(G190+14)^0.871,1)</f>
        <v>6</v>
      </c>
      <c r="T184" s="22">
        <f>ROUND(J184*S184,2)</f>
        <v>0.48</v>
      </c>
      <c r="U184" s="9">
        <f>ROUND(IF((T184*$C$101)/((L189/12)^(8/3)*P189^0.5)&lt;0.463,(VLOOKUP((T184*$C$101)/((L189/12)^(8/3)*P189^0.5),$C$5:$E$97,2,1))*L189/12,L189/12),2)</f>
        <v>0.24</v>
      </c>
      <c r="V184" s="16">
        <f>ROUND((T184/((0.46/$C$101)*(L189/12)^(8/3)))^2,4)</f>
        <v>1E-4</v>
      </c>
      <c r="W184" s="9">
        <f>ROUND(V184*M189,2)</f>
        <v>0</v>
      </c>
      <c r="X184" s="15">
        <f>ROUND(IF(N189+U184+(IF(Y184&gt;0,Y184,0))&gt;Z190+(IF(Y184&gt;0,Y184,0)),(IF(U184&lt;(L189/12),1,2)),3),0)</f>
        <v>3</v>
      </c>
      <c r="Y184" s="9">
        <f>ROUND((V184-P189)*M189,2)</f>
        <v>-7.0000000000000007E-2</v>
      </c>
      <c r="Z184" s="10">
        <f>ROUND(IF(N189+U184+(IF(Y184&gt;0,Y184,0))&gt;Z190+(IF(Y184&gt;0,Y184,0)),N189+U184+(IF(Y184&gt;0,Y184,0)),Z190+(IF(Y184&gt;0,Y184,0))),2)</f>
        <v>636.92999999999995</v>
      </c>
      <c r="AA184" s="9">
        <v>655.84</v>
      </c>
      <c r="AB184" s="13" t="s">
        <v>63</v>
      </c>
      <c r="AC184" s="14">
        <f>R189-K184</f>
        <v>5.18</v>
      </c>
      <c r="AD184" s="14">
        <f>AA184-Z184</f>
        <v>18.910000000000082</v>
      </c>
      <c r="AE184" s="14">
        <f t="shared" ref="AE184" si="2">AA184-N189</f>
        <v>19.529999999999973</v>
      </c>
    </row>
    <row r="185" spans="1:31" ht="15" hidden="1" x14ac:dyDescent="0.25">
      <c r="A185" s="7"/>
      <c r="B185" s="18"/>
      <c r="C185" s="13"/>
      <c r="D185" s="9"/>
      <c r="E185" s="9"/>
      <c r="F185" s="44">
        <f>ROUND(+M185/Q185/60,1)</f>
        <v>0</v>
      </c>
      <c r="G185" s="11"/>
      <c r="H185" s="12"/>
      <c r="I185" s="9"/>
      <c r="J185" s="22"/>
      <c r="K185" s="22"/>
      <c r="L185" s="13">
        <v>15</v>
      </c>
      <c r="M185" s="13">
        <v>5</v>
      </c>
      <c r="N185" s="9">
        <f>O185+M185*0.01</f>
        <v>651.48</v>
      </c>
      <c r="O185" s="9">
        <f>N187+(L187-L185)/12</f>
        <v>651.43000000000006</v>
      </c>
      <c r="P185" s="16">
        <f>ROUND((N185-O185)/M185,4)</f>
        <v>0.01</v>
      </c>
      <c r="Q185" s="30">
        <f>ROUND(IF((K184*$C$101)/((L185/12)^(8/3)*P185^0.5)&lt;0.463,(K184/((VLOOKUP((K184*$C$101)/((L185/12)^(8/3)*P185^0.5),$C$5:$E$97,3,1))*(L185/12)^2)),(R185/(PI()*((L185/12)/2)^2))),2)</f>
        <v>2.8</v>
      </c>
      <c r="R185" s="9">
        <f>ROUND(((L185/12)^(8/3))*((P185^0.5))*0.463/$C$101,2)</f>
        <v>5.6</v>
      </c>
      <c r="S185" s="11"/>
      <c r="T185" s="22"/>
      <c r="U185" s="9"/>
      <c r="V185" s="16"/>
      <c r="W185" s="9"/>
      <c r="X185" s="15"/>
      <c r="Y185" s="9"/>
      <c r="Z185" s="10"/>
      <c r="AA185" s="9"/>
      <c r="AB185" s="13"/>
      <c r="AC185" s="14"/>
      <c r="AD185" s="14"/>
      <c r="AE185" s="14"/>
    </row>
    <row r="186" spans="1:31" hidden="1" x14ac:dyDescent="0.2">
      <c r="A186" s="7"/>
      <c r="B186" s="18"/>
      <c r="C186" s="13"/>
      <c r="D186" s="9"/>
      <c r="E186" s="9">
        <f>ROUND(SUM($D$184:D186),2)</f>
        <v>0.16</v>
      </c>
      <c r="F186" s="13"/>
      <c r="G186" s="11">
        <f>ROUND(SUM($F$184:F186),2)</f>
        <v>10</v>
      </c>
      <c r="H186" s="12">
        <f>ROUND(84.55/(G186+13)^0.882,1)</f>
        <v>5.3</v>
      </c>
      <c r="I186" s="9"/>
      <c r="J186" s="22">
        <f>ROUND(J184+D186*I186,2)</f>
        <v>0.08</v>
      </c>
      <c r="K186" s="22">
        <f>ROUND(J186*H186,2)</f>
        <v>0.42</v>
      </c>
      <c r="L186" s="13"/>
      <c r="M186" s="13"/>
      <c r="N186" s="13"/>
      <c r="O186" s="13"/>
      <c r="P186" s="13"/>
      <c r="Q186" s="13"/>
      <c r="R186" s="13"/>
      <c r="S186" s="11">
        <f>ROUND(95.736/(G190+14)^0.871,1)</f>
        <v>6</v>
      </c>
      <c r="T186" s="22">
        <f>ROUND(J186*S186,2)</f>
        <v>0.48</v>
      </c>
      <c r="U186" s="9">
        <f>ROUND(IF((T186*$C$101)/((L189/12)^(8/3)*P189^0.5)&lt;0.463,(VLOOKUP((T186*$C$101)/((L189/12)^(8/3)*P189^0.5),$C$5:$E$97,2,1))*L189/12,L189/12),2)</f>
        <v>0.24</v>
      </c>
      <c r="V186" s="16">
        <f>ROUND((T186/((0.46/$C$101)*(L189/12)^(8/3)))^2,4)</f>
        <v>1E-4</v>
      </c>
      <c r="W186" s="9">
        <f>ROUND(V186*M191,2)</f>
        <v>0</v>
      </c>
      <c r="X186" s="15">
        <f>ROUND(IF(N191+U186+(IF(Y186&gt;0,Y186,0))&gt;Z192+(IF(Y186&gt;0,Y186,0)),(IF(U186&lt;(L191/12),1,2)),3),0)</f>
        <v>2</v>
      </c>
      <c r="Y186" s="9">
        <f>ROUND((V186-P191)*M191,2)</f>
        <v>0</v>
      </c>
      <c r="Z186" s="10">
        <f>ROUND(IF(N191+U186+(IF(Y186&gt;0,Y186,0))&gt;Z192+(IF(Y186&gt;0,Y186,0)),N191+U186+(IF(Y186&gt;0,Y186,0)),Z192+(IF(Y186&gt;0,Y186,0))),2)</f>
        <v>0.24</v>
      </c>
      <c r="AA186" s="9"/>
      <c r="AB186" s="13"/>
      <c r="AC186" s="14"/>
      <c r="AD186" s="14"/>
      <c r="AE186" s="14"/>
    </row>
    <row r="187" spans="1:31" ht="15" hidden="1" x14ac:dyDescent="0.25">
      <c r="A187" s="7"/>
      <c r="B187" s="18"/>
      <c r="C187" s="13"/>
      <c r="D187" s="9"/>
      <c r="E187" s="9"/>
      <c r="F187" s="44">
        <f>ROUND(+M187/Q187/60,1)</f>
        <v>0.1</v>
      </c>
      <c r="G187" s="11"/>
      <c r="H187" s="12"/>
      <c r="I187" s="9"/>
      <c r="J187" s="22"/>
      <c r="K187" s="22"/>
      <c r="L187" s="13">
        <v>15</v>
      </c>
      <c r="M187" s="13">
        <v>36</v>
      </c>
      <c r="N187" s="9">
        <f>O187+M187*0.42</f>
        <v>651.43000000000006</v>
      </c>
      <c r="O187" s="9">
        <f>N189+(L189-L187)/12</f>
        <v>636.31000000000006</v>
      </c>
      <c r="P187" s="16">
        <f>ROUND((N187-O187)/M187,4)</f>
        <v>0.42</v>
      </c>
      <c r="Q187" s="30">
        <f>ROUND(IF((K186*$C$101)/((L187/12)^(8/3)*P187^0.5)&lt;0.463,(K186/((VLOOKUP((K186*$C$101)/((L187/12)^(8/3)*P187^0.5),$C$5:$E$97,3,1))*(L187/12)^2)),(R187/(PI()*((L187/12)/2)^2))),2)</f>
        <v>11.11</v>
      </c>
      <c r="R187" s="9">
        <f>ROUND(((L187/12)^(8/3))*((P187^0.5))*0.463/$C$101,2)</f>
        <v>36.270000000000003</v>
      </c>
      <c r="S187" s="11"/>
      <c r="T187" s="22"/>
      <c r="U187" s="9"/>
      <c r="V187" s="16"/>
      <c r="W187" s="9"/>
      <c r="X187" s="15"/>
      <c r="Y187" s="9"/>
      <c r="Z187" s="10"/>
      <c r="AA187" s="9"/>
      <c r="AB187" s="13"/>
      <c r="AC187" s="14"/>
      <c r="AD187" s="14"/>
      <c r="AE187" s="14"/>
    </row>
    <row r="188" spans="1:31" hidden="1" x14ac:dyDescent="0.2">
      <c r="A188" s="7"/>
      <c r="B188" s="18"/>
      <c r="C188" s="13"/>
      <c r="D188" s="9"/>
      <c r="E188" s="9">
        <f>ROUND(SUM($D$184:D188),2)</f>
        <v>0.16</v>
      </c>
      <c r="F188" s="13"/>
      <c r="G188" s="11">
        <f>ROUND(SUM($F$184:F188),2)</f>
        <v>10.1</v>
      </c>
      <c r="H188" s="12">
        <f>ROUND(84.55/(G188+13)^0.882,1)</f>
        <v>5.3</v>
      </c>
      <c r="I188" s="9"/>
      <c r="J188" s="22">
        <f>ROUND(J186+D188*I188,2)</f>
        <v>0.08</v>
      </c>
      <c r="K188" s="22">
        <f>ROUND(J188*H188,2)</f>
        <v>0.42</v>
      </c>
      <c r="L188" s="13"/>
      <c r="M188" s="13"/>
      <c r="N188" s="13"/>
      <c r="O188" s="13"/>
      <c r="P188" s="13"/>
      <c r="Q188" s="13"/>
      <c r="R188" s="13"/>
      <c r="S188" s="11">
        <f>ROUND(95.736/(G190+14)^0.871,1)</f>
        <v>6</v>
      </c>
      <c r="T188" s="22">
        <f>ROUND(J188*S188,2)</f>
        <v>0.48</v>
      </c>
      <c r="U188" s="9">
        <f>ROUND(IF((T188*$C$101)/((L189/12)^(8/3)*P189^0.5)&lt;0.463,(VLOOKUP((T188*$C$101)/((L189/12)^(8/3)*P189^0.5),$C$5:$E$97,2,1))*L189/12,L189/12),2)</f>
        <v>0.24</v>
      </c>
      <c r="V188" s="16">
        <f>ROUND((T188/((0.46/$C$101)*(L189/12)^(8/3)))^2,4)</f>
        <v>1E-4</v>
      </c>
      <c r="W188" s="9">
        <f>ROUND(V188*M193,2)</f>
        <v>0</v>
      </c>
      <c r="X188" s="15">
        <f>ROUND(IF(N193+U188+(IF(Y188&gt;0,Y188,0))&gt;Z194+(IF(Y188&gt;0,Y188,0)),(IF(U188&lt;(L193/12),1,2)),3),0)</f>
        <v>3</v>
      </c>
      <c r="Y188" s="9">
        <f>ROUND((V188-P193)*M193,2)</f>
        <v>0</v>
      </c>
      <c r="Z188" s="10">
        <f>ROUND(IF(N193+U188+(IF(Y188&gt;0,Y188,0))&gt;Z194+(IF(Y188&gt;0,Y188,0)),N193+U188+(IF(Y188&gt;0,Y188,0)),Z194+(IF(Y188&gt;0,Y188,0))),2)</f>
        <v>608.92999999999995</v>
      </c>
      <c r="AA188" s="9"/>
      <c r="AB188" s="13"/>
      <c r="AC188" s="14"/>
      <c r="AD188" s="14"/>
      <c r="AE188" s="14"/>
    </row>
    <row r="189" spans="1:31" ht="15" hidden="1" x14ac:dyDescent="0.25">
      <c r="A189" s="7"/>
      <c r="B189" s="18"/>
      <c r="C189" s="13"/>
      <c r="D189" s="9"/>
      <c r="E189" s="9"/>
      <c r="F189" s="44">
        <f>ROUND(+M189/Q189/60,1)</f>
        <v>0</v>
      </c>
      <c r="G189" s="13"/>
      <c r="H189" s="13"/>
      <c r="I189" s="13"/>
      <c r="J189" s="13"/>
      <c r="K189" s="13"/>
      <c r="L189" s="15">
        <v>15</v>
      </c>
      <c r="M189" s="13">
        <v>7</v>
      </c>
      <c r="N189" s="9">
        <f>O189+M189*0.01</f>
        <v>636.31000000000006</v>
      </c>
      <c r="O189" s="9">
        <v>636.24</v>
      </c>
      <c r="P189" s="16">
        <f>ROUND((N189-O189)/M189,4)</f>
        <v>0.01</v>
      </c>
      <c r="Q189" s="9">
        <f>ROUND(IF((K184*$C$101)/((L189/12)^(8/3)*P189^0.5)&lt;0.463,(K184/((VLOOKUP((K184*$C$101)/((L189/12)^(8/3)*P189^0.5),$C$5:$E$97,3,1))*(L189/12)^2)),(R189/(PI()*((L189/12)/2)^2))),2)</f>
        <v>2.8</v>
      </c>
      <c r="R189" s="9">
        <f>ROUND(((L189/12)^(8/3))*((P189^0.5))*0.463/$C$101,2)</f>
        <v>5.6</v>
      </c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D189" s="17"/>
      <c r="AE189" s="14"/>
    </row>
    <row r="190" spans="1:31" hidden="1" x14ac:dyDescent="0.2">
      <c r="A190" s="7"/>
      <c r="B190" s="18"/>
      <c r="C190" s="13" t="s">
        <v>80</v>
      </c>
      <c r="D190" s="13"/>
      <c r="E190" s="9">
        <f>ROUND(SUM($D$184:D190),2)</f>
        <v>0.16</v>
      </c>
      <c r="F190" s="13"/>
      <c r="G190" s="11">
        <f>ROUND(SUM($F$184:F190),2)</f>
        <v>10.1</v>
      </c>
      <c r="H190" s="11"/>
      <c r="I190" s="9"/>
      <c r="J190" s="22">
        <f>ROUND(J188+D190*I190,2)</f>
        <v>0.08</v>
      </c>
      <c r="K190" s="22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9">
        <f>AA190+(1.25+0.13)/2</f>
        <v>636.93000000000006</v>
      </c>
      <c r="AA190" s="9">
        <v>636.24</v>
      </c>
      <c r="AB190" s="23" t="s">
        <v>48</v>
      </c>
      <c r="AC190" s="14">
        <f>R191-K190</f>
        <v>0</v>
      </c>
      <c r="AD190" s="14">
        <f>AA190-Z190</f>
        <v>-0.69000000000005457</v>
      </c>
      <c r="AE190" s="14"/>
    </row>
    <row r="191" spans="1:31" hidden="1" x14ac:dyDescent="0.2">
      <c r="A191" s="7"/>
      <c r="B191" s="8"/>
      <c r="C191" s="23"/>
      <c r="D191" s="13"/>
      <c r="E191" s="9"/>
      <c r="F191" s="13"/>
      <c r="G191" s="11"/>
      <c r="H191" s="13"/>
      <c r="I191" s="13"/>
      <c r="J191" s="9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9"/>
      <c r="AA191" s="9"/>
      <c r="AB191" s="23"/>
      <c r="AC191" s="14"/>
      <c r="AD191" s="14"/>
      <c r="AE191" s="14"/>
    </row>
    <row r="192" spans="1:31" s="13" customFormat="1" hidden="1" x14ac:dyDescent="0.2">
      <c r="B192" s="21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</row>
    <row r="193" spans="1:31" s="13" customFormat="1" ht="15" hidden="1" x14ac:dyDescent="0.25">
      <c r="B193" s="43"/>
      <c r="C193" s="39"/>
      <c r="D193" s="30"/>
      <c r="E193"/>
      <c r="F193" s="44"/>
      <c r="G193"/>
      <c r="H193"/>
      <c r="I193"/>
      <c r="J193"/>
      <c r="K193"/>
      <c r="L193" s="41"/>
      <c r="M193"/>
      <c r="N193" s="49"/>
      <c r="O193" s="49"/>
      <c r="P193" s="45"/>
      <c r="Q193" s="30"/>
      <c r="R193" s="30"/>
      <c r="S193"/>
      <c r="T193"/>
      <c r="U193" s="32"/>
      <c r="V193" s="32"/>
      <c r="W193" s="32"/>
      <c r="X193" s="32"/>
      <c r="Y193" s="32"/>
      <c r="Z193" s="32"/>
      <c r="AA193" s="32"/>
      <c r="AB193" s="32"/>
      <c r="AC193" s="35"/>
      <c r="AD193" s="35"/>
      <c r="AE193" s="35"/>
    </row>
    <row r="194" spans="1:31" s="13" customFormat="1" ht="15" hidden="1" x14ac:dyDescent="0.25">
      <c r="B194" s="43" t="s">
        <v>51</v>
      </c>
      <c r="C194" s="39" t="s">
        <v>69</v>
      </c>
      <c r="D194" s="30">
        <v>0.26</v>
      </c>
      <c r="E194" s="31">
        <f>ROUND(SUM($D$194:D194),2)</f>
        <v>0.26</v>
      </c>
      <c r="F194" s="44">
        <v>10</v>
      </c>
      <c r="G194" s="33">
        <f>ROUND(SUM($F$194:F194),2)</f>
        <v>10</v>
      </c>
      <c r="H194" s="44">
        <f>ROUND(84.55/(G194+13)^0.882,1)</f>
        <v>5.3</v>
      </c>
      <c r="I194" s="30">
        <v>0.9</v>
      </c>
      <c r="J194" s="48">
        <f>ROUND(D194*I194,2)</f>
        <v>0.23</v>
      </c>
      <c r="K194" s="31">
        <f>ROUND(J194*H194,2)</f>
        <v>1.22</v>
      </c>
      <c r="L194"/>
      <c r="M194"/>
      <c r="N194" s="36"/>
      <c r="O194" s="36"/>
      <c r="P194"/>
      <c r="Q194"/>
      <c r="R194"/>
      <c r="S194" s="33">
        <f>ROUND(95.736/($G$196+14)^0.871,1)</f>
        <v>5.9</v>
      </c>
      <c r="T194" s="31">
        <f>ROUND(J194*S194,2)</f>
        <v>1.36</v>
      </c>
      <c r="U194" s="31">
        <f>ROUND(IF((T194*$C$101)/((L195/12)^(8/3)*P195^0.5)&lt;0.463,(VLOOKUP((T194*$C$101)/((L195/12)^(8/3)*P195^0.5),$C$5:$E$97,2,1))*L195/12,L195/12),2)</f>
        <v>0.53</v>
      </c>
      <c r="V194" s="37">
        <f>ROUND((T194/((0.46/$C$101)*(L195/12)^(8/3)))^2,4)</f>
        <v>2E-3</v>
      </c>
      <c r="W194" s="31">
        <f>ROUND(V194*M195,2)</f>
        <v>0.13</v>
      </c>
      <c r="X194" s="38">
        <f>ROUND(IF(N195+U194+(IF(Y194&gt;0,Y194,0))&gt;Z196+(IF(Y194&gt;0,Y194,0)),(IF(U194&lt;(L195/12),1,2)),3),0)</f>
        <v>1</v>
      </c>
      <c r="Y194" s="31">
        <f>ROUND((V194-P195)*M195,2)</f>
        <v>-0.27</v>
      </c>
      <c r="Z194" s="31">
        <f>ROUND(IF(N195+U194+(IF(Y194&gt;0,Y194,0))&gt;Z196+(IF(Y194&gt;0,Y194,0)),N195+U194+(IF(Y194&gt;0,Y194,0)),Z196+(IF(Y194&gt;0,Y194,0))),2)</f>
        <v>608.92999999999995</v>
      </c>
      <c r="AA194" s="30">
        <v>612.16999999999996</v>
      </c>
      <c r="AB194" s="39" t="s">
        <v>73</v>
      </c>
      <c r="AC194" s="34">
        <f>R195-K194</f>
        <v>1.2100000000000002</v>
      </c>
      <c r="AD194" s="34">
        <f>AA194-Z194</f>
        <v>3.2400000000000091</v>
      </c>
      <c r="AE194" s="40">
        <f>AA194-N195</f>
        <v>3.7699999999999818</v>
      </c>
    </row>
    <row r="195" spans="1:31" s="13" customFormat="1" ht="15" hidden="1" x14ac:dyDescent="0.25">
      <c r="B195" s="43"/>
      <c r="C195" s="39"/>
      <c r="D195" s="30"/>
      <c r="E195"/>
      <c r="F195" s="44">
        <f>ROUND(+M195/Q195/60,1)</f>
        <v>0.3</v>
      </c>
      <c r="G195"/>
      <c r="H195"/>
      <c r="I195"/>
      <c r="J195"/>
      <c r="K195"/>
      <c r="L195" s="41">
        <v>12</v>
      </c>
      <c r="M195">
        <v>64</v>
      </c>
      <c r="N195" s="50">
        <v>608.4</v>
      </c>
      <c r="O195" s="50">
        <v>608</v>
      </c>
      <c r="P195" s="45">
        <f>ROUND((N195-O195)/M195,4)</f>
        <v>6.1999999999999998E-3</v>
      </c>
      <c r="Q195" s="30">
        <f>ROUND(IF((K194*$C$101)/((L195/12)^(8/3)*P195^0.5)&lt;0.463,(K194/((VLOOKUP((K194*$C$101)/((L195/12)^(8/3)*P195^0.5),$C$5:$E$97,3,1))*(L195/12)^2)),(R195/(PI()*((L195/12)/2)^2))),2)</f>
        <v>3.11</v>
      </c>
      <c r="R195" s="30">
        <f>ROUND(((L195/12)^(8/3))*((P195^0.5))*0.463/$C$101,2)</f>
        <v>2.4300000000000002</v>
      </c>
      <c r="S195"/>
      <c r="T195"/>
      <c r="U195" s="32"/>
      <c r="V195" s="32"/>
      <c r="W195" s="32"/>
      <c r="X195" s="32"/>
      <c r="Y195" s="32"/>
      <c r="Z195" s="32"/>
      <c r="AA195" s="32"/>
      <c r="AB195" s="32"/>
      <c r="AC195" s="35"/>
      <c r="AD195" s="35"/>
      <c r="AE195" s="35"/>
    </row>
    <row r="196" spans="1:31" s="13" customFormat="1" ht="15" hidden="1" x14ac:dyDescent="0.25">
      <c r="B196" s="43" t="s">
        <v>51</v>
      </c>
      <c r="C196" s="39" t="s">
        <v>70</v>
      </c>
      <c r="D196" s="30"/>
      <c r="E196" s="31">
        <f>ROUND(SUM($D$194:D196),2)</f>
        <v>0.26</v>
      </c>
      <c r="F196" s="44"/>
      <c r="G196" s="33">
        <f>ROUND(SUM($F$194:F196),2)</f>
        <v>10.3</v>
      </c>
      <c r="H196" s="44"/>
      <c r="I196" s="30"/>
      <c r="J196" s="31">
        <f>ROUND(J194+D196*I196,2)</f>
        <v>0.23</v>
      </c>
      <c r="K196" s="31"/>
      <c r="L196"/>
      <c r="M196"/>
      <c r="N196"/>
      <c r="O196"/>
      <c r="P196"/>
      <c r="Q196"/>
      <c r="R196"/>
      <c r="S196" s="33"/>
      <c r="T196" s="31"/>
      <c r="U196" s="31"/>
      <c r="V196" s="37"/>
      <c r="W196" s="31"/>
      <c r="X196" s="39"/>
      <c r="Y196" s="31"/>
      <c r="Z196" s="31">
        <v>564.39</v>
      </c>
      <c r="AA196" s="30">
        <f>O195</f>
        <v>608</v>
      </c>
      <c r="AB196" s="39" t="s">
        <v>57</v>
      </c>
      <c r="AC196" s="34">
        <f>R197-K196</f>
        <v>0</v>
      </c>
      <c r="AD196" s="34">
        <f>AA196-Z196</f>
        <v>43.610000000000014</v>
      </c>
      <c r="AE196" s="40"/>
    </row>
    <row r="197" spans="1:31" s="13" customFormat="1" ht="15" hidden="1" x14ac:dyDescent="0.25">
      <c r="B197" s="43"/>
      <c r="C197" s="32"/>
      <c r="D197" s="30"/>
      <c r="E197"/>
      <c r="F197" s="44"/>
      <c r="G197"/>
      <c r="H197"/>
      <c r="I197"/>
      <c r="J197"/>
      <c r="K197"/>
      <c r="L197" s="41"/>
      <c r="M197"/>
      <c r="N197" s="42"/>
      <c r="O197" s="42"/>
      <c r="P197" s="45"/>
      <c r="Q197" s="30"/>
      <c r="R197" s="30"/>
      <c r="S197"/>
      <c r="T197"/>
      <c r="U197" s="32"/>
      <c r="V197" s="32"/>
      <c r="W197" s="32"/>
      <c r="X197" s="32"/>
      <c r="Y197" s="32"/>
      <c r="Z197" s="32"/>
      <c r="AA197" s="32"/>
      <c r="AB197" s="32"/>
      <c r="AC197" s="35"/>
      <c r="AD197" s="35"/>
      <c r="AE197" s="35"/>
    </row>
    <row r="198" spans="1:31" s="13" customFormat="1" ht="15" hidden="1" x14ac:dyDescent="0.25">
      <c r="B198" s="27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</row>
    <row r="199" spans="1:31" s="13" customFormat="1" ht="15" hidden="1" x14ac:dyDescent="0.25">
      <c r="A199" s="9"/>
      <c r="B199" s="29"/>
      <c r="C199" s="30"/>
      <c r="D199"/>
      <c r="E199" s="31"/>
      <c r="F199" s="32"/>
      <c r="G199" s="33"/>
      <c r="H199" s="32"/>
      <c r="I199"/>
      <c r="J199" s="31"/>
      <c r="K199" s="32"/>
      <c r="L199"/>
      <c r="M199"/>
      <c r="N199"/>
      <c r="O199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0"/>
      <c r="AA199" s="30"/>
      <c r="AB199" s="32"/>
      <c r="AC199" s="34"/>
      <c r="AD199" s="34"/>
      <c r="AE199" s="35"/>
    </row>
    <row r="200" spans="1:31" s="13" customFormat="1" ht="15" hidden="1" x14ac:dyDescent="0.25">
      <c r="B200" s="52" t="s">
        <v>51</v>
      </c>
      <c r="C200" s="36" t="s">
        <v>66</v>
      </c>
      <c r="D200" s="30">
        <v>3.79</v>
      </c>
      <c r="E200" s="31">
        <f>ROUND(SUM($D$200:D200),2)</f>
        <v>3.79</v>
      </c>
      <c r="F200" s="44">
        <v>10</v>
      </c>
      <c r="G200" s="33">
        <f>ROUND(SUM($F$200:F200),2)</f>
        <v>10</v>
      </c>
      <c r="H200" s="44">
        <f>ROUND(84.55/(G200+13)^0.882,1)</f>
        <v>5.3</v>
      </c>
      <c r="I200" s="30">
        <v>0.5</v>
      </c>
      <c r="J200" s="42">
        <f>ROUND(D200*I200,2)</f>
        <v>1.9</v>
      </c>
      <c r="K200" s="31">
        <f>ROUND(J200*H200,2)</f>
        <v>10.07</v>
      </c>
      <c r="L200"/>
      <c r="M200"/>
      <c r="N200" s="36"/>
      <c r="O200" s="36"/>
      <c r="P200"/>
      <c r="Q200"/>
      <c r="R200"/>
      <c r="S200" s="33">
        <f>ROUND(95.736/($G$222+14)^0.871,1)</f>
        <v>5.8</v>
      </c>
      <c r="T200" s="31">
        <f>ROUND(J200*S200,2)</f>
        <v>11.02</v>
      </c>
      <c r="U200" s="31">
        <f>ROUND(IF((T200*$C$101)/((L201/12)^(8/3)*P201^0.5)&lt;0.463,(VLOOKUP((T200*$C$101)/((L201/12)^(8/3)*P201^0.5),$C$5:$E$97,2,1))*L201/12,L201/12),2)</f>
        <v>1.33</v>
      </c>
      <c r="V200" s="37">
        <f>ROUND((T200/((0.46/$C$101)*(L201/12)^(8/3)))^2,4)</f>
        <v>6.4999999999999997E-3</v>
      </c>
      <c r="W200" s="31">
        <f>ROUND(V200*M201,2)</f>
        <v>0.5</v>
      </c>
      <c r="X200" s="38">
        <f>ROUND(IF(N201+U200+(IF(Y200&gt;0,Y200,0))&gt;Z202+(IF(Y200&gt;0,Y200,0)),(IF(U200&lt;(L201/12),1,2)),3),0)</f>
        <v>1</v>
      </c>
      <c r="Y200" s="31">
        <f>ROUND((V200-P201)*M201,2)</f>
        <v>-0.08</v>
      </c>
      <c r="Z200" s="31">
        <f>ROUND(IF(N201+U200+(IF(Y200&gt;0,Y200,0))&gt;Z202+(IF(Y200&gt;0,Y200,0)),N201+U200+(IF(Y200&gt;0,Y200,0)),Z202+(IF(Y200&gt;0,Y200,0))),2)</f>
        <v>591.54</v>
      </c>
      <c r="AA200" s="30">
        <v>593</v>
      </c>
      <c r="AB200" s="39" t="s">
        <v>49</v>
      </c>
      <c r="AC200" s="34">
        <f>R201-K200</f>
        <v>1.8200000000000003</v>
      </c>
      <c r="AD200" s="34">
        <f>AA200-Z200</f>
        <v>1.4600000000000364</v>
      </c>
      <c r="AE200" s="40">
        <f>AA200-N201</f>
        <v>2.7949999999999591</v>
      </c>
    </row>
    <row r="201" spans="1:31" s="13" customFormat="1" ht="15" hidden="1" x14ac:dyDescent="0.25">
      <c r="B201" s="52"/>
      <c r="C201" s="32"/>
      <c r="D201" s="30"/>
      <c r="E201"/>
      <c r="F201" s="44">
        <f>ROUND(+M201/Q201/60,1)</f>
        <v>0.2</v>
      </c>
      <c r="G201"/>
      <c r="H201"/>
      <c r="I201"/>
      <c r="J201"/>
      <c r="K201"/>
      <c r="L201" s="41">
        <v>21</v>
      </c>
      <c r="M201">
        <v>77</v>
      </c>
      <c r="N201" s="42">
        <f>O201+M201*0.0075</f>
        <v>590.20500000000004</v>
      </c>
      <c r="O201" s="42">
        <f>N203</f>
        <v>589.62750000000005</v>
      </c>
      <c r="P201" s="45">
        <f>ROUND((N201-O201)/M201,4)</f>
        <v>7.4999999999999997E-3</v>
      </c>
      <c r="Q201" s="30">
        <f>ROUND(IF((K200*$C$101)/((L201/12)^(8/3)*P201^0.5)&lt;0.463,(K200/((VLOOKUP((K200*$C$101)/((L201/12)^(8/3)*P201^0.5),$C$5:$E$97,3,1))*(L201/12)^2)),(R201/(PI()*((L201/12)/2)^2))),2)</f>
        <v>5.6</v>
      </c>
      <c r="R201" s="30">
        <f>ROUND(((L201/12)^(8/3))*((P201^0.5))*0.463/$C$101,2)</f>
        <v>11.89</v>
      </c>
      <c r="S201"/>
      <c r="T201"/>
      <c r="U201" s="32"/>
      <c r="V201" s="32"/>
      <c r="W201" s="32"/>
      <c r="X201" s="32"/>
      <c r="Y201" s="32"/>
      <c r="Z201" s="32"/>
      <c r="AA201" s="32"/>
      <c r="AB201" s="32"/>
      <c r="AC201" s="35"/>
      <c r="AD201" s="35"/>
      <c r="AE201" s="35"/>
    </row>
    <row r="202" spans="1:31" s="13" customFormat="1" ht="15" hidden="1" x14ac:dyDescent="0.25">
      <c r="B202" s="52" t="s">
        <v>51</v>
      </c>
      <c r="C202" s="13" t="s">
        <v>67</v>
      </c>
      <c r="D202" s="30">
        <v>0.71</v>
      </c>
      <c r="E202" s="31">
        <f>ROUND(SUM($D$200:D202),2)</f>
        <v>4.5</v>
      </c>
      <c r="F202" s="44"/>
      <c r="G202" s="33">
        <f>ROUND(SUM($F$200:F202),2)</f>
        <v>10.199999999999999</v>
      </c>
      <c r="H202" s="44">
        <f>ROUND(84.55/(G202+13)^0.882,1)</f>
        <v>5.3</v>
      </c>
      <c r="I202" s="30">
        <v>0.5</v>
      </c>
      <c r="J202" s="46">
        <f>ROUND(J200+D202*I202,2)</f>
        <v>2.2599999999999998</v>
      </c>
      <c r="K202" s="31">
        <f>ROUND(J202*H202,2)</f>
        <v>11.98</v>
      </c>
      <c r="L202"/>
      <c r="M202"/>
      <c r="N202" s="36"/>
      <c r="O202" s="36"/>
      <c r="P202"/>
      <c r="Q202"/>
      <c r="R202"/>
      <c r="S202" s="33">
        <f>ROUND(95.736/($G$222+14)^0.871,1)</f>
        <v>5.8</v>
      </c>
      <c r="T202" s="31">
        <f>ROUND(J202*S202,2)</f>
        <v>13.11</v>
      </c>
      <c r="U202" s="31">
        <f>ROUND(IF((T202*$C$101)/((L203/12)^(8/3)*P203^0.5)&lt;0.463,(VLOOKUP((T202*$C$101)/((L203/12)^(8/3)*P203^0.5),$C$5:$E$97,2,1))*L203/12,L203/12),2)</f>
        <v>1.37</v>
      </c>
      <c r="V202" s="37">
        <f>ROUND((T202/((0.46/$C$101)*(L203/12)^(8/3)))^2,4)</f>
        <v>9.1999999999999998E-3</v>
      </c>
      <c r="W202" s="31">
        <f>ROUND(V202*M203,2)</f>
        <v>0.08</v>
      </c>
      <c r="X202" s="38">
        <f>ROUND(IF(N203+U202+(IF(Y202&gt;0,Y202,0))&gt;Z204+(IF(Y202&gt;0,Y202,0)),(IF(U202&lt;(L203/12),1,2)),3),0)</f>
        <v>3</v>
      </c>
      <c r="Y202" s="31">
        <f>ROUND((V202-P203)*M203,2)</f>
        <v>-0.01</v>
      </c>
      <c r="Z202" s="31">
        <f>ROUND(IF(N203+U202+(IF(Y202&gt;0,Y202,0))&gt;Z204+(IF(Y202&gt;0,Y202,0)),N203+U202+(IF(Y202&gt;0,Y202,0)),Z204+(IF(Y202&gt;0,Y202,0))),2)</f>
        <v>591.11</v>
      </c>
      <c r="AA202" s="30">
        <v>592.75</v>
      </c>
      <c r="AB202" s="39" t="s">
        <v>49</v>
      </c>
      <c r="AC202" s="34">
        <f>R203-K202</f>
        <v>1.75</v>
      </c>
      <c r="AD202" s="34">
        <f>AA202-Z202</f>
        <v>1.6399999999999864</v>
      </c>
      <c r="AE202" s="40">
        <f>AA202-N203</f>
        <v>3.1224999999999454</v>
      </c>
    </row>
    <row r="203" spans="1:31" s="13" customFormat="1" ht="15" hidden="1" x14ac:dyDescent="0.25">
      <c r="B203" s="52"/>
      <c r="C203" s="32"/>
      <c r="D203" s="30"/>
      <c r="E203"/>
      <c r="F203" s="44">
        <f>ROUND(+M203/Q203/60,1)</f>
        <v>0</v>
      </c>
      <c r="G203"/>
      <c r="H203"/>
      <c r="I203"/>
      <c r="J203"/>
      <c r="K203"/>
      <c r="L203" s="41">
        <v>21</v>
      </c>
      <c r="M203">
        <v>9</v>
      </c>
      <c r="N203" s="42">
        <f>O203+0.01*(M203)</f>
        <v>589.62750000000005</v>
      </c>
      <c r="O203" s="42">
        <f>N210</f>
        <v>589.53750000000002</v>
      </c>
      <c r="P203" s="45">
        <f>ROUND((N203-O203)/M203,4)</f>
        <v>0.01</v>
      </c>
      <c r="Q203" s="30">
        <f>ROUND(IF((K202*$C$101)/((L203/12)^(8/3)*P203^0.5)&lt;0.463,(K202/((VLOOKUP((K202*$C$101)/((L203/12)^(8/3)*P203^0.5),$C$5:$E$97,3,1))*(L203/12)^2)),(R203/(PI()*((L203/12)/2)^2))),2)</f>
        <v>6.46</v>
      </c>
      <c r="R203" s="30">
        <f>ROUND(((L203/12)^(8/3))*((P203^0.5))*0.463/$C$101,2)</f>
        <v>13.73</v>
      </c>
      <c r="S203"/>
      <c r="T203"/>
      <c r="U203" s="32"/>
      <c r="V203" s="32"/>
      <c r="W203" s="32"/>
      <c r="X203" s="32"/>
      <c r="Y203" s="32"/>
      <c r="Z203" s="32"/>
      <c r="AA203" s="32"/>
      <c r="AB203" s="32"/>
      <c r="AC203" s="35"/>
      <c r="AD203" s="35"/>
      <c r="AE203" s="35"/>
    </row>
    <row r="204" spans="1:31" s="13" customFormat="1" ht="15" hidden="1" x14ac:dyDescent="0.25">
      <c r="B204" s="52" t="s">
        <v>51</v>
      </c>
      <c r="C204" s="36" t="str">
        <f>C209</f>
        <v>Eight Mile Sta. 11+71.81, 14.00' Rt.</v>
      </c>
      <c r="D204" s="30"/>
      <c r="E204" s="31">
        <f>ROUND(SUM($D$200:D204),2)</f>
        <v>4.5</v>
      </c>
      <c r="F204" s="44"/>
      <c r="G204" s="33">
        <f>ROUND(SUM($F$200:F204),2)</f>
        <v>10.199999999999999</v>
      </c>
      <c r="H204" s="44"/>
      <c r="I204" s="30"/>
      <c r="J204" s="31">
        <f>ROUND(J202+D204*I204,2)</f>
        <v>2.2599999999999998</v>
      </c>
      <c r="K204" s="31"/>
      <c r="L204"/>
      <c r="M204"/>
      <c r="N204"/>
      <c r="O204"/>
      <c r="P204"/>
      <c r="Q204"/>
      <c r="R204"/>
      <c r="S204" s="33"/>
      <c r="T204" s="31"/>
      <c r="U204" s="31"/>
      <c r="V204" s="37"/>
      <c r="W204" s="31"/>
      <c r="X204" s="31"/>
      <c r="Y204" s="31"/>
      <c r="Z204" s="31">
        <f>Z209</f>
        <v>591.11</v>
      </c>
      <c r="AA204" s="30">
        <f>AA209</f>
        <v>593.67999999999995</v>
      </c>
      <c r="AB204" s="39" t="str">
        <f>AB209</f>
        <v>CB-3</v>
      </c>
      <c r="AC204" s="34">
        <f>R206-K204</f>
        <v>0</v>
      </c>
      <c r="AD204" s="34">
        <f>AA204-Z204</f>
        <v>2.5699999999999363</v>
      </c>
      <c r="AE204" s="40"/>
    </row>
    <row r="205" spans="1:31" s="13" customFormat="1" ht="15" hidden="1" x14ac:dyDescent="0.25">
      <c r="B205" s="52"/>
      <c r="C205" s="36"/>
      <c r="D205" s="30"/>
      <c r="E205" s="31"/>
      <c r="F205" s="44"/>
      <c r="G205" s="33"/>
      <c r="H205" s="44"/>
      <c r="I205" s="30"/>
      <c r="J205" s="31"/>
      <c r="K205" s="31"/>
      <c r="L205"/>
      <c r="M205"/>
      <c r="N205"/>
      <c r="O205"/>
      <c r="P205"/>
      <c r="Q205"/>
      <c r="R205"/>
      <c r="S205" s="33"/>
      <c r="T205" s="31"/>
      <c r="U205" s="31"/>
      <c r="V205" s="37"/>
      <c r="W205" s="31"/>
      <c r="X205" s="31"/>
      <c r="Y205" s="31"/>
      <c r="Z205" s="31"/>
      <c r="AA205" s="30"/>
      <c r="AB205" s="39"/>
      <c r="AC205" s="34"/>
      <c r="AD205" s="34"/>
      <c r="AE205" s="40"/>
    </row>
    <row r="206" spans="1:31" s="13" customFormat="1" ht="15" hidden="1" x14ac:dyDescent="0.25">
      <c r="A206" s="9"/>
      <c r="B206" s="29"/>
      <c r="C206" s="30"/>
      <c r="D206"/>
      <c r="E206" s="31"/>
      <c r="F206" s="32"/>
      <c r="G206" s="33"/>
      <c r="H206" s="32"/>
      <c r="I206"/>
      <c r="J206" s="31"/>
      <c r="K206" s="32"/>
      <c r="L206"/>
      <c r="M206"/>
      <c r="N206"/>
      <c r="O206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0"/>
      <c r="AA206" s="30"/>
      <c r="AB206" s="32"/>
      <c r="AC206" s="34"/>
      <c r="AD206" s="34"/>
      <c r="AE206" s="35"/>
    </row>
    <row r="207" spans="1:31" s="13" customFormat="1" ht="15" hidden="1" x14ac:dyDescent="0.25">
      <c r="B207" s="43" t="s">
        <v>51</v>
      </c>
      <c r="C207" s="39" t="s">
        <v>76</v>
      </c>
      <c r="D207" s="30">
        <v>0.03</v>
      </c>
      <c r="E207" s="31">
        <f>ROUND(SUM($D$207:D207),2)</f>
        <v>0.03</v>
      </c>
      <c r="F207" s="44">
        <v>10</v>
      </c>
      <c r="G207" s="33">
        <f>ROUND(SUM($F$207:F207),2)</f>
        <v>10</v>
      </c>
      <c r="H207" s="44">
        <f>ROUND(84.55/(G207+13)^0.882,1)</f>
        <v>5.3</v>
      </c>
      <c r="I207" s="30">
        <v>0.9</v>
      </c>
      <c r="J207" s="46">
        <f>ROUND(D207*I207,2)</f>
        <v>0.03</v>
      </c>
      <c r="K207" s="31">
        <f>ROUND(J207*H207,2)</f>
        <v>0.16</v>
      </c>
      <c r="L207"/>
      <c r="M207"/>
      <c r="N207" s="36"/>
      <c r="O207" s="36"/>
      <c r="P207"/>
      <c r="Q207"/>
      <c r="R207"/>
      <c r="S207" s="33">
        <f>ROUND(95.736/($G$222+14)^0.871,1)</f>
        <v>5.8</v>
      </c>
      <c r="T207" s="31">
        <f>ROUND(J207*S207,2)</f>
        <v>0.17</v>
      </c>
      <c r="U207" s="31">
        <f>ROUND(IF((T207*$C$101)/((L208/12)^(8/3)*P208^0.5)&lt;0.463,(VLOOKUP((T207*$C$101)/((L208/12)^(8/3)*P208^0.5),$C$5:$E$97,2,1))*L208/12,L208/12),2)</f>
        <v>0.12</v>
      </c>
      <c r="V207" s="37">
        <f>ROUND((T207/((0.46/$C$101)*(L208/12)^(8/3)))^2,4)</f>
        <v>0</v>
      </c>
      <c r="W207" s="31">
        <f>ROUND(V207*M208,2)</f>
        <v>0</v>
      </c>
      <c r="X207" s="38">
        <f>ROUND(IF(N208+U207+(IF(Y207&gt;0,Y207,0))&gt;Z209+(IF(Y207&gt;0,Y207,0)),(IF(U207&lt;(L208/12),1,2)),3),0)</f>
        <v>1</v>
      </c>
      <c r="Y207" s="31">
        <f>ROUND((V207-P208)*M208,2)</f>
        <v>-0.71</v>
      </c>
      <c r="Z207" s="31">
        <f>ROUND(IF(N208+U207+(IF(Y207&gt;0,Y207,0))&gt;Z209+(IF(Y207&gt;0,Y207,0)),N208+U207+(IF(Y207&gt;0,Y207,0)),Z209+(IF(Y207&gt;0,Y207,0))),2)</f>
        <v>591.11</v>
      </c>
      <c r="AA207" s="30">
        <v>593.78</v>
      </c>
      <c r="AB207" s="39" t="s">
        <v>73</v>
      </c>
      <c r="AC207" s="34">
        <f>R208-K207</f>
        <v>4.72</v>
      </c>
      <c r="AD207" s="34">
        <f>AA207-Z207</f>
        <v>2.6699999999999591</v>
      </c>
      <c r="AE207" s="40">
        <f>AA207-N208</f>
        <v>2.7874999999999091</v>
      </c>
    </row>
    <row r="208" spans="1:31" s="13" customFormat="1" ht="15" hidden="1" x14ac:dyDescent="0.25">
      <c r="B208" s="43"/>
      <c r="C208" s="39"/>
      <c r="D208" s="30"/>
      <c r="E208"/>
      <c r="F208" s="44">
        <f>ROUND(+M208/Q208/60,1)</f>
        <v>0.2</v>
      </c>
      <c r="G208"/>
      <c r="H208"/>
      <c r="I208"/>
      <c r="J208"/>
      <c r="K208"/>
      <c r="L208" s="41">
        <v>12</v>
      </c>
      <c r="M208">
        <v>28.2</v>
      </c>
      <c r="N208" s="42">
        <f>O208+M208*0.025</f>
        <v>590.99250000000006</v>
      </c>
      <c r="O208" s="50">
        <f>N210+(L210-L208)/12</f>
        <v>590.28750000000002</v>
      </c>
      <c r="P208" s="45">
        <f>ROUND((N208-O208)/M208,4)</f>
        <v>2.5000000000000001E-2</v>
      </c>
      <c r="Q208" s="30">
        <f>ROUND(IF((K207*$C$101)/((L208/12)^(8/3)*P208^0.5)&lt;0.463,(K207/((VLOOKUP((K207*$C$101)/((L208/12)^(8/3)*P208^0.5),$C$5:$E$97,3,1))*(L208/12)^2)),(R208/(PI()*((L208/12)/2)^2))),2)</f>
        <v>3</v>
      </c>
      <c r="R208" s="30">
        <f>ROUND(((L208/12)^(8/3))*((P208^0.5))*0.463/$C$101,2)</f>
        <v>4.88</v>
      </c>
      <c r="S208"/>
      <c r="T208"/>
      <c r="U208" s="32"/>
      <c r="V208" s="32"/>
      <c r="W208" s="32"/>
      <c r="X208" s="32"/>
      <c r="Y208" s="32"/>
      <c r="Z208" s="32"/>
      <c r="AA208" s="32"/>
      <c r="AB208" s="32"/>
      <c r="AC208" s="35"/>
      <c r="AD208" s="35"/>
      <c r="AE208" s="35"/>
    </row>
    <row r="209" spans="1:31" s="13" customFormat="1" ht="15" hidden="1" x14ac:dyDescent="0.25">
      <c r="B209" s="43" t="s">
        <v>51</v>
      </c>
      <c r="C209" s="39" t="s">
        <v>72</v>
      </c>
      <c r="D209" s="30">
        <v>0.01</v>
      </c>
      <c r="E209" s="31">
        <f>ROUND(SUM($D$207:D209),2)</f>
        <v>0.04</v>
      </c>
      <c r="F209" s="44"/>
      <c r="G209" s="33">
        <f>ROUND(SUM($F$207:F209),2)</f>
        <v>10.199999999999999</v>
      </c>
      <c r="H209" s="44">
        <f>ROUND(84.55/(G209+13)^0.882,1)</f>
        <v>5.3</v>
      </c>
      <c r="I209" s="30">
        <v>0.7</v>
      </c>
      <c r="J209" s="51">
        <f>ROUND(J207+D209*I209,2)+J204</f>
        <v>2.2999999999999998</v>
      </c>
      <c r="K209" s="31">
        <f>ROUND(J209*H209,2)</f>
        <v>12.19</v>
      </c>
      <c r="L209"/>
      <c r="M209"/>
      <c r="N209"/>
      <c r="O209"/>
      <c r="P209"/>
      <c r="Q209"/>
      <c r="R209"/>
      <c r="S209" s="33">
        <f>ROUND(95.736/($G$222+14)^0.871,1)</f>
        <v>5.8</v>
      </c>
      <c r="T209" s="31">
        <f>ROUND(J209*S209,2)</f>
        <v>13.34</v>
      </c>
      <c r="U209" s="31">
        <f>ROUND(IF((T209*$C$101)/((L210/12)^(8/3)*P210^0.5)&lt;0.463,(VLOOKUP((T209*$C$101)/((L210/12)^(8/3)*P210^0.5),$C$5:$E$97,2,1))*L210/12,L210/12),2)</f>
        <v>1.38</v>
      </c>
      <c r="V209" s="37">
        <f>ROUND((T209/((0.46/$C$101)*(L210/12)^(8/3)))^2,4)</f>
        <v>9.5999999999999992E-3</v>
      </c>
      <c r="W209" s="31">
        <f>ROUND(V209*M210,2)</f>
        <v>0.23</v>
      </c>
      <c r="X209" s="38">
        <f>ROUND(IF(N210+U209+(IF(Y209&gt;0,Y209,0))&gt;Z211+(IF(Y209&gt;0,Y209,0)),(IF(U209&lt;(L210/12),1,2)),3),0)</f>
        <v>3</v>
      </c>
      <c r="Y209" s="31">
        <f>ROUND((V209-P210)*M210,2)</f>
        <v>-0.01</v>
      </c>
      <c r="Z209" s="31">
        <f>ROUND(IF(N210+U209+(IF(Y209&gt;0,Y209,0))&gt;Z211+(IF(Y209&gt;0,Y209,0)),N210+U209+(IF(Y209&gt;0,Y209,0)),Z211+(IF(Y209&gt;0,Y209,0))),2)</f>
        <v>591.11</v>
      </c>
      <c r="AA209" s="30">
        <v>593.67999999999995</v>
      </c>
      <c r="AB209" s="39" t="s">
        <v>63</v>
      </c>
      <c r="AC209" s="34">
        <f>R210-K209</f>
        <v>1.5400000000000009</v>
      </c>
      <c r="AD209" s="34">
        <f>AA209-Z209</f>
        <v>2.5699999999999363</v>
      </c>
      <c r="AE209" s="40">
        <f>AA209-N210</f>
        <v>4.1424999999999272</v>
      </c>
    </row>
    <row r="210" spans="1:31" s="13" customFormat="1" ht="15" hidden="1" x14ac:dyDescent="0.25">
      <c r="B210" s="43"/>
      <c r="C210" s="32"/>
      <c r="D210" s="30"/>
      <c r="E210"/>
      <c r="F210" s="44">
        <f>ROUND(+M210/Q210/60,1)</f>
        <v>0.1</v>
      </c>
      <c r="G210"/>
      <c r="H210"/>
      <c r="I210"/>
      <c r="J210"/>
      <c r="K210"/>
      <c r="L210" s="41">
        <v>21</v>
      </c>
      <c r="M210">
        <v>24</v>
      </c>
      <c r="N210" s="42">
        <f>O210+M210*0.01</f>
        <v>589.53750000000002</v>
      </c>
      <c r="O210" s="42">
        <f>N221</f>
        <v>589.29750000000001</v>
      </c>
      <c r="P210" s="45">
        <f>ROUND((N210-O210)/M210,4)</f>
        <v>0.01</v>
      </c>
      <c r="Q210" s="30">
        <f>ROUND(IF((K209*$C$101)/((L210/12)^(8/3)*P210^0.5)&lt;0.463,(K209/((VLOOKUP((K209*$C$101)/((L210/12)^(8/3)*P210^0.5),$C$5:$E$97,3,1))*(L210/12)^2)),(R210/(PI()*((L210/12)/2)^2))),2)</f>
        <v>6.48</v>
      </c>
      <c r="R210" s="30">
        <f>ROUND(((L210/12)^(8/3))*((P210^0.5))*0.463/$C$101,2)</f>
        <v>13.73</v>
      </c>
      <c r="S210"/>
      <c r="T210"/>
      <c r="U210" s="32"/>
      <c r="V210" s="32"/>
      <c r="W210" s="32"/>
      <c r="X210" s="32"/>
      <c r="Y210" s="32"/>
      <c r="Z210" s="32"/>
      <c r="AA210" s="32"/>
      <c r="AB210" s="32"/>
      <c r="AC210" s="35"/>
      <c r="AD210" s="35"/>
      <c r="AE210" s="35"/>
    </row>
    <row r="211" spans="1:31" s="13" customFormat="1" ht="15" hidden="1" x14ac:dyDescent="0.25">
      <c r="B211" s="43">
        <f>B219</f>
        <v>0</v>
      </c>
      <c r="C211" s="39" t="str">
        <f>C220</f>
        <v>Eight Mile Sta. 11+71.81, 14.00' Lt.</v>
      </c>
      <c r="D211" s="30"/>
      <c r="E211" s="31">
        <f>ROUND(SUM($D$209:D209),2)</f>
        <v>0.01</v>
      </c>
      <c r="F211" s="44"/>
      <c r="G211" s="33">
        <f>ROUND(SUM($F$207:F211),2)</f>
        <v>10.3</v>
      </c>
      <c r="H211" s="44"/>
      <c r="I211" s="30"/>
      <c r="J211" s="46">
        <f>ROUND(J209+D211*I211,2)</f>
        <v>2.2999999999999998</v>
      </c>
      <c r="K211" s="31"/>
      <c r="L211"/>
      <c r="M211"/>
      <c r="N211" s="36"/>
      <c r="O211" s="36"/>
      <c r="P211"/>
      <c r="Q211"/>
      <c r="R211"/>
      <c r="S211" s="33"/>
      <c r="T211" s="31"/>
      <c r="U211" s="31"/>
      <c r="V211" s="37"/>
      <c r="W211" s="31"/>
      <c r="X211" s="38"/>
      <c r="Y211" s="31"/>
      <c r="Z211" s="31">
        <f>Z220</f>
        <v>591.11</v>
      </c>
      <c r="AA211" s="30">
        <f>AA220</f>
        <v>593.67999999999995</v>
      </c>
      <c r="AB211" s="39" t="str">
        <f>AB220</f>
        <v>CB-3</v>
      </c>
      <c r="AC211" s="34">
        <f>R213-K211</f>
        <v>0</v>
      </c>
      <c r="AD211" s="34">
        <f>AA211-Z211</f>
        <v>2.5699999999999363</v>
      </c>
      <c r="AE211" s="40">
        <f>AA211-N213</f>
        <v>593.67999999999995</v>
      </c>
    </row>
    <row r="212" spans="1:31" s="13" customFormat="1" ht="15" hidden="1" x14ac:dyDescent="0.25">
      <c r="B212" s="43"/>
      <c r="C212" s="39"/>
      <c r="D212" s="30"/>
      <c r="E212" s="31"/>
      <c r="F212" s="44"/>
      <c r="G212" s="33"/>
      <c r="H212" s="44"/>
      <c r="I212" s="30"/>
      <c r="J212" s="46"/>
      <c r="K212" s="31"/>
      <c r="L212"/>
      <c r="M212"/>
      <c r="N212" s="36"/>
      <c r="O212" s="36"/>
      <c r="P212"/>
      <c r="Q212"/>
      <c r="R212"/>
      <c r="S212" s="33"/>
      <c r="T212" s="31"/>
      <c r="U212" s="31"/>
      <c r="V212" s="37"/>
      <c r="W212" s="31"/>
      <c r="X212" s="38"/>
      <c r="Y212" s="31"/>
      <c r="Z212" s="31"/>
      <c r="AA212" s="30"/>
      <c r="AB212" s="39"/>
      <c r="AC212" s="34"/>
      <c r="AD212" s="34"/>
      <c r="AE212" s="40"/>
    </row>
    <row r="213" spans="1:31" s="13" customFormat="1" ht="15" hidden="1" x14ac:dyDescent="0.25">
      <c r="A213" s="9"/>
      <c r="B213" s="29"/>
      <c r="C213" s="30"/>
      <c r="D213"/>
      <c r="E213" s="31"/>
      <c r="F213" s="32"/>
      <c r="G213" s="33"/>
      <c r="H213" s="32"/>
      <c r="I213"/>
      <c r="J213" s="31"/>
      <c r="K213" s="32"/>
      <c r="L213"/>
      <c r="M213"/>
      <c r="N213"/>
      <c r="O213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0"/>
      <c r="AA213" s="30"/>
      <c r="AB213" s="32"/>
      <c r="AC213" s="34"/>
      <c r="AD213" s="34"/>
      <c r="AE213" s="35"/>
    </row>
    <row r="214" spans="1:31" s="13" customFormat="1" ht="15" hidden="1" x14ac:dyDescent="0.25">
      <c r="B214" s="43" t="s">
        <v>51</v>
      </c>
      <c r="C214" s="39" t="s">
        <v>74</v>
      </c>
      <c r="D214" s="30">
        <v>0.16400000000000001</v>
      </c>
      <c r="E214" s="31">
        <f>ROUND(SUM($D$214:D214),2)</f>
        <v>0.16</v>
      </c>
      <c r="F214" s="44">
        <v>10</v>
      </c>
      <c r="G214" s="33">
        <f>ROUND(SUM($F$214:F214),2)</f>
        <v>10</v>
      </c>
      <c r="H214" s="44">
        <f>ROUND(84.55/(G214+13)^0.882,1)</f>
        <v>5.3</v>
      </c>
      <c r="I214" s="30">
        <v>0.9</v>
      </c>
      <c r="J214" s="31">
        <f>ROUND(D214*I214,2)</f>
        <v>0.15</v>
      </c>
      <c r="K214" s="31">
        <f>ROUND(J214*H214,2)</f>
        <v>0.8</v>
      </c>
      <c r="L214"/>
      <c r="M214"/>
      <c r="N214"/>
      <c r="O214"/>
      <c r="P214"/>
      <c r="Q214"/>
      <c r="R214"/>
      <c r="S214" s="33">
        <f>ROUND(95.736/($G$222+14)^0.871,1)</f>
        <v>5.8</v>
      </c>
      <c r="T214" s="31">
        <f>ROUND(J214*S214,2)</f>
        <v>0.87</v>
      </c>
      <c r="U214" s="31">
        <f>ROUND(IF((T214*$C$101)/((L215/12)^(8/3)*P215^0.5)&lt;0.463,(VLOOKUP((T214*$C$101)/((L215/12)^(8/3)*P215^0.5),$C$5:$E$97,2,1))*L215/12,L215/12),2)</f>
        <v>0.27</v>
      </c>
      <c r="V214" s="37">
        <f>ROUND((T214/((0.46/$C$101)*(L215/12)^(8/3)))^2,4)</f>
        <v>8.0000000000000004E-4</v>
      </c>
      <c r="W214" s="31">
        <f>ROUND(V214*M215,2)</f>
        <v>0.08</v>
      </c>
      <c r="X214" s="38">
        <f>ROUND(IF(N215+U214+(IF(Y214&gt;0,Y214,0))&gt;Z218+(IF(Y214&gt;0,Y214,0)),(IF(U214&lt;(L215/12),1,2)),3),0)</f>
        <v>1</v>
      </c>
      <c r="Y214" s="31">
        <f>ROUND((V214-P215)*M215,2)</f>
        <v>-2.92</v>
      </c>
      <c r="Z214" s="31">
        <f>ROUND(IF(N215+U214+(IF(Y214&gt;0,Y214,0))&gt;Z218+(IF(Y214&gt;0,Y214,0)),N215+U214+(IF(Y214&gt;0,Y214,0)),Z218+(IF(Y214&gt;0,Y214,0))),2)</f>
        <v>594.14</v>
      </c>
      <c r="AA214" s="30">
        <v>597.82000000000005</v>
      </c>
      <c r="AB214" s="39" t="s">
        <v>73</v>
      </c>
      <c r="AC214" s="34">
        <f>R215-K214</f>
        <v>4.55</v>
      </c>
      <c r="AD214" s="34">
        <f>AA214-Z214</f>
        <v>3.6800000000000637</v>
      </c>
      <c r="AE214" s="40">
        <f>AA214-N215</f>
        <v>3.9469000000000278</v>
      </c>
    </row>
    <row r="215" spans="1:31" s="13" customFormat="1" ht="15" hidden="1" x14ac:dyDescent="0.25">
      <c r="B215" s="43"/>
      <c r="C215" s="39"/>
      <c r="D215" s="30"/>
      <c r="E215"/>
      <c r="F215" s="44">
        <f>ROUND(+M215/Q215/60,1)</f>
        <v>0.3</v>
      </c>
      <c r="G215"/>
      <c r="H215"/>
      <c r="I215"/>
      <c r="J215"/>
      <c r="K215"/>
      <c r="L215" s="41">
        <v>12</v>
      </c>
      <c r="M215">
        <v>100</v>
      </c>
      <c r="N215" s="42">
        <f>O215+M215*0.03</f>
        <v>593.87310000000002</v>
      </c>
      <c r="O215" s="50">
        <f>N217+(L217-L215)/12</f>
        <v>590.87310000000002</v>
      </c>
      <c r="P215" s="45">
        <f>ROUND((N215-O215)/M215,4)</f>
        <v>0.03</v>
      </c>
      <c r="Q215" s="30">
        <f>ROUND(IF((K214*$C$101)/((L215/12)^(8/3)*P215^0.5)&lt;0.463,(K214/((VLOOKUP((K214*$C$101)/((L215/12)^(8/3)*P215^0.5),$C$5:$E$97,3,1))*(L215/12)^2)),(R215/(PI()*((L215/12)/2)^2))),2)</f>
        <v>4.93</v>
      </c>
      <c r="R215" s="30">
        <f>ROUND(((L215/12)^(8/3))*((P215^0.5))*0.463/$C$101,2)</f>
        <v>5.35</v>
      </c>
      <c r="S215"/>
      <c r="T215"/>
      <c r="U215" s="32"/>
      <c r="V215" s="32"/>
      <c r="W215" s="32"/>
      <c r="X215" s="32"/>
      <c r="Y215" s="32"/>
      <c r="Z215" s="32"/>
      <c r="AA215" s="32"/>
      <c r="AB215" s="32"/>
      <c r="AC215" s="35"/>
      <c r="AD215" s="35"/>
      <c r="AE215" s="35"/>
    </row>
    <row r="216" spans="1:31" s="13" customFormat="1" ht="15" hidden="1" x14ac:dyDescent="0.25">
      <c r="B216" s="43" t="s">
        <v>51</v>
      </c>
      <c r="C216" s="39" t="s">
        <v>75</v>
      </c>
      <c r="D216" s="30">
        <v>3.2000000000000001E-2</v>
      </c>
      <c r="E216" s="31">
        <f>ROUND(SUM($D$214:D216),2)</f>
        <v>0.2</v>
      </c>
      <c r="F216" s="44"/>
      <c r="G216" s="33">
        <f>ROUND(SUM($F$214:F216),2)</f>
        <v>10.3</v>
      </c>
      <c r="H216" s="44">
        <f>ROUND(84.55/(G216+13)^0.882,1)</f>
        <v>5.3</v>
      </c>
      <c r="I216" s="30">
        <v>0.9</v>
      </c>
      <c r="J216" s="46">
        <f>ROUND(J214+D216*I216,2)</f>
        <v>0.18</v>
      </c>
      <c r="K216" s="31">
        <f>ROUND(J216*H216,2)</f>
        <v>0.95</v>
      </c>
      <c r="L216"/>
      <c r="M216"/>
      <c r="N216" s="42"/>
      <c r="O216" s="50"/>
      <c r="P216"/>
      <c r="Q216"/>
      <c r="R216"/>
      <c r="S216" s="33">
        <f>ROUND(95.736/($G$222+14)^0.871,1)</f>
        <v>5.8</v>
      </c>
      <c r="T216" s="31">
        <f>ROUND(J216*S216,2)</f>
        <v>1.04</v>
      </c>
      <c r="U216" s="31">
        <f>ROUND(IF((T216*$C$101)/((L217/12)^(8/3)*P217^0.5)&lt;0.463,(VLOOKUP((T216*$C$101)/((L217/12)^(8/3)*P217^0.5),$C$5:$E$97,2,1))*L217/12,L217/12),2)</f>
        <v>0.42</v>
      </c>
      <c r="V216" s="37">
        <f>ROUND((T216/((0.46/$C$101)*(L217/12)^(8/3)))^2,4)</f>
        <v>1.1999999999999999E-3</v>
      </c>
      <c r="W216" s="31">
        <f>ROUND(V216*M217,2)</f>
        <v>0.09</v>
      </c>
      <c r="X216" s="38">
        <f>ROUND(IF(N217+U216+(IF(Y216&gt;0,Y216,0))&gt;Z218+(IF(Y216&gt;0,Y216,0)),(IF(U216&lt;(L217/12),1,2)),3),0)</f>
        <v>1</v>
      </c>
      <c r="Y216" s="31">
        <f>ROUND((V216-P217)*M217,2)</f>
        <v>-0.51</v>
      </c>
      <c r="Z216" s="31">
        <f>ROUND(IF(N217+U216+(IF(Y216&gt;0,Y216,0))&gt;Z218+(IF(Y216&gt;0,Y216,0)),N217+U216+(IF(Y216&gt;0,Y216,0)),Z218+(IF(Y216&gt;0,Y216,0))),2)</f>
        <v>591.29</v>
      </c>
      <c r="AA216" s="30">
        <v>594.78</v>
      </c>
      <c r="AB216" s="39" t="s">
        <v>73</v>
      </c>
      <c r="AC216" s="34">
        <f>R217-K216</f>
        <v>1.8099999999999998</v>
      </c>
      <c r="AD216" s="34">
        <f>AA216-Z216</f>
        <v>3.4900000000000091</v>
      </c>
      <c r="AE216" s="40">
        <f>AA216-N217</f>
        <v>3.9068999999999505</v>
      </c>
    </row>
    <row r="217" spans="1:31" s="13" customFormat="1" ht="15" hidden="1" x14ac:dyDescent="0.25">
      <c r="B217" s="43"/>
      <c r="C217" s="39"/>
      <c r="D217" s="30"/>
      <c r="E217"/>
      <c r="F217" s="44">
        <f>ROUND(+M217/Q217/60,1)</f>
        <v>0.4</v>
      </c>
      <c r="G217"/>
      <c r="H217"/>
      <c r="I217"/>
      <c r="J217"/>
      <c r="K217"/>
      <c r="L217" s="41">
        <v>12</v>
      </c>
      <c r="M217">
        <v>75</v>
      </c>
      <c r="N217" s="42">
        <f>O217+M217*0.008</f>
        <v>590.87310000000002</v>
      </c>
      <c r="O217" s="50">
        <f>N219+(L219-L217)/12</f>
        <v>590.2731</v>
      </c>
      <c r="P217" s="45">
        <f>ROUND((N217-O217)/M217,4)</f>
        <v>8.0000000000000002E-3</v>
      </c>
      <c r="Q217" s="30">
        <f>ROUND(IF((K216*$C$101)/((L217/12)^(8/3)*P217^0.5)&lt;0.463,(K216/((VLOOKUP((K216*$C$101)/((L217/12)^(8/3)*P217^0.5),$C$5:$E$97,3,1))*(L217/12)^2)),(R217/(PI()*((L217/12)/2)^2))),2)</f>
        <v>3.24</v>
      </c>
      <c r="R217" s="30">
        <f>ROUND(((L217/12)^(8/3))*((P217^0.5))*0.463/$C$101,2)</f>
        <v>2.76</v>
      </c>
      <c r="S217"/>
      <c r="T217"/>
      <c r="U217" s="32"/>
      <c r="V217" s="32"/>
      <c r="W217" s="32"/>
      <c r="X217" s="32"/>
      <c r="Y217" s="32"/>
      <c r="Z217" s="32"/>
      <c r="AA217" s="32"/>
      <c r="AB217" s="32"/>
      <c r="AC217" s="35"/>
      <c r="AD217" s="35"/>
      <c r="AE217" s="35"/>
    </row>
    <row r="218" spans="1:31" s="13" customFormat="1" ht="15" hidden="1" x14ac:dyDescent="0.25">
      <c r="B218" s="43" t="s">
        <v>51</v>
      </c>
      <c r="C218" s="39" t="s">
        <v>68</v>
      </c>
      <c r="D218" s="30">
        <v>2.4E-2</v>
      </c>
      <c r="E218" s="31">
        <f>ROUND(SUM($D$214:D218),2)</f>
        <v>0.22</v>
      </c>
      <c r="F218" s="44"/>
      <c r="G218" s="33">
        <f>ROUND(SUM($F$214:F218),2)</f>
        <v>10.7</v>
      </c>
      <c r="H218" s="44">
        <f>ROUND(84.55/(G218+13)^0.882,1)</f>
        <v>5.2</v>
      </c>
      <c r="I218" s="30">
        <v>0.9</v>
      </c>
      <c r="J218" s="50">
        <f>ROUND(J216+D218*I218,2)</f>
        <v>0.2</v>
      </c>
      <c r="K218" s="31">
        <f>ROUND(J218*H218,2)</f>
        <v>1.04</v>
      </c>
      <c r="L218"/>
      <c r="M218"/>
      <c r="N218" s="42"/>
      <c r="O218" s="50"/>
      <c r="P218"/>
      <c r="Q218"/>
      <c r="R218"/>
      <c r="S218" s="33">
        <f>ROUND(95.736/($G$222+14)^0.871,1)</f>
        <v>5.8</v>
      </c>
      <c r="T218" s="31">
        <f>ROUND(J218*S218,2)</f>
        <v>1.1599999999999999</v>
      </c>
      <c r="U218" s="31">
        <f>ROUND(IF((T218*$C$101)/((L219/12)^(8/3)*P219^0.5)&lt;0.463,(VLOOKUP((T218*$C$101)/((L219/12)^(8/3)*P219^0.5),$C$5:$E$97,2,1))*L219/12,L219/12),2)</f>
        <v>0.45</v>
      </c>
      <c r="V218" s="37">
        <f>ROUND((T218/((0.46/$C$101)*(L219/12)^(8/3)))^2,4)</f>
        <v>1.4E-3</v>
      </c>
      <c r="W218" s="31">
        <f>ROUND(V218*M219,2)</f>
        <v>0.04</v>
      </c>
      <c r="X218" s="38">
        <f>ROUND(IF(N219+U218+(IF(Y218&gt;0,Y218,0))&gt;Z220+(IF(Y218&gt;0,Y218,0)),(IF(U218&lt;(L219/12),1,2)),3),0)</f>
        <v>3</v>
      </c>
      <c r="Y218" s="31">
        <f>ROUND((V218-P219)*M219,2)</f>
        <v>-0.19</v>
      </c>
      <c r="Z218" s="31">
        <f>ROUND(IF(N219+U218+(IF(Y218&gt;0,Y218,0))&gt;Z220+(IF(Y218&gt;0,Y218,0)),N219+U218+(IF(Y218&gt;0,Y218,0)),Z220+(IF(Y218&gt;0,Y218,0))),2)</f>
        <v>591.11</v>
      </c>
      <c r="AA218" s="30">
        <v>593.78</v>
      </c>
      <c r="AB218" s="39" t="s">
        <v>73</v>
      </c>
      <c r="AC218" s="34">
        <f>R219-K218</f>
        <v>1.7199999999999998</v>
      </c>
      <c r="AD218" s="34">
        <f>AA218-Z218</f>
        <v>2.6699999999999591</v>
      </c>
      <c r="AE218" s="40">
        <f>AA218-N219</f>
        <v>3.5068999999999733</v>
      </c>
    </row>
    <row r="219" spans="1:31" s="13" customFormat="1" ht="15" hidden="1" x14ac:dyDescent="0.25">
      <c r="B219" s="43"/>
      <c r="C219" s="39"/>
      <c r="D219" s="30"/>
      <c r="E219"/>
      <c r="F219" s="44">
        <f>ROUND(+M219/Q219/60,1)</f>
        <v>0.1</v>
      </c>
      <c r="G219"/>
      <c r="H219"/>
      <c r="I219"/>
      <c r="J219"/>
      <c r="K219"/>
      <c r="L219" s="41">
        <v>12</v>
      </c>
      <c r="M219">
        <v>28.2</v>
      </c>
      <c r="N219" s="42">
        <f>O219+M219*0.008</f>
        <v>590.2731</v>
      </c>
      <c r="O219" s="50">
        <f>N221+(L221-L219)/12</f>
        <v>590.04750000000001</v>
      </c>
      <c r="P219" s="45">
        <f>ROUND((N219-O219)/M219,4)</f>
        <v>8.0000000000000002E-3</v>
      </c>
      <c r="Q219" s="30">
        <f>ROUND(IF((K218*$C$101)/((L219/12)^(8/3)*P219^0.5)&lt;0.463,(K218/((VLOOKUP((K218*$C$101)/((L219/12)^(8/3)*P219^0.5),$C$5:$E$97,3,1))*(L219/12)^2)),(R219/(PI()*((L219/12)/2)^2))),2)</f>
        <v>3.32</v>
      </c>
      <c r="R219" s="30">
        <f>ROUND(((L219/12)^(8/3))*((P219^0.5))*0.463/$C$101,2)</f>
        <v>2.76</v>
      </c>
      <c r="S219"/>
      <c r="T219"/>
      <c r="U219" s="32"/>
      <c r="V219" s="32"/>
      <c r="W219" s="32"/>
      <c r="X219" s="32"/>
      <c r="Y219" s="32"/>
      <c r="Z219" s="32"/>
      <c r="AA219" s="32"/>
      <c r="AB219" s="32"/>
      <c r="AC219" s="35"/>
      <c r="AD219" s="35"/>
      <c r="AE219" s="35"/>
    </row>
    <row r="220" spans="1:31" s="13" customFormat="1" ht="15" hidden="1" x14ac:dyDescent="0.25">
      <c r="B220" s="43" t="s">
        <v>51</v>
      </c>
      <c r="C220" s="39" t="s">
        <v>71</v>
      </c>
      <c r="D220" s="30">
        <v>9.0600000000000003E-3</v>
      </c>
      <c r="E220" s="31">
        <f>ROUND(SUM($D$214:D220),2)</f>
        <v>0.23</v>
      </c>
      <c r="F220" s="44"/>
      <c r="G220" s="33">
        <f>ROUND(SUM($F$214:F220),2)</f>
        <v>10.8</v>
      </c>
      <c r="H220" s="44">
        <f>ROUND(84.55/(G220+13)^0.882,1)</f>
        <v>5.2</v>
      </c>
      <c r="I220" s="30">
        <v>0.9</v>
      </c>
      <c r="J220" s="48">
        <f>ROUND(J218+D220*I220,2)+J211</f>
        <v>2.5099999999999998</v>
      </c>
      <c r="K220" s="31">
        <f>ROUND(J220*H220,2)</f>
        <v>13.05</v>
      </c>
      <c r="L220"/>
      <c r="M220"/>
      <c r="N220" s="42"/>
      <c r="O220" s="36"/>
      <c r="P220"/>
      <c r="Q220"/>
      <c r="R220"/>
      <c r="S220" s="33">
        <f>ROUND(95.736/($G$222+14)^0.871,1)</f>
        <v>5.8</v>
      </c>
      <c r="T220" s="31">
        <f>ROUND(J220*S220,2)</f>
        <v>14.56</v>
      </c>
      <c r="U220" s="31">
        <f>ROUND(IF((T220*$C$101)/((L221/12)^(8/3)*P221^0.5)&lt;0.463,(VLOOKUP((T220*$C$101)/((L221/12)^(8/3)*P221^0.5),$C$5:$E$97,2,1))*L221/12,L221/12),2)</f>
        <v>1.75</v>
      </c>
      <c r="V220" s="37">
        <f>ROUND((T220/((0.46/$C$101)*(L221/12)^(8/3)))^2,4)</f>
        <v>1.14E-2</v>
      </c>
      <c r="W220" s="31">
        <f>ROUND(V220*M221,2)</f>
        <v>0.11</v>
      </c>
      <c r="X220" s="38">
        <f>ROUND(IF(N221+U220+(IF(Y220&gt;0,Y220,0))&gt;Z222+(IF(Y220&gt;0,Y220,0)),(IF(U220&lt;(L221/12),1,2)),3),0)</f>
        <v>2</v>
      </c>
      <c r="Y220" s="31">
        <f>ROUND((V220-P221)*M221,2)</f>
        <v>0.06</v>
      </c>
      <c r="Z220" s="31">
        <f>ROUND(IF(N221+U220+(IF(Y220&gt;0,Y220,0))&gt;Z222+(IF(Y220&gt;0,Y220,0)),N221+U220+(IF(Y220&gt;0,Y220,0)),Z222+(IF(Y220&gt;0,Y220,0))),2)</f>
        <v>591.11</v>
      </c>
      <c r="AA220" s="30">
        <v>593.67999999999995</v>
      </c>
      <c r="AB220" s="39" t="s">
        <v>63</v>
      </c>
      <c r="AC220" s="34">
        <f>R221-K220</f>
        <v>-3.34</v>
      </c>
      <c r="AD220" s="34">
        <f>AA220-Z220</f>
        <v>2.5699999999999363</v>
      </c>
      <c r="AE220" s="40">
        <f>AA220-N221</f>
        <v>4.3824999999999363</v>
      </c>
    </row>
    <row r="221" spans="1:31" s="13" customFormat="1" ht="15" hidden="1" x14ac:dyDescent="0.25">
      <c r="B221" s="43"/>
      <c r="C221" s="39"/>
      <c r="D221" s="30"/>
      <c r="E221"/>
      <c r="F221" s="44">
        <f>ROUND(+M221/Q221/60,1)</f>
        <v>0</v>
      </c>
      <c r="G221"/>
      <c r="H221"/>
      <c r="I221"/>
      <c r="J221"/>
      <c r="K221"/>
      <c r="L221" s="41">
        <v>21</v>
      </c>
      <c r="M221">
        <v>9.5</v>
      </c>
      <c r="N221" s="42">
        <f>O221+M221*0.005</f>
        <v>589.29750000000001</v>
      </c>
      <c r="O221" s="50">
        <v>589.25</v>
      </c>
      <c r="P221" s="45">
        <f>ROUND((N221-O221)/M221,4)</f>
        <v>5.0000000000000001E-3</v>
      </c>
      <c r="Q221" s="30">
        <f>ROUND(IF((K220*$C$101)/((L221/12)^(8/3)*P221^0.5)&lt;0.463,(K220/((VLOOKUP((K220*$C$101)/((L221/12)^(8/3)*P221^0.5),$C$5:$E$97,3,1))*(L221/12)^2)),(R221/(PI()*((L221/12)/2)^2))),2)</f>
        <v>4.04</v>
      </c>
      <c r="R221" s="30">
        <f>ROUND(((L221/12)^(8/3))*((P221^0.5))*0.463/$C$101,2)</f>
        <v>9.7100000000000009</v>
      </c>
      <c r="S221"/>
      <c r="T221"/>
      <c r="U221" s="32"/>
      <c r="V221" s="32"/>
      <c r="W221" s="32"/>
      <c r="X221" s="32"/>
      <c r="Y221" s="32"/>
      <c r="Z221" s="32"/>
      <c r="AA221" s="32"/>
      <c r="AB221" s="32"/>
      <c r="AC221" s="35"/>
      <c r="AD221" s="35"/>
      <c r="AE221" s="35"/>
    </row>
    <row r="222" spans="1:31" s="13" customFormat="1" ht="15" hidden="1" x14ac:dyDescent="0.25">
      <c r="B222" s="43" t="s">
        <v>51</v>
      </c>
      <c r="C222" s="39" t="s">
        <v>65</v>
      </c>
      <c r="D222" s="30"/>
      <c r="E222" s="31">
        <f>ROUND(SUM($D$214:D222),2)</f>
        <v>0.23</v>
      </c>
      <c r="F222" s="44"/>
      <c r="G222" s="33">
        <f>ROUND(SUM($F$214:F222),2)</f>
        <v>10.8</v>
      </c>
      <c r="H222" s="44"/>
      <c r="I222" s="30"/>
      <c r="J222" s="31">
        <f>ROUND(J220+D222*I222,2)</f>
        <v>2.5099999999999998</v>
      </c>
      <c r="K222" s="31"/>
      <c r="L222"/>
      <c r="M222"/>
      <c r="N222"/>
      <c r="O222"/>
      <c r="P222"/>
      <c r="Q222"/>
      <c r="R222"/>
      <c r="S222" s="33"/>
      <c r="T222" s="31"/>
      <c r="U222" s="31"/>
      <c r="V222" s="37"/>
      <c r="W222" s="31"/>
      <c r="X222" s="39"/>
      <c r="Y222" s="31"/>
      <c r="Z222" s="31">
        <v>564.39</v>
      </c>
      <c r="AA222" s="30">
        <f>O221</f>
        <v>589.25</v>
      </c>
      <c r="AB222" s="39" t="s">
        <v>57</v>
      </c>
      <c r="AC222" s="34">
        <f>R223-K222</f>
        <v>0</v>
      </c>
      <c r="AD222" s="34">
        <f>AA222-Z222</f>
        <v>24.860000000000014</v>
      </c>
      <c r="AE222" s="40"/>
    </row>
    <row r="223" spans="1:31" s="13" customFormat="1" ht="15" hidden="1" x14ac:dyDescent="0.25">
      <c r="B223" s="43"/>
      <c r="C223" s="32"/>
      <c r="D223" s="30"/>
      <c r="E223"/>
      <c r="F223" s="44"/>
      <c r="G223"/>
      <c r="H223"/>
      <c r="I223"/>
      <c r="J223"/>
      <c r="K223"/>
      <c r="L223" s="41"/>
      <c r="M223"/>
      <c r="N223" s="42"/>
      <c r="O223" s="42"/>
      <c r="P223" s="45"/>
      <c r="Q223" s="30"/>
      <c r="R223" s="30"/>
      <c r="S223"/>
      <c r="T223"/>
      <c r="U223" s="32"/>
      <c r="V223" s="32"/>
      <c r="W223" s="32"/>
      <c r="X223" s="32"/>
      <c r="Y223" s="32"/>
      <c r="Z223" s="32"/>
      <c r="AA223" s="32"/>
      <c r="AB223" s="32"/>
      <c r="AC223" s="35"/>
      <c r="AD223" s="35"/>
      <c r="AE223" s="35"/>
    </row>
    <row r="224" spans="1:31" s="13" customFormat="1" ht="15" hidden="1" x14ac:dyDescent="0.25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</row>
    <row r="225" spans="2:31" s="13" customFormat="1" ht="15" hidden="1" x14ac:dyDescent="0.25">
      <c r="B225" s="8"/>
      <c r="C225" s="39"/>
      <c r="D225" s="30"/>
      <c r="E225"/>
      <c r="F225" s="44"/>
      <c r="G225"/>
      <c r="H225"/>
      <c r="I225"/>
      <c r="J225"/>
      <c r="K225"/>
      <c r="L225" s="41"/>
      <c r="M225"/>
      <c r="N225" s="49"/>
      <c r="O225" s="49"/>
      <c r="P225" s="45"/>
      <c r="Q225" s="30"/>
      <c r="R225" s="30"/>
      <c r="S225"/>
      <c r="T225"/>
      <c r="U225" s="32"/>
      <c r="V225" s="32"/>
      <c r="W225" s="32"/>
      <c r="X225" s="32"/>
      <c r="Y225" s="32"/>
      <c r="Z225" s="32"/>
      <c r="AA225" s="32"/>
      <c r="AB225" s="32"/>
      <c r="AC225" s="35"/>
      <c r="AD225" s="35"/>
      <c r="AE225" s="35"/>
    </row>
    <row r="226" spans="2:31" s="13" customFormat="1" ht="15" hidden="1" x14ac:dyDescent="0.25">
      <c r="B226" s="8"/>
      <c r="C226" s="39" t="s">
        <v>78</v>
      </c>
      <c r="D226" s="30">
        <v>2.72</v>
      </c>
      <c r="E226" s="31">
        <f>ROUND(SUM($D$226:D226),2)</f>
        <v>2.72</v>
      </c>
      <c r="F226" s="44">
        <v>10</v>
      </c>
      <c r="G226" s="33">
        <f>ROUND(SUM($F$226:F226),2)</f>
        <v>10</v>
      </c>
      <c r="H226" s="44">
        <f>ROUND(84.55/(G226+13)^0.882,1)</f>
        <v>5.3</v>
      </c>
      <c r="I226" s="30">
        <v>0.5</v>
      </c>
      <c r="J226" s="48">
        <f>ROUND(D226*I226,2)</f>
        <v>1.36</v>
      </c>
      <c r="K226" s="31">
        <f>ROUND(J226*H226,2)</f>
        <v>7.21</v>
      </c>
      <c r="L226"/>
      <c r="M226"/>
      <c r="N226" s="36"/>
      <c r="O226" s="36"/>
      <c r="P226"/>
      <c r="Q226"/>
      <c r="R226"/>
      <c r="S226" s="33">
        <f>ROUND(95.736/($G$131+14)^0.871,1)</f>
        <v>5.9</v>
      </c>
      <c r="T226" s="31">
        <f>ROUND(J226*S226,2)</f>
        <v>8.02</v>
      </c>
      <c r="U226" s="31">
        <f>ROUND(IF((T226*$C$101)/((L227/12)^(8/3)*P227^0.5)&lt;0.463,(VLOOKUP((T226*$C$101)/((L227/12)^(8/3)*P227^0.5),$C$5:$E$97,2,1))*L227/12,L227/12),2)</f>
        <v>0.5</v>
      </c>
      <c r="V226" s="37">
        <f>ROUND((T226/((0.46/$C$101)*(L227/12)^(8/3)))^2,4)</f>
        <v>2.0799999999999999E-2</v>
      </c>
      <c r="W226" s="31">
        <f>ROUND(V226*M227,2)</f>
        <v>1.33</v>
      </c>
      <c r="X226" s="38">
        <f>ROUND(IF(N227+U226+(IF(Y226&gt;0,Y226,0))&gt;Z228+(IF(Y226&gt;0,Y226,0)),(IF(U226&lt;(L227/12),1,2)),3),0)</f>
        <v>1</v>
      </c>
      <c r="Y226" s="31">
        <f>ROUND((V226-P227)*M227,2)</f>
        <v>-9.67</v>
      </c>
      <c r="Z226" s="31">
        <f>ROUND(IF(N227+U226+(IF(Y226&gt;0,Y226,0))&gt;Z228+(IF(Y226&gt;0,Y226,0)),N227+U226+(IF(Y226&gt;0,Y226,0)),Z228+(IF(Y226&gt;0,Y226,0))),2)</f>
        <v>627</v>
      </c>
      <c r="AA226" s="30">
        <v>626.5</v>
      </c>
      <c r="AB226" s="39" t="s">
        <v>57</v>
      </c>
      <c r="AC226" s="34">
        <f>R227-K226</f>
        <v>15.989999999999998</v>
      </c>
      <c r="AD226" s="34">
        <f>AA226-Z226</f>
        <v>-0.5</v>
      </c>
      <c r="AE226" s="40">
        <f>AA226-N227</f>
        <v>0</v>
      </c>
    </row>
    <row r="227" spans="2:31" s="13" customFormat="1" ht="15" hidden="1" x14ac:dyDescent="0.25">
      <c r="B227" s="8"/>
      <c r="C227" s="39"/>
      <c r="D227" s="30"/>
      <c r="E227"/>
      <c r="F227" s="44">
        <f>ROUND(+M227/Q227/60,1)</f>
        <v>0.1</v>
      </c>
      <c r="G227"/>
      <c r="H227"/>
      <c r="I227"/>
      <c r="J227"/>
      <c r="K227"/>
      <c r="L227" s="41">
        <v>15</v>
      </c>
      <c r="M227">
        <v>64</v>
      </c>
      <c r="N227" s="50">
        <v>626.5</v>
      </c>
      <c r="O227" s="50">
        <v>615.5</v>
      </c>
      <c r="P227" s="45">
        <f>ROUND((N227-O227)/M227,4)</f>
        <v>0.1719</v>
      </c>
      <c r="Q227" s="30">
        <f>ROUND(IF((K226*$C$101)/((L227/12)^(8/3)*P227^0.5)&lt;0.463,(K226/((VLOOKUP((K226*$C$101)/((L227/12)^(8/3)*P227^0.5),$C$5:$E$97,3,1))*(L227/12)^2)),(R227/(PI()*((L227/12)/2)^2))),2)</f>
        <v>16.850000000000001</v>
      </c>
      <c r="R227" s="30">
        <f>ROUND(((L227/12)^(8/3))*((P227^0.5))*0.463/$C$101,2)</f>
        <v>23.2</v>
      </c>
      <c r="S227"/>
      <c r="T227"/>
      <c r="U227" s="32"/>
      <c r="V227" s="32"/>
      <c r="W227" s="32"/>
      <c r="X227" s="32"/>
      <c r="Y227" s="32"/>
      <c r="Z227" s="32"/>
      <c r="AA227" s="32"/>
      <c r="AB227" s="32"/>
      <c r="AC227" s="35"/>
      <c r="AD227" s="35"/>
      <c r="AE227" s="35"/>
    </row>
    <row r="228" spans="2:31" s="13" customFormat="1" ht="15" hidden="1" x14ac:dyDescent="0.25">
      <c r="B228" s="8"/>
      <c r="C228" s="39" t="s">
        <v>77</v>
      </c>
      <c r="D228" s="30"/>
      <c r="E228" s="31">
        <f>ROUND(SUM($D$226:D228),2)</f>
        <v>2.72</v>
      </c>
      <c r="F228" s="44"/>
      <c r="G228" s="33">
        <f>ROUND(SUM($F$226:F228),2)</f>
        <v>10.1</v>
      </c>
      <c r="H228" s="44"/>
      <c r="I228" s="30"/>
      <c r="J228" s="31">
        <f>ROUND(J226+D228*I228,2)</f>
        <v>1.36</v>
      </c>
      <c r="K228" s="31"/>
      <c r="L228"/>
      <c r="M228"/>
      <c r="N228"/>
      <c r="O228"/>
      <c r="P228"/>
      <c r="Q228"/>
      <c r="R228"/>
      <c r="S228" s="33"/>
      <c r="T228" s="31"/>
      <c r="U228" s="31"/>
      <c r="V228" s="37"/>
      <c r="W228" s="31"/>
      <c r="X228" s="39"/>
      <c r="Y228" s="31"/>
      <c r="Z228" s="9">
        <f>AA228+(1.25+0.13)/2</f>
        <v>616.19000000000005</v>
      </c>
      <c r="AA228" s="30">
        <f>O227</f>
        <v>615.5</v>
      </c>
      <c r="AB228" s="39" t="s">
        <v>57</v>
      </c>
      <c r="AC228" s="34">
        <f>R229-K228</f>
        <v>0</v>
      </c>
      <c r="AD228" s="34">
        <f>AA228-Z228</f>
        <v>-0.69000000000005457</v>
      </c>
      <c r="AE228" s="40"/>
    </row>
    <row r="229" spans="2:31" s="13" customFormat="1" ht="15" hidden="1" x14ac:dyDescent="0.25">
      <c r="B229" s="8"/>
      <c r="C229" s="32"/>
      <c r="D229" s="30"/>
      <c r="E229"/>
      <c r="F229" s="44"/>
      <c r="G229"/>
      <c r="H229"/>
      <c r="I229"/>
      <c r="J229"/>
      <c r="K229"/>
      <c r="L229" s="41"/>
      <c r="M229"/>
      <c r="N229" s="42"/>
      <c r="O229" s="42"/>
      <c r="P229" s="45"/>
      <c r="Q229" s="30"/>
      <c r="R229" s="30"/>
      <c r="S229"/>
      <c r="T229"/>
      <c r="U229" s="32"/>
      <c r="V229" s="32"/>
      <c r="W229" s="32"/>
      <c r="X229" s="32"/>
      <c r="Y229" s="32"/>
      <c r="Z229" s="32"/>
      <c r="AA229" s="32"/>
      <c r="AB229" s="32"/>
      <c r="AC229" s="35"/>
      <c r="AD229" s="35"/>
      <c r="AE229" s="35"/>
    </row>
    <row r="230" spans="2:31" s="13" customFormat="1" ht="15" hidden="1" x14ac:dyDescent="0.25">
      <c r="B230" s="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</row>
    <row r="231" spans="2:31" s="13" customFormat="1" hidden="1" x14ac:dyDescent="0.2">
      <c r="B231" s="8"/>
      <c r="C231" s="23"/>
      <c r="D231" s="9"/>
      <c r="E231" s="9"/>
      <c r="F231" s="11"/>
      <c r="G231" s="11"/>
      <c r="H231" s="11"/>
      <c r="I231" s="9"/>
      <c r="J231" s="9"/>
      <c r="K231" s="9"/>
      <c r="S231" s="11"/>
      <c r="T231" s="9"/>
      <c r="U231" s="9"/>
      <c r="V231" s="16"/>
      <c r="W231" s="9"/>
      <c r="X231" s="15"/>
      <c r="Y231" s="9"/>
      <c r="Z231" s="9"/>
      <c r="AA231" s="9"/>
      <c r="AB231" s="23"/>
      <c r="AC231" s="25"/>
      <c r="AD231" s="25"/>
      <c r="AE231" s="25"/>
    </row>
    <row r="232" spans="2:31" s="13" customFormat="1" hidden="1" x14ac:dyDescent="0.2">
      <c r="B232" s="8"/>
      <c r="D232" s="9"/>
      <c r="F232" s="11"/>
      <c r="L232" s="15"/>
      <c r="N232" s="9"/>
      <c r="O232" s="20"/>
      <c r="P232" s="16"/>
      <c r="Q232" s="9"/>
      <c r="R232" s="9"/>
    </row>
    <row r="233" spans="2:31" s="13" customFormat="1" hidden="1" x14ac:dyDescent="0.2">
      <c r="B233" s="8"/>
      <c r="C233" s="9"/>
      <c r="E233" s="9"/>
      <c r="G233" s="11"/>
      <c r="J233" s="9"/>
      <c r="Z233" s="9"/>
      <c r="AA233" s="9"/>
      <c r="AC233" s="25"/>
      <c r="AD233" s="25"/>
      <c r="AE233" s="25"/>
    </row>
    <row r="234" spans="2:31" s="13" customFormat="1" hidden="1" x14ac:dyDescent="0.2">
      <c r="B234" s="8"/>
    </row>
    <row r="235" spans="2:31" s="13" customFormat="1" hidden="1" x14ac:dyDescent="0.2">
      <c r="B235" s="8"/>
    </row>
    <row r="236" spans="2:31" s="13" customFormat="1" x14ac:dyDescent="0.2">
      <c r="B236" s="8"/>
      <c r="C236" s="23"/>
      <c r="D236" s="9"/>
      <c r="E236" s="9"/>
      <c r="F236" s="11"/>
      <c r="G236" s="11"/>
      <c r="H236" s="11"/>
      <c r="I236" s="9"/>
      <c r="J236" s="9"/>
      <c r="K236" s="9"/>
      <c r="S236" s="11"/>
      <c r="T236" s="9"/>
      <c r="U236" s="9"/>
      <c r="V236" s="16"/>
      <c r="W236" s="9"/>
      <c r="X236" s="15"/>
      <c r="Y236" s="9"/>
      <c r="Z236" s="9"/>
      <c r="AA236" s="9"/>
      <c r="AB236" s="23"/>
      <c r="AC236" s="25"/>
      <c r="AD236" s="25"/>
      <c r="AE236" s="25"/>
    </row>
    <row r="237" spans="2:31" s="13" customFormat="1" x14ac:dyDescent="0.2">
      <c r="B237" s="8"/>
      <c r="F237" s="11"/>
      <c r="L237" s="15"/>
      <c r="N237" s="9"/>
      <c r="O237" s="20"/>
      <c r="P237" s="16"/>
      <c r="Q237" s="9"/>
      <c r="R237" s="9"/>
    </row>
    <row r="238" spans="2:31" s="13" customFormat="1" x14ac:dyDescent="0.2">
      <c r="B238" s="8"/>
      <c r="C238" s="9"/>
      <c r="E238" s="9"/>
      <c r="G238" s="11"/>
      <c r="J238" s="9"/>
      <c r="Z238" s="9"/>
      <c r="AA238" s="9"/>
      <c r="AC238" s="25"/>
      <c r="AD238" s="25"/>
      <c r="AE238" s="25"/>
    </row>
    <row r="239" spans="2:31" s="13" customFormat="1" x14ac:dyDescent="0.2">
      <c r="B239" s="8"/>
    </row>
    <row r="240" spans="2:31" s="13" customFormat="1" x14ac:dyDescent="0.2">
      <c r="B240" s="8"/>
    </row>
    <row r="241" spans="2:31" s="13" customFormat="1" x14ac:dyDescent="0.2">
      <c r="B241" s="8"/>
      <c r="C241" s="23"/>
      <c r="D241" s="9"/>
      <c r="E241" s="9"/>
      <c r="F241" s="11"/>
      <c r="G241" s="11"/>
      <c r="H241" s="11"/>
      <c r="I241" s="9"/>
      <c r="J241" s="9"/>
      <c r="K241" s="9"/>
      <c r="S241" s="11"/>
      <c r="T241" s="9"/>
      <c r="U241" s="9"/>
      <c r="V241" s="16"/>
      <c r="W241" s="9"/>
      <c r="X241" s="15"/>
      <c r="Y241" s="9"/>
      <c r="Z241" s="9"/>
      <c r="AA241" s="9"/>
      <c r="AB241" s="23"/>
      <c r="AC241" s="25"/>
      <c r="AD241" s="25"/>
      <c r="AE241" s="25"/>
    </row>
    <row r="242" spans="2:31" s="13" customFormat="1" x14ac:dyDescent="0.2">
      <c r="B242" s="8"/>
      <c r="F242" s="11"/>
      <c r="L242" s="15"/>
      <c r="N242" s="9"/>
      <c r="O242" s="9"/>
      <c r="P242" s="16"/>
      <c r="Q242" s="9"/>
      <c r="R242" s="9"/>
    </row>
    <row r="243" spans="2:31" s="13" customFormat="1" x14ac:dyDescent="0.2">
      <c r="B243" s="8"/>
      <c r="C243" s="23"/>
      <c r="D243" s="9"/>
      <c r="E243" s="9"/>
      <c r="F243" s="11"/>
      <c r="G243" s="11"/>
      <c r="H243" s="11"/>
      <c r="I243" s="9"/>
      <c r="J243" s="9"/>
      <c r="K243" s="9"/>
      <c r="S243" s="11"/>
      <c r="T243" s="9"/>
      <c r="U243" s="9"/>
      <c r="V243" s="16"/>
      <c r="W243" s="9"/>
      <c r="X243" s="15"/>
      <c r="Y243" s="9"/>
      <c r="Z243" s="9"/>
      <c r="AA243" s="9"/>
      <c r="AC243" s="25"/>
      <c r="AD243" s="25"/>
      <c r="AE243" s="25"/>
    </row>
    <row r="244" spans="2:31" s="13" customFormat="1" x14ac:dyDescent="0.2">
      <c r="B244" s="8"/>
      <c r="F244" s="11"/>
      <c r="L244" s="15"/>
      <c r="N244" s="9"/>
      <c r="O244" s="20"/>
      <c r="P244" s="16"/>
      <c r="Q244" s="9"/>
      <c r="R244" s="9"/>
    </row>
    <row r="245" spans="2:31" s="13" customFormat="1" x14ac:dyDescent="0.2">
      <c r="B245" s="8"/>
      <c r="C245" s="9"/>
      <c r="E245" s="9"/>
      <c r="G245" s="11"/>
      <c r="J245" s="9"/>
      <c r="Z245" s="9"/>
      <c r="AA245" s="9"/>
      <c r="AC245" s="25"/>
      <c r="AD245" s="25"/>
      <c r="AE245" s="25"/>
    </row>
    <row r="246" spans="2:31" s="13" customFormat="1" x14ac:dyDescent="0.2">
      <c r="B246" s="8"/>
    </row>
    <row r="247" spans="2:31" s="13" customFormat="1" x14ac:dyDescent="0.2">
      <c r="B247" s="8"/>
    </row>
    <row r="248" spans="2:31" s="13" customFormat="1" x14ac:dyDescent="0.2">
      <c r="B248" s="8"/>
      <c r="C248" s="23"/>
      <c r="D248" s="9"/>
      <c r="E248" s="9"/>
      <c r="F248" s="11"/>
      <c r="G248" s="11"/>
      <c r="H248" s="11"/>
      <c r="I248" s="9"/>
      <c r="J248" s="9"/>
      <c r="K248" s="9"/>
      <c r="S248" s="11"/>
      <c r="T248" s="9"/>
      <c r="U248" s="9"/>
      <c r="V248" s="16"/>
      <c r="W248" s="9"/>
      <c r="X248" s="15"/>
      <c r="Y248" s="9"/>
      <c r="Z248" s="9"/>
      <c r="AA248" s="9"/>
      <c r="AB248" s="23"/>
      <c r="AC248" s="25"/>
      <c r="AD248" s="25"/>
      <c r="AE248" s="25"/>
    </row>
    <row r="249" spans="2:31" s="13" customFormat="1" x14ac:dyDescent="0.2">
      <c r="B249" s="8"/>
      <c r="F249" s="11"/>
      <c r="L249" s="15"/>
      <c r="N249" s="19"/>
      <c r="O249" s="20"/>
      <c r="P249" s="16"/>
      <c r="Q249" s="9"/>
      <c r="R249" s="9"/>
    </row>
    <row r="250" spans="2:31" s="13" customFormat="1" x14ac:dyDescent="0.2">
      <c r="B250" s="8"/>
      <c r="C250" s="23"/>
      <c r="D250" s="9"/>
      <c r="E250" s="9"/>
      <c r="F250" s="11"/>
      <c r="G250" s="11"/>
      <c r="H250" s="11"/>
      <c r="I250" s="9"/>
      <c r="J250" s="9"/>
      <c r="K250" s="9"/>
      <c r="S250" s="11"/>
      <c r="T250" s="9"/>
      <c r="U250" s="9"/>
      <c r="V250" s="16"/>
      <c r="W250" s="9"/>
      <c r="X250" s="15"/>
      <c r="Y250" s="9"/>
      <c r="Z250" s="9"/>
      <c r="AA250" s="9"/>
      <c r="AB250" s="23"/>
      <c r="AC250" s="25"/>
      <c r="AD250" s="25"/>
      <c r="AE250" s="25"/>
    </row>
    <row r="251" spans="2:31" s="13" customFormat="1" x14ac:dyDescent="0.2">
      <c r="B251" s="8"/>
    </row>
    <row r="252" spans="2:31" s="13" customFormat="1" x14ac:dyDescent="0.2">
      <c r="B252" s="8"/>
    </row>
    <row r="253" spans="2:31" s="13" customFormat="1" x14ac:dyDescent="0.2">
      <c r="B253" s="8"/>
      <c r="C253" s="23"/>
      <c r="D253" s="9"/>
      <c r="E253" s="9"/>
      <c r="F253" s="11"/>
      <c r="G253" s="11"/>
      <c r="H253" s="11"/>
      <c r="I253" s="9"/>
      <c r="J253" s="9"/>
      <c r="K253" s="9"/>
      <c r="S253" s="11"/>
      <c r="T253" s="9"/>
      <c r="U253" s="9"/>
      <c r="V253" s="16"/>
      <c r="W253" s="9"/>
      <c r="X253" s="15"/>
      <c r="Y253" s="9"/>
      <c r="Z253" s="9"/>
      <c r="AA253" s="9"/>
      <c r="AB253" s="23"/>
      <c r="AC253" s="25"/>
      <c r="AD253" s="25"/>
      <c r="AE253" s="25"/>
    </row>
    <row r="254" spans="2:31" s="13" customFormat="1" x14ac:dyDescent="0.2">
      <c r="B254" s="8"/>
      <c r="D254" s="9"/>
      <c r="F254" s="11"/>
      <c r="L254" s="15"/>
      <c r="N254" s="9"/>
      <c r="O254" s="9"/>
      <c r="P254" s="16"/>
      <c r="Q254" s="9"/>
      <c r="R254" s="9"/>
    </row>
    <row r="255" spans="2:31" s="13" customFormat="1" x14ac:dyDescent="0.2">
      <c r="B255" s="8"/>
      <c r="C255" s="23"/>
      <c r="D255" s="9"/>
      <c r="E255" s="9"/>
      <c r="F255" s="11"/>
      <c r="G255" s="11"/>
      <c r="H255" s="11"/>
      <c r="I255" s="9"/>
      <c r="J255" s="9"/>
      <c r="K255" s="9"/>
      <c r="S255" s="11"/>
      <c r="T255" s="9"/>
      <c r="U255" s="9"/>
      <c r="V255" s="16"/>
      <c r="W255" s="9"/>
      <c r="X255" s="15"/>
      <c r="Y255" s="9"/>
      <c r="Z255" s="9"/>
      <c r="AA255" s="9"/>
      <c r="AB255" s="23"/>
      <c r="AC255" s="25"/>
      <c r="AD255" s="25"/>
      <c r="AE255" s="25"/>
    </row>
    <row r="256" spans="2:31" s="13" customFormat="1" x14ac:dyDescent="0.2">
      <c r="B256" s="8"/>
      <c r="D256" s="9"/>
      <c r="F256" s="11"/>
      <c r="L256" s="15"/>
      <c r="N256" s="9"/>
      <c r="O256" s="20"/>
      <c r="P256" s="16"/>
      <c r="Q256" s="9"/>
      <c r="R256" s="9"/>
    </row>
    <row r="257" spans="2:31" s="13" customFormat="1" x14ac:dyDescent="0.2">
      <c r="B257" s="8"/>
      <c r="C257" s="9"/>
      <c r="E257" s="9"/>
      <c r="G257" s="11"/>
      <c r="J257" s="9"/>
      <c r="Z257" s="9"/>
      <c r="AA257" s="9"/>
      <c r="AC257" s="25"/>
      <c r="AD257" s="25"/>
      <c r="AE257" s="25"/>
    </row>
    <row r="258" spans="2:31" s="13" customFormat="1" x14ac:dyDescent="0.2">
      <c r="B258" s="8"/>
    </row>
    <row r="259" spans="2:31" s="13" customFormat="1" x14ac:dyDescent="0.2">
      <c r="B259" s="8"/>
    </row>
    <row r="260" spans="2:31" s="13" customFormat="1" x14ac:dyDescent="0.2">
      <c r="B260" s="8"/>
      <c r="C260" s="23"/>
      <c r="D260" s="9"/>
      <c r="E260" s="9"/>
      <c r="F260" s="11"/>
      <c r="G260" s="11"/>
      <c r="H260" s="11"/>
      <c r="I260" s="9"/>
      <c r="J260" s="9"/>
      <c r="K260" s="9"/>
      <c r="S260" s="11"/>
      <c r="T260" s="9"/>
      <c r="U260" s="9"/>
      <c r="V260" s="16"/>
      <c r="W260" s="9"/>
      <c r="X260" s="15"/>
      <c r="Y260" s="9"/>
      <c r="Z260" s="9"/>
      <c r="AA260" s="9"/>
      <c r="AB260" s="23"/>
      <c r="AC260" s="25"/>
      <c r="AD260" s="25"/>
      <c r="AE260" s="25"/>
    </row>
    <row r="261" spans="2:31" s="13" customFormat="1" x14ac:dyDescent="0.2">
      <c r="B261" s="8"/>
      <c r="F261" s="11"/>
      <c r="L261" s="15"/>
      <c r="N261" s="9"/>
      <c r="O261" s="9"/>
      <c r="P261" s="16"/>
      <c r="Q261" s="9"/>
      <c r="R261" s="9"/>
    </row>
    <row r="262" spans="2:31" s="13" customFormat="1" x14ac:dyDescent="0.2">
      <c r="B262" s="8"/>
      <c r="C262" s="23"/>
      <c r="D262" s="9"/>
      <c r="E262" s="9"/>
      <c r="F262" s="11"/>
      <c r="G262" s="11"/>
      <c r="H262" s="11"/>
      <c r="I262" s="9"/>
      <c r="J262" s="9"/>
      <c r="K262" s="9"/>
      <c r="S262" s="11"/>
      <c r="T262" s="9"/>
      <c r="U262" s="9"/>
      <c r="V262" s="16"/>
      <c r="W262" s="9"/>
      <c r="X262" s="15"/>
      <c r="Y262" s="9"/>
      <c r="Z262" s="9"/>
      <c r="AA262" s="9"/>
      <c r="AB262" s="23"/>
      <c r="AC262" s="25"/>
      <c r="AD262" s="25"/>
      <c r="AE262" s="25"/>
    </row>
    <row r="263" spans="2:31" s="13" customFormat="1" x14ac:dyDescent="0.2">
      <c r="B263" s="8"/>
      <c r="F263" s="11"/>
      <c r="L263" s="15"/>
      <c r="N263" s="9"/>
      <c r="O263" s="9"/>
      <c r="P263" s="16"/>
      <c r="Q263" s="9"/>
      <c r="R263" s="9"/>
    </row>
    <row r="264" spans="2:31" s="13" customFormat="1" x14ac:dyDescent="0.2">
      <c r="B264" s="8"/>
      <c r="C264" s="23"/>
      <c r="D264" s="9"/>
      <c r="E264" s="9"/>
      <c r="F264" s="11"/>
      <c r="G264" s="11"/>
      <c r="H264" s="11"/>
      <c r="I264" s="9"/>
      <c r="J264" s="9"/>
      <c r="K264" s="9"/>
      <c r="S264" s="11"/>
      <c r="T264" s="9"/>
      <c r="U264" s="9"/>
      <c r="V264" s="16"/>
      <c r="W264" s="9"/>
      <c r="X264" s="15"/>
      <c r="Y264" s="9"/>
      <c r="Z264" s="9"/>
      <c r="AA264" s="9"/>
      <c r="AB264" s="23"/>
      <c r="AC264" s="25"/>
      <c r="AD264" s="25"/>
      <c r="AE264" s="25"/>
    </row>
    <row r="265" spans="2:31" s="13" customFormat="1" x14ac:dyDescent="0.2">
      <c r="B265" s="8"/>
      <c r="F265" s="11"/>
      <c r="L265" s="15"/>
      <c r="N265" s="9"/>
      <c r="O265" s="9"/>
      <c r="P265" s="16"/>
      <c r="Q265" s="9"/>
      <c r="R265" s="9"/>
    </row>
    <row r="266" spans="2:31" s="13" customFormat="1" x14ac:dyDescent="0.2">
      <c r="B266" s="8"/>
      <c r="C266" s="23"/>
      <c r="D266" s="9"/>
      <c r="E266" s="9"/>
      <c r="F266" s="11"/>
      <c r="G266" s="11"/>
      <c r="H266" s="11"/>
      <c r="I266" s="9"/>
      <c r="J266" s="9"/>
      <c r="K266" s="9"/>
      <c r="S266" s="11"/>
      <c r="T266" s="9"/>
      <c r="U266" s="9"/>
      <c r="V266" s="16"/>
      <c r="W266" s="9"/>
      <c r="X266" s="15"/>
      <c r="Y266" s="9"/>
      <c r="Z266" s="9"/>
      <c r="AA266" s="9"/>
      <c r="AB266" s="23"/>
      <c r="AC266" s="25"/>
      <c r="AD266" s="25"/>
      <c r="AE266" s="25"/>
    </row>
    <row r="267" spans="2:31" s="13" customFormat="1" x14ac:dyDescent="0.2">
      <c r="B267" s="8"/>
      <c r="F267" s="11"/>
      <c r="L267" s="15"/>
      <c r="N267" s="9"/>
      <c r="O267" s="9"/>
      <c r="P267" s="16"/>
      <c r="Q267" s="9"/>
      <c r="R267" s="9"/>
    </row>
    <row r="268" spans="2:31" s="13" customFormat="1" x14ac:dyDescent="0.2">
      <c r="B268" s="8"/>
      <c r="C268" s="23"/>
      <c r="D268" s="9"/>
      <c r="E268" s="9"/>
      <c r="F268" s="11"/>
      <c r="G268" s="11"/>
      <c r="H268" s="11"/>
      <c r="I268" s="9"/>
      <c r="J268" s="20"/>
      <c r="K268" s="9"/>
      <c r="S268" s="11"/>
      <c r="T268" s="9"/>
      <c r="U268" s="9"/>
      <c r="V268" s="16"/>
      <c r="W268" s="9"/>
      <c r="X268" s="15"/>
      <c r="Y268" s="9"/>
      <c r="Z268" s="9"/>
      <c r="AA268" s="9"/>
      <c r="AB268" s="23"/>
      <c r="AC268" s="25"/>
      <c r="AD268" s="25"/>
      <c r="AE268" s="25"/>
    </row>
    <row r="269" spans="2:31" s="13" customFormat="1" x14ac:dyDescent="0.2">
      <c r="B269" s="8"/>
      <c r="D269" s="9"/>
      <c r="F269" s="11"/>
      <c r="L269" s="15"/>
      <c r="N269" s="9"/>
      <c r="O269" s="9"/>
      <c r="P269" s="16"/>
      <c r="Q269" s="9"/>
      <c r="R269" s="9"/>
    </row>
    <row r="270" spans="2:31" s="13" customFormat="1" x14ac:dyDescent="0.2">
      <c r="B270" s="8"/>
      <c r="C270" s="23"/>
      <c r="D270" s="9"/>
      <c r="E270" s="9"/>
      <c r="F270" s="11"/>
      <c r="G270" s="11"/>
      <c r="H270" s="11"/>
      <c r="I270" s="9"/>
      <c r="J270" s="9"/>
      <c r="K270" s="9"/>
      <c r="S270" s="11"/>
      <c r="T270" s="9"/>
      <c r="U270" s="9"/>
      <c r="V270" s="16"/>
      <c r="W270" s="9"/>
      <c r="X270" s="15"/>
      <c r="Y270" s="9"/>
      <c r="Z270" s="9"/>
      <c r="AA270" s="9"/>
      <c r="AB270" s="23"/>
      <c r="AC270" s="25"/>
      <c r="AD270" s="25"/>
      <c r="AE270" s="25"/>
    </row>
    <row r="271" spans="2:31" s="13" customFormat="1" x14ac:dyDescent="0.2">
      <c r="B271" s="8"/>
      <c r="D271" s="9"/>
      <c r="E271" s="9"/>
      <c r="F271" s="11"/>
      <c r="L271" s="15"/>
      <c r="N271" s="9"/>
      <c r="O271" s="9"/>
      <c r="P271" s="16"/>
      <c r="Q271" s="9"/>
      <c r="R271" s="9"/>
    </row>
    <row r="272" spans="2:31" s="13" customFormat="1" x14ac:dyDescent="0.2">
      <c r="B272" s="8"/>
      <c r="C272" s="23"/>
      <c r="D272" s="9"/>
      <c r="E272" s="9"/>
      <c r="F272" s="11"/>
      <c r="G272" s="11"/>
      <c r="H272" s="11"/>
      <c r="I272" s="9"/>
      <c r="J272" s="9"/>
      <c r="K272" s="9"/>
      <c r="S272" s="11"/>
      <c r="T272" s="9"/>
      <c r="U272" s="9"/>
      <c r="V272" s="16"/>
      <c r="W272" s="9"/>
      <c r="X272" s="15"/>
      <c r="Y272" s="9"/>
      <c r="Z272" s="9"/>
      <c r="AA272" s="9"/>
      <c r="AB272" s="23"/>
      <c r="AC272" s="25"/>
      <c r="AD272" s="25"/>
      <c r="AE272" s="25"/>
    </row>
    <row r="273" spans="2:31" s="13" customFormat="1" x14ac:dyDescent="0.2">
      <c r="B273" s="8"/>
      <c r="D273" s="9"/>
      <c r="E273" s="9"/>
      <c r="F273" s="11"/>
      <c r="L273" s="15"/>
      <c r="N273" s="9"/>
      <c r="O273" s="20"/>
      <c r="P273" s="16"/>
      <c r="Q273" s="9"/>
      <c r="R273" s="9"/>
    </row>
    <row r="274" spans="2:31" s="13" customFormat="1" x14ac:dyDescent="0.2">
      <c r="B274" s="8"/>
      <c r="C274" s="23"/>
      <c r="D274" s="9"/>
      <c r="E274" s="9"/>
      <c r="F274" s="11"/>
      <c r="G274" s="11"/>
      <c r="H274" s="11"/>
      <c r="I274" s="9"/>
      <c r="J274" s="9"/>
      <c r="K274" s="9"/>
      <c r="S274" s="11"/>
      <c r="T274" s="9"/>
      <c r="U274" s="9"/>
      <c r="V274" s="16"/>
      <c r="W274" s="9"/>
      <c r="X274" s="15"/>
      <c r="Y274" s="9"/>
      <c r="Z274" s="9"/>
      <c r="AA274" s="9"/>
      <c r="AB274" s="23"/>
      <c r="AC274" s="25"/>
      <c r="AD274" s="25"/>
      <c r="AE274" s="25"/>
    </row>
    <row r="275" spans="2:31" s="13" customFormat="1" x14ac:dyDescent="0.2">
      <c r="B275" s="8"/>
    </row>
    <row r="276" spans="2:31" s="13" customFormat="1" x14ac:dyDescent="0.2">
      <c r="B276" s="8"/>
      <c r="D276" s="9"/>
      <c r="F276" s="11"/>
      <c r="L276" s="15"/>
      <c r="N276" s="9"/>
      <c r="O276" s="9"/>
      <c r="P276" s="16"/>
      <c r="Q276" s="9"/>
      <c r="R276" s="9"/>
    </row>
    <row r="277" spans="2:31" s="13" customFormat="1" x14ac:dyDescent="0.2">
      <c r="B277" s="8"/>
      <c r="C277" s="23"/>
      <c r="D277" s="9"/>
      <c r="E277" s="9"/>
      <c r="F277" s="11"/>
      <c r="G277" s="11"/>
      <c r="H277" s="11"/>
      <c r="I277" s="9"/>
      <c r="J277" s="9"/>
      <c r="K277" s="9"/>
      <c r="S277" s="11"/>
      <c r="T277" s="9"/>
      <c r="U277" s="9"/>
      <c r="V277" s="16"/>
      <c r="W277" s="9"/>
      <c r="X277" s="15"/>
      <c r="Y277" s="9"/>
      <c r="Z277" s="9"/>
      <c r="AA277" s="9"/>
      <c r="AB277" s="23"/>
      <c r="AC277" s="25"/>
      <c r="AD277" s="25"/>
      <c r="AE277" s="25"/>
    </row>
    <row r="278" spans="2:31" s="13" customFormat="1" x14ac:dyDescent="0.2">
      <c r="B278" s="8"/>
      <c r="D278" s="9"/>
      <c r="F278" s="11"/>
      <c r="L278" s="15"/>
      <c r="N278" s="9"/>
      <c r="O278" s="9"/>
      <c r="P278" s="16"/>
      <c r="Q278" s="9"/>
      <c r="R278" s="9"/>
    </row>
    <row r="279" spans="2:31" s="13" customFormat="1" x14ac:dyDescent="0.2">
      <c r="B279" s="8"/>
      <c r="C279" s="23"/>
      <c r="D279" s="9"/>
      <c r="E279" s="9"/>
      <c r="F279" s="11"/>
      <c r="G279" s="11"/>
      <c r="H279" s="11"/>
      <c r="I279" s="9"/>
      <c r="J279" s="9"/>
      <c r="K279" s="9"/>
      <c r="S279" s="11"/>
      <c r="T279" s="9"/>
      <c r="U279" s="9"/>
      <c r="V279" s="16"/>
      <c r="W279" s="9"/>
      <c r="X279" s="15"/>
      <c r="Y279" s="9"/>
      <c r="Z279" s="9"/>
      <c r="AA279" s="9"/>
      <c r="AB279" s="23"/>
      <c r="AC279" s="25"/>
      <c r="AD279" s="25"/>
      <c r="AE279" s="25"/>
    </row>
    <row r="280" spans="2:31" s="13" customFormat="1" x14ac:dyDescent="0.2">
      <c r="B280" s="8"/>
      <c r="D280" s="9"/>
      <c r="F280" s="11"/>
      <c r="L280" s="15"/>
      <c r="N280" s="9"/>
      <c r="O280" s="9"/>
      <c r="P280" s="16"/>
      <c r="Q280" s="9"/>
      <c r="R280" s="9"/>
    </row>
    <row r="281" spans="2:31" s="13" customFormat="1" x14ac:dyDescent="0.2">
      <c r="B281" s="8"/>
      <c r="C281" s="23"/>
      <c r="D281" s="9"/>
      <c r="E281" s="9"/>
      <c r="F281" s="11"/>
      <c r="G281" s="11"/>
      <c r="H281" s="11"/>
      <c r="I281" s="9"/>
      <c r="J281" s="9"/>
      <c r="K281" s="9"/>
      <c r="S281" s="11"/>
      <c r="T281" s="9"/>
      <c r="U281" s="9"/>
      <c r="V281" s="16"/>
      <c r="W281" s="9"/>
      <c r="X281" s="15"/>
      <c r="Y281" s="9"/>
      <c r="Z281" s="9"/>
      <c r="AA281" s="9"/>
      <c r="AB281" s="23"/>
      <c r="AC281" s="25"/>
      <c r="AD281" s="25"/>
      <c r="AE281" s="25"/>
    </row>
    <row r="282" spans="2:31" s="13" customFormat="1" x14ac:dyDescent="0.2">
      <c r="B282" s="8"/>
      <c r="D282" s="9"/>
      <c r="F282" s="11"/>
      <c r="L282" s="15"/>
      <c r="N282" s="9"/>
      <c r="O282" s="9"/>
      <c r="P282" s="16"/>
      <c r="Q282" s="9"/>
      <c r="R282" s="9"/>
    </row>
    <row r="283" spans="2:31" s="13" customFormat="1" x14ac:dyDescent="0.2">
      <c r="B283" s="8"/>
      <c r="C283" s="23"/>
      <c r="D283" s="9"/>
      <c r="E283" s="9"/>
      <c r="F283" s="11"/>
      <c r="G283" s="11"/>
      <c r="H283" s="11"/>
      <c r="I283" s="9"/>
      <c r="J283" s="20"/>
      <c r="K283" s="9"/>
      <c r="S283" s="11"/>
      <c r="T283" s="9"/>
      <c r="U283" s="9"/>
      <c r="V283" s="16"/>
      <c r="W283" s="9"/>
      <c r="X283" s="15"/>
      <c r="Y283" s="9"/>
      <c r="Z283" s="9"/>
      <c r="AA283" s="9"/>
      <c r="AB283" s="23"/>
      <c r="AC283" s="25"/>
      <c r="AD283" s="25"/>
      <c r="AE283" s="25"/>
    </row>
    <row r="284" spans="2:31" s="13" customFormat="1" x14ac:dyDescent="0.2">
      <c r="B284" s="8"/>
      <c r="D284" s="9"/>
      <c r="F284" s="11"/>
      <c r="L284" s="15"/>
      <c r="N284" s="9"/>
      <c r="O284" s="9"/>
      <c r="P284" s="16"/>
      <c r="Q284" s="9"/>
      <c r="R284" s="9"/>
    </row>
    <row r="285" spans="2:31" s="13" customFormat="1" x14ac:dyDescent="0.2">
      <c r="B285" s="8"/>
      <c r="C285" s="23"/>
      <c r="D285" s="9"/>
      <c r="E285" s="9"/>
      <c r="F285" s="11"/>
      <c r="G285" s="11"/>
      <c r="H285" s="11"/>
      <c r="I285" s="9"/>
      <c r="J285" s="20"/>
      <c r="K285" s="9"/>
      <c r="S285" s="11"/>
      <c r="T285" s="9"/>
      <c r="U285" s="9"/>
      <c r="V285" s="16"/>
      <c r="W285" s="9"/>
      <c r="X285" s="15"/>
      <c r="Y285" s="9"/>
      <c r="Z285" s="9"/>
      <c r="AA285" s="9"/>
      <c r="AB285" s="23"/>
      <c r="AC285" s="25"/>
      <c r="AD285" s="25"/>
      <c r="AE285" s="25"/>
    </row>
    <row r="286" spans="2:31" s="13" customFormat="1" x14ac:dyDescent="0.2">
      <c r="B286" s="8"/>
      <c r="D286" s="9"/>
      <c r="E286" s="9"/>
      <c r="F286" s="11"/>
      <c r="L286" s="15"/>
      <c r="N286" s="9"/>
      <c r="O286" s="9"/>
      <c r="P286" s="16"/>
      <c r="Q286" s="9"/>
      <c r="R286" s="9"/>
    </row>
    <row r="287" spans="2:31" s="13" customFormat="1" x14ac:dyDescent="0.2">
      <c r="B287" s="8"/>
      <c r="C287" s="23"/>
      <c r="D287" s="9"/>
      <c r="E287" s="9"/>
      <c r="F287" s="11"/>
      <c r="G287" s="11"/>
      <c r="H287" s="11"/>
      <c r="I287" s="9"/>
      <c r="J287" s="9"/>
      <c r="K287" s="9"/>
      <c r="S287" s="11"/>
      <c r="T287" s="9"/>
      <c r="U287" s="9"/>
      <c r="V287" s="16"/>
      <c r="W287" s="9"/>
      <c r="X287" s="15"/>
      <c r="Y287" s="9"/>
      <c r="Z287" s="9"/>
      <c r="AA287" s="9"/>
      <c r="AB287" s="23"/>
      <c r="AC287" s="25"/>
      <c r="AD287" s="25"/>
      <c r="AE287" s="25"/>
    </row>
    <row r="288" spans="2:31" s="13" customFormat="1" x14ac:dyDescent="0.2">
      <c r="B288" s="8"/>
      <c r="D288" s="9"/>
      <c r="E288" s="9"/>
      <c r="F288" s="11"/>
      <c r="L288" s="15"/>
      <c r="N288" s="9"/>
      <c r="O288" s="9"/>
      <c r="P288" s="16"/>
      <c r="Q288" s="9"/>
      <c r="R288" s="9"/>
    </row>
    <row r="289" spans="2:31" s="13" customFormat="1" x14ac:dyDescent="0.2">
      <c r="B289" s="8"/>
      <c r="C289" s="23"/>
      <c r="D289" s="9"/>
      <c r="E289" s="9"/>
      <c r="F289" s="11"/>
      <c r="G289" s="11"/>
      <c r="H289" s="11"/>
      <c r="I289" s="9"/>
      <c r="J289" s="20"/>
      <c r="K289" s="9"/>
      <c r="S289" s="11"/>
      <c r="T289" s="9"/>
      <c r="U289" s="9"/>
      <c r="V289" s="16"/>
      <c r="W289" s="9"/>
      <c r="X289" s="15"/>
      <c r="Y289" s="9"/>
      <c r="Z289" s="9"/>
      <c r="AA289" s="9"/>
      <c r="AB289" s="23"/>
      <c r="AC289" s="25"/>
      <c r="AD289" s="25"/>
      <c r="AE289" s="25"/>
    </row>
    <row r="290" spans="2:31" s="13" customFormat="1" x14ac:dyDescent="0.2">
      <c r="B290" s="8"/>
      <c r="D290" s="9"/>
      <c r="E290" s="9"/>
      <c r="F290" s="11"/>
      <c r="L290" s="15"/>
      <c r="N290" s="9"/>
      <c r="O290" s="9"/>
      <c r="P290" s="16"/>
      <c r="Q290" s="9"/>
      <c r="R290" s="9"/>
      <c r="S290" s="11"/>
    </row>
    <row r="291" spans="2:31" s="13" customFormat="1" x14ac:dyDescent="0.2">
      <c r="B291" s="8"/>
      <c r="C291" s="23"/>
      <c r="D291" s="9"/>
      <c r="E291" s="9"/>
      <c r="F291" s="11"/>
      <c r="G291" s="11"/>
      <c r="H291" s="11"/>
      <c r="I291" s="9"/>
      <c r="J291" s="20"/>
      <c r="K291" s="9"/>
      <c r="S291" s="11"/>
      <c r="T291" s="9"/>
      <c r="U291" s="9"/>
      <c r="V291" s="16"/>
      <c r="W291" s="9"/>
      <c r="X291" s="15"/>
      <c r="Y291" s="9"/>
      <c r="Z291" s="9"/>
      <c r="AA291" s="9"/>
      <c r="AB291" s="23"/>
      <c r="AC291" s="25"/>
      <c r="AD291" s="25"/>
      <c r="AE291" s="25"/>
    </row>
    <row r="292" spans="2:31" s="13" customFormat="1" x14ac:dyDescent="0.2">
      <c r="B292" s="8"/>
      <c r="D292" s="9"/>
      <c r="F292" s="11"/>
      <c r="L292" s="15"/>
      <c r="N292" s="20"/>
      <c r="O292" s="22"/>
      <c r="P292" s="16"/>
      <c r="Q292" s="9"/>
      <c r="R292" s="9"/>
    </row>
    <row r="293" spans="2:31" s="13" customFormat="1" x14ac:dyDescent="0.2">
      <c r="B293" s="8"/>
      <c r="C293" s="23"/>
      <c r="D293" s="9"/>
      <c r="E293" s="9"/>
      <c r="F293" s="11"/>
      <c r="G293" s="11"/>
      <c r="H293" s="11"/>
      <c r="I293" s="9"/>
      <c r="J293" s="22"/>
      <c r="K293" s="9"/>
      <c r="S293" s="11"/>
      <c r="T293" s="9"/>
      <c r="U293" s="9"/>
      <c r="V293" s="16"/>
      <c r="W293" s="9"/>
      <c r="X293" s="15"/>
      <c r="Y293" s="9"/>
      <c r="Z293" s="9"/>
      <c r="AA293" s="9"/>
      <c r="AB293" s="23"/>
      <c r="AC293" s="25"/>
      <c r="AD293" s="25"/>
      <c r="AE293" s="25"/>
    </row>
    <row r="294" spans="2:31" s="13" customFormat="1" x14ac:dyDescent="0.2">
      <c r="B294" s="8"/>
      <c r="D294" s="9"/>
      <c r="F294" s="11"/>
      <c r="L294" s="15"/>
      <c r="N294" s="22"/>
      <c r="O294" s="19"/>
      <c r="P294" s="16"/>
      <c r="Q294" s="9"/>
      <c r="R294" s="9"/>
    </row>
    <row r="295" spans="2:31" s="13" customFormat="1" x14ac:dyDescent="0.2">
      <c r="B295" s="8"/>
      <c r="C295" s="23"/>
      <c r="E295" s="9"/>
      <c r="G295" s="11"/>
      <c r="J295" s="9"/>
      <c r="Z295" s="9"/>
      <c r="AA295" s="9"/>
      <c r="AC295" s="25"/>
      <c r="AD295" s="25"/>
      <c r="AE295" s="25"/>
    </row>
    <row r="296" spans="2:31" s="13" customFormat="1" x14ac:dyDescent="0.2">
      <c r="B296" s="8"/>
    </row>
    <row r="297" spans="2:31" s="13" customFormat="1" x14ac:dyDescent="0.2">
      <c r="B297" s="8"/>
    </row>
    <row r="298" spans="2:31" s="13" customFormat="1" x14ac:dyDescent="0.2">
      <c r="B298" s="8"/>
    </row>
    <row r="299" spans="2:31" s="13" customFormat="1" x14ac:dyDescent="0.2">
      <c r="B299" s="8"/>
    </row>
    <row r="300" spans="2:31" s="13" customFormat="1" x14ac:dyDescent="0.2">
      <c r="B300" s="8"/>
    </row>
    <row r="301" spans="2:31" s="13" customFormat="1" x14ac:dyDescent="0.2">
      <c r="B301" s="8"/>
    </row>
    <row r="302" spans="2:31" s="13" customFormat="1" x14ac:dyDescent="0.2">
      <c r="B302" s="8"/>
    </row>
    <row r="303" spans="2:31" s="13" customFormat="1" x14ac:dyDescent="0.2">
      <c r="B303" s="8"/>
      <c r="C303" s="23"/>
      <c r="D303" s="9"/>
      <c r="E303" s="9"/>
      <c r="F303" s="11"/>
      <c r="G303" s="11"/>
      <c r="H303" s="11"/>
      <c r="I303" s="9"/>
      <c r="J303" s="9"/>
      <c r="K303" s="9"/>
      <c r="S303" s="11"/>
      <c r="T303" s="9"/>
      <c r="U303" s="9"/>
      <c r="V303" s="16"/>
      <c r="W303" s="9"/>
      <c r="X303" s="15"/>
      <c r="Y303" s="9"/>
      <c r="Z303" s="9"/>
      <c r="AA303" s="9"/>
      <c r="AC303" s="25"/>
      <c r="AD303" s="25"/>
      <c r="AE303" s="25"/>
    </row>
    <row r="304" spans="2:31" s="13" customFormat="1" x14ac:dyDescent="0.2">
      <c r="B304" s="8"/>
      <c r="F304" s="11"/>
      <c r="L304" s="15"/>
      <c r="N304" s="9"/>
      <c r="O304" s="9"/>
      <c r="P304" s="16"/>
      <c r="Q304" s="9"/>
      <c r="R304" s="9"/>
    </row>
    <row r="305" spans="2:31" s="13" customFormat="1" x14ac:dyDescent="0.2">
      <c r="B305" s="8"/>
      <c r="C305" s="23"/>
      <c r="D305" s="9"/>
      <c r="E305" s="9"/>
      <c r="F305" s="11"/>
      <c r="G305" s="11"/>
      <c r="H305" s="11"/>
      <c r="I305" s="9"/>
      <c r="J305" s="9"/>
      <c r="K305" s="9"/>
      <c r="S305" s="11"/>
      <c r="T305" s="9"/>
      <c r="U305" s="9"/>
      <c r="V305" s="16"/>
      <c r="W305" s="9"/>
      <c r="X305" s="15"/>
      <c r="Y305" s="9"/>
      <c r="Z305" s="9"/>
      <c r="AA305" s="9"/>
      <c r="AB305" s="23"/>
      <c r="AC305" s="25"/>
      <c r="AD305" s="25"/>
      <c r="AE305" s="25"/>
    </row>
    <row r="306" spans="2:31" s="13" customFormat="1" x14ac:dyDescent="0.2">
      <c r="B306" s="8"/>
      <c r="D306" s="9"/>
      <c r="E306" s="9"/>
      <c r="F306" s="11"/>
      <c r="L306" s="15"/>
      <c r="N306" s="9"/>
      <c r="O306" s="22"/>
      <c r="P306" s="16"/>
      <c r="Q306" s="9"/>
      <c r="R306" s="9"/>
    </row>
    <row r="307" spans="2:31" s="13" customFormat="1" x14ac:dyDescent="0.2">
      <c r="B307" s="8"/>
      <c r="C307" s="23"/>
      <c r="E307" s="9"/>
      <c r="G307" s="11"/>
      <c r="J307" s="9"/>
      <c r="Z307" s="9"/>
      <c r="AA307" s="9"/>
      <c r="AC307" s="25"/>
      <c r="AD307" s="25"/>
      <c r="AE307" s="25"/>
    </row>
    <row r="308" spans="2:31" s="13" customFormat="1" x14ac:dyDescent="0.2">
      <c r="B308" s="8"/>
    </row>
    <row r="309" spans="2:31" s="13" customFormat="1" x14ac:dyDescent="0.2">
      <c r="B309" s="8"/>
    </row>
    <row r="310" spans="2:31" s="13" customFormat="1" x14ac:dyDescent="0.2">
      <c r="B310" s="8"/>
      <c r="C310" s="23"/>
      <c r="D310" s="23"/>
    </row>
    <row r="311" spans="2:31" s="13" customFormat="1" x14ac:dyDescent="0.2">
      <c r="B311" s="8"/>
    </row>
    <row r="312" spans="2:31" s="13" customFormat="1" x14ac:dyDescent="0.2">
      <c r="B312" s="8"/>
    </row>
    <row r="313" spans="2:31" s="13" customFormat="1" x14ac:dyDescent="0.2">
      <c r="B313" s="8"/>
    </row>
    <row r="314" spans="2:31" s="13" customFormat="1" x14ac:dyDescent="0.2">
      <c r="B314" s="8"/>
    </row>
    <row r="315" spans="2:31" s="13" customFormat="1" x14ac:dyDescent="0.2">
      <c r="B315" s="8"/>
    </row>
    <row r="316" spans="2:31" s="13" customFormat="1" x14ac:dyDescent="0.2">
      <c r="B316" s="8"/>
      <c r="C316" s="23"/>
      <c r="D316" s="9"/>
      <c r="E316" s="9"/>
      <c r="F316" s="11"/>
      <c r="G316" s="11"/>
      <c r="H316" s="11"/>
      <c r="I316" s="9"/>
      <c r="J316" s="9"/>
      <c r="K316" s="22"/>
      <c r="S316" s="11"/>
      <c r="T316" s="22"/>
      <c r="U316" s="9"/>
      <c r="V316" s="16"/>
      <c r="W316" s="9"/>
      <c r="X316" s="15"/>
      <c r="Y316" s="9"/>
      <c r="Z316" s="9"/>
      <c r="AA316" s="9"/>
      <c r="AB316" s="23"/>
      <c r="AC316" s="25"/>
      <c r="AD316" s="25"/>
      <c r="AE316" s="25"/>
    </row>
    <row r="317" spans="2:31" s="13" customFormat="1" x14ac:dyDescent="0.2">
      <c r="B317" s="8"/>
      <c r="D317" s="9"/>
      <c r="E317" s="9"/>
      <c r="F317" s="11"/>
      <c r="L317" s="15"/>
      <c r="O317" s="22"/>
      <c r="P317" s="16"/>
      <c r="Q317" s="9"/>
      <c r="R317" s="9"/>
    </row>
    <row r="318" spans="2:31" s="13" customFormat="1" x14ac:dyDescent="0.2">
      <c r="B318" s="8"/>
      <c r="C318" s="23"/>
      <c r="E318" s="9"/>
      <c r="G318" s="11"/>
      <c r="J318" s="9"/>
      <c r="Z318" s="9"/>
      <c r="AA318" s="9"/>
      <c r="AC318" s="25"/>
      <c r="AD318" s="25"/>
      <c r="AE318" s="25"/>
    </row>
    <row r="319" spans="2:31" s="13" customFormat="1" x14ac:dyDescent="0.2">
      <c r="B319" s="8"/>
    </row>
    <row r="320" spans="2:31" s="13" customFormat="1" x14ac:dyDescent="0.2">
      <c r="B320" s="8"/>
    </row>
    <row r="321" spans="2:31" s="13" customFormat="1" x14ac:dyDescent="0.2">
      <c r="B321" s="8"/>
      <c r="C321" s="23"/>
      <c r="D321" s="23"/>
      <c r="F321" s="23"/>
    </row>
    <row r="322" spans="2:31" s="13" customFormat="1" x14ac:dyDescent="0.2">
      <c r="B322" s="8"/>
    </row>
    <row r="323" spans="2:31" s="13" customFormat="1" x14ac:dyDescent="0.2">
      <c r="B323" s="8"/>
    </row>
    <row r="324" spans="2:31" s="13" customFormat="1" x14ac:dyDescent="0.2">
      <c r="B324" s="8"/>
    </row>
    <row r="325" spans="2:31" s="13" customFormat="1" x14ac:dyDescent="0.2">
      <c r="B325" s="8"/>
    </row>
    <row r="326" spans="2:31" s="13" customFormat="1" x14ac:dyDescent="0.2">
      <c r="B326" s="8"/>
    </row>
    <row r="327" spans="2:31" s="13" customFormat="1" x14ac:dyDescent="0.2">
      <c r="B327" s="8"/>
      <c r="C327" s="23"/>
      <c r="D327" s="9"/>
      <c r="E327" s="9"/>
      <c r="F327" s="11"/>
      <c r="G327" s="11"/>
      <c r="H327" s="11"/>
      <c r="I327" s="9"/>
      <c r="J327" s="9"/>
      <c r="K327" s="9"/>
      <c r="S327" s="11"/>
      <c r="T327" s="9"/>
      <c r="U327" s="9"/>
      <c r="V327" s="16"/>
      <c r="W327" s="9"/>
      <c r="X327" s="15"/>
      <c r="Y327" s="9"/>
      <c r="Z327" s="9"/>
      <c r="AA327" s="9"/>
      <c r="AC327" s="25"/>
      <c r="AD327" s="25"/>
      <c r="AE327" s="25"/>
    </row>
    <row r="328" spans="2:31" s="13" customFormat="1" x14ac:dyDescent="0.2">
      <c r="B328" s="8"/>
      <c r="F328" s="11"/>
      <c r="L328" s="15"/>
      <c r="N328" s="9"/>
      <c r="O328" s="9"/>
      <c r="P328" s="16"/>
      <c r="Q328" s="9"/>
      <c r="R328" s="9"/>
    </row>
    <row r="329" spans="2:31" s="13" customFormat="1" x14ac:dyDescent="0.2">
      <c r="B329" s="8"/>
      <c r="C329" s="23"/>
      <c r="D329" s="9"/>
      <c r="E329" s="9"/>
      <c r="F329" s="11"/>
      <c r="G329" s="11"/>
      <c r="H329" s="11"/>
      <c r="I329" s="9"/>
      <c r="J329" s="9"/>
      <c r="K329" s="9"/>
      <c r="S329" s="11"/>
      <c r="T329" s="9"/>
      <c r="U329" s="9"/>
      <c r="V329" s="16"/>
      <c r="W329" s="9"/>
      <c r="X329" s="15"/>
      <c r="Y329" s="9"/>
      <c r="Z329" s="9"/>
      <c r="AA329" s="9"/>
      <c r="AB329" s="23"/>
      <c r="AC329" s="25"/>
      <c r="AD329" s="25"/>
      <c r="AE329" s="25"/>
    </row>
    <row r="330" spans="2:31" s="13" customFormat="1" x14ac:dyDescent="0.2">
      <c r="B330" s="8"/>
      <c r="D330" s="9"/>
      <c r="E330" s="9"/>
      <c r="F330" s="11"/>
      <c r="L330" s="15"/>
      <c r="N330" s="20"/>
      <c r="O330" s="19"/>
      <c r="P330" s="16"/>
      <c r="Q330" s="9"/>
      <c r="R330" s="9"/>
    </row>
    <row r="331" spans="2:31" s="13" customFormat="1" x14ac:dyDescent="0.2">
      <c r="B331" s="8"/>
      <c r="C331" s="23"/>
      <c r="E331" s="9"/>
      <c r="G331" s="11"/>
      <c r="J331" s="9"/>
      <c r="Z331" s="9"/>
      <c r="AA331" s="9"/>
      <c r="AC331" s="25"/>
      <c r="AD331" s="25"/>
      <c r="AE331" s="25"/>
    </row>
    <row r="332" spans="2:31" s="13" customFormat="1" x14ac:dyDescent="0.2">
      <c r="B332" s="8"/>
    </row>
    <row r="333" spans="2:31" s="13" customFormat="1" x14ac:dyDescent="0.2">
      <c r="B333" s="8"/>
    </row>
    <row r="334" spans="2:31" s="13" customFormat="1" x14ac:dyDescent="0.2">
      <c r="B334" s="8"/>
      <c r="C334" s="23"/>
      <c r="D334" s="23"/>
    </row>
    <row r="335" spans="2:31" s="13" customFormat="1" x14ac:dyDescent="0.2">
      <c r="B335" s="8"/>
    </row>
    <row r="336" spans="2:31" s="13" customFormat="1" x14ac:dyDescent="0.2">
      <c r="B336" s="8"/>
    </row>
    <row r="337" spans="1:31" s="13" customFormat="1" x14ac:dyDescent="0.2">
      <c r="B337" s="8"/>
    </row>
    <row r="338" spans="1:31" s="13" customFormat="1" x14ac:dyDescent="0.2">
      <c r="B338" s="8"/>
    </row>
    <row r="339" spans="1:31" s="13" customFormat="1" x14ac:dyDescent="0.2">
      <c r="B339" s="8"/>
    </row>
    <row r="340" spans="1:31" s="13" customFormat="1" x14ac:dyDescent="0.2">
      <c r="B340" s="8"/>
    </row>
    <row r="341" spans="1:31" s="13" customFormat="1" x14ac:dyDescent="0.2">
      <c r="B341" s="8"/>
    </row>
    <row r="342" spans="1:31" s="13" customFormat="1" x14ac:dyDescent="0.2">
      <c r="B342" s="8"/>
    </row>
    <row r="343" spans="1:31" s="13" customFormat="1" x14ac:dyDescent="0.2">
      <c r="B343" s="8"/>
    </row>
    <row r="344" spans="1:31" s="13" customFormat="1" x14ac:dyDescent="0.2">
      <c r="B344" s="8"/>
    </row>
    <row r="345" spans="1:31" x14ac:dyDescent="0.2">
      <c r="A345" s="13"/>
      <c r="B345" s="8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</row>
    <row r="346" spans="1:31" x14ac:dyDescent="0.2">
      <c r="A346" s="13"/>
      <c r="B346" s="8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</row>
    <row r="347" spans="1:31" x14ac:dyDescent="0.2">
      <c r="A347" s="13"/>
      <c r="B347" s="8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</row>
    <row r="348" spans="1:31" x14ac:dyDescent="0.2">
      <c r="A348" s="13"/>
      <c r="B348" s="8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</row>
    <row r="349" spans="1:31" x14ac:dyDescent="0.2">
      <c r="A349" s="13"/>
      <c r="B349" s="8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</row>
    <row r="350" spans="1:31" x14ac:dyDescent="0.2">
      <c r="A350" s="13"/>
      <c r="B350" s="8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</row>
    <row r="351" spans="1:31" x14ac:dyDescent="0.2">
      <c r="A351" s="13"/>
      <c r="B351" s="8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</row>
    <row r="352" spans="1:31" x14ac:dyDescent="0.2">
      <c r="A352" s="13"/>
      <c r="B352" s="8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</row>
    <row r="353" spans="1:31" x14ac:dyDescent="0.2">
      <c r="A353" s="13"/>
      <c r="B353" s="8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</row>
    <row r="354" spans="1:31" x14ac:dyDescent="0.2">
      <c r="A354" s="13"/>
      <c r="B354" s="8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</row>
    <row r="355" spans="1:31" x14ac:dyDescent="0.2">
      <c r="A355" s="13"/>
      <c r="B355" s="8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</row>
    <row r="356" spans="1:31" x14ac:dyDescent="0.2">
      <c r="A356" s="13"/>
      <c r="B356" s="8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</row>
    <row r="357" spans="1:31" x14ac:dyDescent="0.2">
      <c r="A357" s="13"/>
      <c r="B357" s="8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</row>
    <row r="358" spans="1:31" x14ac:dyDescent="0.2">
      <c r="A358" s="13"/>
      <c r="B358" s="8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</row>
    <row r="359" spans="1:31" x14ac:dyDescent="0.2">
      <c r="A359" s="13"/>
      <c r="B359" s="8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</row>
    <row r="360" spans="1:31" x14ac:dyDescent="0.2">
      <c r="A360" s="13"/>
      <c r="B360" s="8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</row>
    <row r="361" spans="1:31" x14ac:dyDescent="0.2">
      <c r="A361" s="13"/>
      <c r="B361" s="8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</row>
    <row r="362" spans="1:31" x14ac:dyDescent="0.2">
      <c r="A362" s="13"/>
      <c r="B362" s="8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</row>
    <row r="363" spans="1:31" x14ac:dyDescent="0.2">
      <c r="A363" s="13"/>
      <c r="B363" s="8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</row>
    <row r="364" spans="1:31" x14ac:dyDescent="0.2">
      <c r="A364" s="13"/>
      <c r="B364" s="8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</row>
    <row r="365" spans="1:31" x14ac:dyDescent="0.2">
      <c r="A365" s="13"/>
      <c r="B365" s="8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</row>
    <row r="366" spans="1:31" x14ac:dyDescent="0.2">
      <c r="A366" s="13"/>
    </row>
  </sheetData>
  <mergeCells count="1">
    <mergeCell ref="R101:S101"/>
  </mergeCells>
  <conditionalFormatting sqref="AE108">
    <cfRule type="expression" dxfId="40" priority="60">
      <formula>AE108&lt;4</formula>
    </cfRule>
  </conditionalFormatting>
  <conditionalFormatting sqref="AE115">
    <cfRule type="expression" dxfId="39" priority="53">
      <formula>AE115&lt;4</formula>
    </cfRule>
  </conditionalFormatting>
  <conditionalFormatting sqref="AE120">
    <cfRule type="expression" dxfId="38" priority="45" stopIfTrue="1">
      <formula>AE120&lt;3.5</formula>
    </cfRule>
  </conditionalFormatting>
  <conditionalFormatting sqref="AE122">
    <cfRule type="expression" dxfId="37" priority="46" stopIfTrue="1">
      <formula>AE122&lt;3.5</formula>
    </cfRule>
  </conditionalFormatting>
  <conditionalFormatting sqref="AE125">
    <cfRule type="expression" dxfId="36" priority="49" stopIfTrue="1">
      <formula>AE125&lt;3.5</formula>
    </cfRule>
  </conditionalFormatting>
  <conditionalFormatting sqref="AE127">
    <cfRule type="expression" dxfId="35" priority="50" stopIfTrue="1">
      <formula>AE127&lt;3.5</formula>
    </cfRule>
  </conditionalFormatting>
  <conditionalFormatting sqref="AE129">
    <cfRule type="expression" dxfId="34" priority="51" stopIfTrue="1">
      <formula>AE129&lt;3.5</formula>
    </cfRule>
  </conditionalFormatting>
  <conditionalFormatting sqref="AE131">
    <cfRule type="expression" dxfId="33" priority="52" stopIfTrue="1">
      <formula>AE131&lt;3.5</formula>
    </cfRule>
  </conditionalFormatting>
  <conditionalFormatting sqref="AE135:AE137">
    <cfRule type="expression" dxfId="32" priority="5" stopIfTrue="1">
      <formula>AE135&lt;3.5</formula>
    </cfRule>
  </conditionalFormatting>
  <conditionalFormatting sqref="AE141:AE143">
    <cfRule type="expression" dxfId="31" priority="4" stopIfTrue="1">
      <formula>AE141&lt;3.5</formula>
    </cfRule>
  </conditionalFormatting>
  <conditionalFormatting sqref="AE145:AE147">
    <cfRule type="expression" dxfId="30" priority="2" stopIfTrue="1">
      <formula>AE145&lt;3.5</formula>
    </cfRule>
  </conditionalFormatting>
  <conditionalFormatting sqref="AE149:AE151">
    <cfRule type="expression" dxfId="29" priority="1" stopIfTrue="1">
      <formula>AE149&lt;3.5</formula>
    </cfRule>
  </conditionalFormatting>
  <conditionalFormatting sqref="AE155">
    <cfRule type="expression" dxfId="28" priority="13" stopIfTrue="1">
      <formula>AE155&lt;3.5</formula>
    </cfRule>
  </conditionalFormatting>
  <conditionalFormatting sqref="AE157">
    <cfRule type="expression" dxfId="27" priority="14" stopIfTrue="1">
      <formula>AE157&lt;3.5</formula>
    </cfRule>
  </conditionalFormatting>
  <conditionalFormatting sqref="AE159">
    <cfRule type="expression" dxfId="26" priority="41" stopIfTrue="1">
      <formula>AE159&lt;3.5</formula>
    </cfRule>
  </conditionalFormatting>
  <conditionalFormatting sqref="AE161">
    <cfRule type="expression" dxfId="25" priority="18" stopIfTrue="1">
      <formula>AE161&lt;3.5</formula>
    </cfRule>
  </conditionalFormatting>
  <conditionalFormatting sqref="AE163">
    <cfRule type="expression" dxfId="24" priority="42" stopIfTrue="1">
      <formula>AE163&lt;3.5</formula>
    </cfRule>
  </conditionalFormatting>
  <conditionalFormatting sqref="AE165">
    <cfRule type="expression" dxfId="23" priority="11" stopIfTrue="1">
      <formula>AE165&lt;3.5</formula>
    </cfRule>
  </conditionalFormatting>
  <conditionalFormatting sqref="AE167">
    <cfRule type="expression" dxfId="22" priority="12" stopIfTrue="1">
      <formula>AE167&lt;3.5</formula>
    </cfRule>
  </conditionalFormatting>
  <conditionalFormatting sqref="AE169">
    <cfRule type="expression" dxfId="21" priority="10" stopIfTrue="1">
      <formula>AE169&lt;3.5</formula>
    </cfRule>
  </conditionalFormatting>
  <conditionalFormatting sqref="AE171">
    <cfRule type="expression" dxfId="20" priority="9" stopIfTrue="1">
      <formula>AE171&lt;3.5</formula>
    </cfRule>
  </conditionalFormatting>
  <conditionalFormatting sqref="AE173">
    <cfRule type="expression" dxfId="19" priority="8" stopIfTrue="1">
      <formula>AE173&lt;3.5</formula>
    </cfRule>
  </conditionalFormatting>
  <conditionalFormatting sqref="AE175">
    <cfRule type="expression" dxfId="18" priority="7" stopIfTrue="1">
      <formula>AE175&lt;3.5</formula>
    </cfRule>
  </conditionalFormatting>
  <conditionalFormatting sqref="AE177">
    <cfRule type="expression" dxfId="17" priority="6" stopIfTrue="1">
      <formula>AE177&lt;3.5</formula>
    </cfRule>
  </conditionalFormatting>
  <conditionalFormatting sqref="AE179">
    <cfRule type="expression" dxfId="16" priority="43" stopIfTrue="1">
      <formula>AE179&lt;3.5</formula>
    </cfRule>
  </conditionalFormatting>
  <conditionalFormatting sqref="AE184:AE188">
    <cfRule type="expression" dxfId="15" priority="37">
      <formula>AE184&lt;4</formula>
    </cfRule>
  </conditionalFormatting>
  <conditionalFormatting sqref="AE194">
    <cfRule type="expression" dxfId="14" priority="32" stopIfTrue="1">
      <formula>AE194&lt;3.5</formula>
    </cfRule>
  </conditionalFormatting>
  <conditionalFormatting sqref="AE196">
    <cfRule type="expression" dxfId="13" priority="33" stopIfTrue="1">
      <formula>AE196&lt;3.5</formula>
    </cfRule>
  </conditionalFormatting>
  <conditionalFormatting sqref="AE200">
    <cfRule type="expression" dxfId="12" priority="15" stopIfTrue="1">
      <formula>AE200&lt;3.5</formula>
    </cfRule>
  </conditionalFormatting>
  <conditionalFormatting sqref="AE202">
    <cfRule type="expression" dxfId="11" priority="16" stopIfTrue="1">
      <formula>AE202&lt;3.5</formula>
    </cfRule>
  </conditionalFormatting>
  <conditionalFormatting sqref="AE204:AE205">
    <cfRule type="expression" dxfId="10" priority="17" stopIfTrue="1">
      <formula>AE204&lt;3.5</formula>
    </cfRule>
  </conditionalFormatting>
  <conditionalFormatting sqref="AE207">
    <cfRule type="expression" dxfId="9" priority="22" stopIfTrue="1">
      <formula>AE207&lt;3.5</formula>
    </cfRule>
  </conditionalFormatting>
  <conditionalFormatting sqref="AE209">
    <cfRule type="expression" dxfId="8" priority="23" stopIfTrue="1">
      <formula>AE209&lt;3.5</formula>
    </cfRule>
  </conditionalFormatting>
  <conditionalFormatting sqref="AE211:AE212">
    <cfRule type="expression" dxfId="7" priority="24" stopIfTrue="1">
      <formula>AE211&lt;3.5</formula>
    </cfRule>
  </conditionalFormatting>
  <conditionalFormatting sqref="AE214">
    <cfRule type="expression" dxfId="6" priority="25" stopIfTrue="1">
      <formula>AE214&lt;3.5</formula>
    </cfRule>
  </conditionalFormatting>
  <conditionalFormatting sqref="AE216">
    <cfRule type="expression" dxfId="5" priority="21" stopIfTrue="1">
      <formula>AE216&lt;3.5</formula>
    </cfRule>
  </conditionalFormatting>
  <conditionalFormatting sqref="AE218">
    <cfRule type="expression" dxfId="4" priority="26" stopIfTrue="1">
      <formula>AE218&lt;3.5</formula>
    </cfRule>
  </conditionalFormatting>
  <conditionalFormatting sqref="AE220">
    <cfRule type="expression" dxfId="3" priority="27" stopIfTrue="1">
      <formula>AE220&lt;3.5</formula>
    </cfRule>
  </conditionalFormatting>
  <conditionalFormatting sqref="AE222">
    <cfRule type="expression" dxfId="2" priority="28" stopIfTrue="1">
      <formula>AE222&lt;3.5</formula>
    </cfRule>
  </conditionalFormatting>
  <conditionalFormatting sqref="AE226">
    <cfRule type="expression" dxfId="1" priority="19" stopIfTrue="1">
      <formula>AE226&lt;3.5</formula>
    </cfRule>
  </conditionalFormatting>
  <conditionalFormatting sqref="AE228">
    <cfRule type="expression" dxfId="0" priority="20" stopIfTrue="1">
      <formula>AE228&lt;3.5</formula>
    </cfRule>
  </conditionalFormatting>
  <pageMargins left="0.5" right="0.5" top="0.75" bottom="0.5" header="0.5" footer="0.5"/>
  <pageSetup scale="55" orientation="landscape" r:id="rId1"/>
  <headerFooter alignWithMargins="0">
    <oddHeader xml:space="preserve">&amp;L&amp;"Arial"&amp;10STORM SEWER CALCULATIONS &amp;R&amp;"Arial"&amp;10 PAGE: &amp;P of &amp;N </oddHeader>
  </headerFooter>
  <rowBreaks count="5" manualBreakCount="5">
    <brk id="74" max="27" man="1"/>
    <brk id="112" min="1" max="27" man="1"/>
    <brk id="300" min="1" max="27" man="1"/>
    <brk id="313" min="1" max="27" man="1"/>
    <brk id="324" min="1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114496</vt:lpstr>
      <vt:lpstr>'114496'!Print_Area</vt:lpstr>
      <vt:lpstr>'114496'!Print_Titles</vt:lpstr>
    </vt:vector>
  </TitlesOfParts>
  <Company>Stantec Consulting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Durham, Paul</dc:creator>
  <cp:lastModifiedBy>Gaerke, Collin</cp:lastModifiedBy>
  <cp:lastPrinted>2025-02-19T15:55:19Z</cp:lastPrinted>
  <dcterms:created xsi:type="dcterms:W3CDTF">2015-01-26T18:36:59Z</dcterms:created>
  <dcterms:modified xsi:type="dcterms:W3CDTF">2025-02-19T15:55:56Z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