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736\active\173620147\engineering\114496\400-Engineering\Roadway\EngData\Eng Estimates\"/>
    </mc:Choice>
  </mc:AlternateContent>
  <xr:revisionPtr revIDLastSave="0" documentId="13_ncr:1_{95046AE8-2FA0-44F4-8DD6-38DD2E8C1C1C}" xr6:coauthVersionLast="47" xr6:coauthVersionMax="47" xr10:uidLastSave="{00000000-0000-0000-0000-000000000000}"/>
  <bookViews>
    <workbookView xWindow="-120" yWindow="-120" windowWidth="29040" windowHeight="17640" activeTab="1" xr2:uid="{248664F3-16CE-4A22-9B9E-5460AF8D97FA}"/>
  </bookViews>
  <sheets>
    <sheet name="Clean" sheetId="5" r:id="rId1"/>
    <sheet name="Sheet1" sheetId="1" r:id="rId2"/>
    <sheet name="Calcs.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5" l="1"/>
  <c r="F54" i="5"/>
  <c r="H51" i="5"/>
  <c r="J51" i="5"/>
  <c r="F51" i="5"/>
  <c r="H44" i="5"/>
  <c r="F44" i="5"/>
  <c r="J43" i="5"/>
  <c r="F43" i="5"/>
  <c r="H43" i="5"/>
  <c r="J41" i="5"/>
  <c r="J42" i="5"/>
  <c r="H41" i="5"/>
  <c r="H42" i="5"/>
  <c r="F41" i="5"/>
  <c r="F42" i="5"/>
  <c r="J40" i="5"/>
  <c r="H40" i="5"/>
  <c r="F40" i="5"/>
  <c r="J39" i="5"/>
  <c r="H39" i="5"/>
  <c r="F39" i="5"/>
  <c r="H38" i="5"/>
  <c r="J38" i="5"/>
  <c r="F38" i="5"/>
  <c r="J31" i="5"/>
  <c r="H30" i="5"/>
  <c r="F30" i="5"/>
  <c r="J26" i="5"/>
  <c r="H26" i="5"/>
  <c r="J20" i="5"/>
  <c r="H20" i="5"/>
  <c r="F20" i="5"/>
  <c r="F26" i="5"/>
  <c r="N56" i="5"/>
  <c r="F19" i="5"/>
  <c r="J19" i="5"/>
  <c r="H19" i="5"/>
  <c r="V6" i="5"/>
  <c r="V7" i="5"/>
  <c r="J22" i="5"/>
  <c r="J23" i="5"/>
  <c r="J24" i="5"/>
  <c r="J25" i="5"/>
  <c r="H22" i="5"/>
  <c r="H23" i="5"/>
  <c r="H24" i="5"/>
  <c r="H25" i="5"/>
  <c r="F22" i="5"/>
  <c r="F23" i="5"/>
  <c r="F24" i="5"/>
  <c r="F25" i="5"/>
  <c r="F21" i="5"/>
  <c r="H21" i="5"/>
  <c r="J21" i="5"/>
  <c r="N6" i="5"/>
  <c r="S6" i="5" s="1"/>
  <c r="N7" i="5"/>
  <c r="F7" i="5" s="1"/>
  <c r="N8" i="5"/>
  <c r="H8" i="5" s="1"/>
  <c r="G8" i="5" s="1"/>
  <c r="N9" i="5"/>
  <c r="N10" i="5"/>
  <c r="J10" i="5" s="1"/>
  <c r="N11" i="5"/>
  <c r="N12" i="5"/>
  <c r="N13" i="5"/>
  <c r="N14" i="5"/>
  <c r="N15" i="5"/>
  <c r="N16" i="5"/>
  <c r="J16" i="5" s="1"/>
  <c r="N17" i="5"/>
  <c r="N18" i="5"/>
  <c r="J18" i="5" s="1"/>
  <c r="P18" i="5" s="1"/>
  <c r="T18" i="5" s="1"/>
  <c r="N19" i="5"/>
  <c r="T19" i="5" s="1"/>
  <c r="N20" i="5"/>
  <c r="N21" i="5"/>
  <c r="N34" i="5"/>
  <c r="N35" i="5"/>
  <c r="T35" i="5" s="1"/>
  <c r="N36" i="5"/>
  <c r="J36" i="5" s="1"/>
  <c r="T6" i="5"/>
  <c r="T11" i="5"/>
  <c r="T32" i="5"/>
  <c r="T33" i="5"/>
  <c r="T37" i="5"/>
  <c r="T45" i="5"/>
  <c r="T46" i="5"/>
  <c r="T47" i="5"/>
  <c r="T48" i="5"/>
  <c r="T49" i="5"/>
  <c r="T50" i="5"/>
  <c r="V57" i="5"/>
  <c r="J35" i="5"/>
  <c r="P35" i="5" s="1"/>
  <c r="F34" i="5"/>
  <c r="J34" i="5"/>
  <c r="V32" i="5"/>
  <c r="V33" i="5"/>
  <c r="V36" i="5"/>
  <c r="V37" i="5"/>
  <c r="V41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P32" i="5"/>
  <c r="P48" i="5"/>
  <c r="V16" i="5"/>
  <c r="V19" i="5"/>
  <c r="V27" i="5"/>
  <c r="V28" i="5"/>
  <c r="V29" i="5"/>
  <c r="I13" i="5"/>
  <c r="I14" i="5"/>
  <c r="G18" i="5"/>
  <c r="G31" i="5"/>
  <c r="E11" i="5"/>
  <c r="E12" i="5"/>
  <c r="E13" i="5"/>
  <c r="E14" i="5"/>
  <c r="E18" i="5"/>
  <c r="I7" i="5"/>
  <c r="P6" i="5"/>
  <c r="N55" i="5"/>
  <c r="N54" i="5"/>
  <c r="N53" i="5"/>
  <c r="N52" i="5"/>
  <c r="N51" i="5"/>
  <c r="N50" i="5"/>
  <c r="F50" i="5" s="1"/>
  <c r="P50" i="5" s="1"/>
  <c r="N49" i="5"/>
  <c r="J49" i="5" s="1"/>
  <c r="P49" i="5" s="1"/>
  <c r="N48" i="5"/>
  <c r="N47" i="5"/>
  <c r="J47" i="5" s="1"/>
  <c r="P47" i="5" s="1"/>
  <c r="N46" i="5"/>
  <c r="H46" i="5" s="1"/>
  <c r="P46" i="5" s="1"/>
  <c r="N45" i="5"/>
  <c r="F45" i="5" s="1"/>
  <c r="P45" i="5" s="1"/>
  <c r="N44" i="5"/>
  <c r="N43" i="5"/>
  <c r="N42" i="5"/>
  <c r="N41" i="5"/>
  <c r="N40" i="5"/>
  <c r="N39" i="5"/>
  <c r="N38" i="5"/>
  <c r="N37" i="5"/>
  <c r="J37" i="5" s="1"/>
  <c r="P37" i="5" s="1"/>
  <c r="V35" i="5"/>
  <c r="V34" i="5"/>
  <c r="N33" i="5"/>
  <c r="J33" i="5" s="1"/>
  <c r="P33" i="5" s="1"/>
  <c r="N31" i="5"/>
  <c r="N30" i="5"/>
  <c r="N29" i="5"/>
  <c r="N28" i="5"/>
  <c r="N27" i="5"/>
  <c r="N26" i="5"/>
  <c r="N25" i="5"/>
  <c r="N24" i="5"/>
  <c r="N23" i="5"/>
  <c r="N22" i="5"/>
  <c r="J17" i="5"/>
  <c r="I17" i="5" s="1"/>
  <c r="H17" i="5"/>
  <c r="G17" i="5" s="1"/>
  <c r="F17" i="5"/>
  <c r="H14" i="5"/>
  <c r="G14" i="5" s="1"/>
  <c r="H13" i="5"/>
  <c r="G13" i="5" s="1"/>
  <c r="J12" i="5"/>
  <c r="I12" i="5" s="1"/>
  <c r="H12" i="5"/>
  <c r="G12" i="5" s="1"/>
  <c r="J11" i="5"/>
  <c r="I11" i="5" s="1"/>
  <c r="H11" i="5"/>
  <c r="G11" i="5" s="1"/>
  <c r="H10" i="5"/>
  <c r="G10" i="5" s="1"/>
  <c r="J9" i="5"/>
  <c r="I9" i="5" s="1"/>
  <c r="H9" i="5"/>
  <c r="G9" i="5" s="1"/>
  <c r="F9" i="5"/>
  <c r="E9" i="5" s="1"/>
  <c r="I31" i="1"/>
  <c r="I32" i="1"/>
  <c r="G30" i="1"/>
  <c r="L32" i="4"/>
  <c r="N31" i="4"/>
  <c r="O31" i="4"/>
  <c r="M31" i="4"/>
  <c r="L31" i="4"/>
  <c r="G33" i="1"/>
  <c r="G16" i="1"/>
  <c r="F16" i="1"/>
  <c r="E16" i="1"/>
  <c r="L16" i="4"/>
  <c r="N16" i="4" s="1"/>
  <c r="G35" i="1"/>
  <c r="F35" i="1"/>
  <c r="E35" i="1"/>
  <c r="E42" i="1"/>
  <c r="G19" i="1"/>
  <c r="G6" i="4"/>
  <c r="G5" i="4"/>
  <c r="F6" i="4"/>
  <c r="F5" i="4"/>
  <c r="E6" i="4"/>
  <c r="E5" i="4"/>
  <c r="F52" i="1"/>
  <c r="G48" i="1"/>
  <c r="K52" i="1"/>
  <c r="K51" i="1"/>
  <c r="K50" i="1"/>
  <c r="K49" i="1"/>
  <c r="K48" i="1"/>
  <c r="K47" i="1"/>
  <c r="E47" i="1" s="1"/>
  <c r="K46" i="1"/>
  <c r="G46" i="1" s="1"/>
  <c r="K45" i="1"/>
  <c r="K44" i="1"/>
  <c r="G44" i="1" s="1"/>
  <c r="K43" i="1"/>
  <c r="F43" i="1" s="1"/>
  <c r="K38" i="1"/>
  <c r="K39" i="1"/>
  <c r="K40" i="1"/>
  <c r="E40" i="1" s="1"/>
  <c r="K41" i="1"/>
  <c r="E41" i="1" s="1"/>
  <c r="K42" i="1"/>
  <c r="K20" i="1"/>
  <c r="E20" i="1" s="1"/>
  <c r="K21" i="1"/>
  <c r="G21" i="1" s="1"/>
  <c r="K22" i="1"/>
  <c r="E22" i="1" s="1"/>
  <c r="K23" i="1"/>
  <c r="G23" i="1" s="1"/>
  <c r="K24" i="1"/>
  <c r="K25" i="1"/>
  <c r="G25" i="1" s="1"/>
  <c r="K26" i="1"/>
  <c r="G26" i="1" s="1"/>
  <c r="K27" i="1"/>
  <c r="G27" i="1" s="1"/>
  <c r="K28" i="1"/>
  <c r="G28" i="1" s="1"/>
  <c r="K29" i="1"/>
  <c r="K30" i="1"/>
  <c r="K33" i="1"/>
  <c r="K34" i="1"/>
  <c r="G34" i="1" s="1"/>
  <c r="K35" i="1"/>
  <c r="K36" i="1"/>
  <c r="G36" i="1" s="1"/>
  <c r="K37" i="1"/>
  <c r="F37" i="1" s="1"/>
  <c r="K19" i="1"/>
  <c r="F19" i="1" s="1"/>
  <c r="O3" i="1"/>
  <c r="P3" i="1"/>
  <c r="N3" i="1"/>
  <c r="G8" i="1"/>
  <c r="F8" i="1"/>
  <c r="G15" i="1"/>
  <c r="G14" i="4"/>
  <c r="O14" i="4" s="1"/>
  <c r="G14" i="1" s="1"/>
  <c r="F14" i="4"/>
  <c r="N14" i="4" s="1"/>
  <c r="F14" i="1" s="1"/>
  <c r="E14" i="4"/>
  <c r="M14" i="4" s="1"/>
  <c r="E14" i="1" s="1"/>
  <c r="L14" i="4"/>
  <c r="L15" i="4"/>
  <c r="L19" i="4"/>
  <c r="L20" i="4"/>
  <c r="L21" i="4"/>
  <c r="L22" i="4"/>
  <c r="L23" i="4"/>
  <c r="L24" i="4"/>
  <c r="L25" i="4"/>
  <c r="L26" i="4"/>
  <c r="L27" i="4"/>
  <c r="L28" i="4"/>
  <c r="L29" i="4"/>
  <c r="L30" i="4"/>
  <c r="L33" i="4"/>
  <c r="L34" i="4"/>
  <c r="L36" i="4"/>
  <c r="L37" i="4"/>
  <c r="G13" i="4"/>
  <c r="F13" i="4"/>
  <c r="E13" i="4"/>
  <c r="L13" i="4" s="1"/>
  <c r="N13" i="4" s="1"/>
  <c r="F13" i="1" s="1"/>
  <c r="G12" i="4"/>
  <c r="F12" i="4"/>
  <c r="E12" i="4"/>
  <c r="L12" i="4" s="1"/>
  <c r="M12" i="4" s="1"/>
  <c r="E12" i="1" s="1"/>
  <c r="F11" i="1"/>
  <c r="G38" i="4"/>
  <c r="G18" i="4" s="1"/>
  <c r="E38" i="4"/>
  <c r="E7" i="4" s="1"/>
  <c r="F38" i="4"/>
  <c r="F18" i="4" s="1"/>
  <c r="L4" i="4"/>
  <c r="N4" i="4" s="1"/>
  <c r="F4" i="1" s="1"/>
  <c r="F10" i="1"/>
  <c r="O9" i="4"/>
  <c r="G9" i="1" s="1"/>
  <c r="N9" i="4"/>
  <c r="F9" i="1" s="1"/>
  <c r="T9" i="1"/>
  <c r="T7" i="1"/>
  <c r="T5" i="1"/>
  <c r="F56" i="5" l="1"/>
  <c r="H56" i="5"/>
  <c r="G59" i="5" s="1"/>
  <c r="P7" i="5"/>
  <c r="T7" i="5" s="1"/>
  <c r="T13" i="5"/>
  <c r="H7" i="5"/>
  <c r="F8" i="5"/>
  <c r="E8" i="5" s="1"/>
  <c r="J8" i="5"/>
  <c r="I8" i="5" s="1"/>
  <c r="J15" i="5"/>
  <c r="I15" i="5" s="1"/>
  <c r="F15" i="5"/>
  <c r="E15" i="5" s="1"/>
  <c r="V15" i="5" s="1"/>
  <c r="H15" i="5"/>
  <c r="G15" i="5" s="1"/>
  <c r="F10" i="5"/>
  <c r="E10" i="5" s="1"/>
  <c r="V10" i="5" s="1"/>
  <c r="F16" i="5"/>
  <c r="P16" i="5" s="1"/>
  <c r="T16" i="5" s="1"/>
  <c r="H16" i="5"/>
  <c r="I18" i="5"/>
  <c r="N57" i="5"/>
  <c r="P36" i="5"/>
  <c r="T36" i="5" s="1"/>
  <c r="T34" i="5"/>
  <c r="V11" i="5"/>
  <c r="P17" i="5"/>
  <c r="T17" i="5" s="1"/>
  <c r="P21" i="5"/>
  <c r="T21" i="5" s="1"/>
  <c r="V18" i="5"/>
  <c r="V13" i="5"/>
  <c r="P14" i="5"/>
  <c r="T14" i="5" s="1"/>
  <c r="P9" i="5"/>
  <c r="T9" i="5" s="1"/>
  <c r="V14" i="5"/>
  <c r="V9" i="5"/>
  <c r="V12" i="5"/>
  <c r="V8" i="5"/>
  <c r="E17" i="5"/>
  <c r="V17" i="5" s="1"/>
  <c r="P13" i="5"/>
  <c r="P12" i="5"/>
  <c r="T12" i="5" s="1"/>
  <c r="P11" i="5"/>
  <c r="V21" i="5"/>
  <c r="P34" i="5"/>
  <c r="E31" i="5"/>
  <c r="V31" i="5" s="1"/>
  <c r="V40" i="5"/>
  <c r="V39" i="5"/>
  <c r="V38" i="5"/>
  <c r="V24" i="5"/>
  <c r="V42" i="5"/>
  <c r="P31" i="5"/>
  <c r="T31" i="5" s="1"/>
  <c r="P24" i="5"/>
  <c r="T24" i="5" s="1"/>
  <c r="P40" i="5"/>
  <c r="T40" i="5" s="1"/>
  <c r="J29" i="5"/>
  <c r="H29" i="5"/>
  <c r="J44" i="5"/>
  <c r="J27" i="5"/>
  <c r="J52" i="5"/>
  <c r="J28" i="5"/>
  <c r="J53" i="5"/>
  <c r="F29" i="5"/>
  <c r="J54" i="5"/>
  <c r="L6" i="4"/>
  <c r="E18" i="4"/>
  <c r="M16" i="4"/>
  <c r="M6" i="4"/>
  <c r="E6" i="1" s="1"/>
  <c r="O6" i="4"/>
  <c r="G6" i="1" s="1"/>
  <c r="N6" i="4"/>
  <c r="F6" i="1" s="1"/>
  <c r="R16" i="4"/>
  <c r="Q16" i="4"/>
  <c r="R17" i="4"/>
  <c r="G17" i="4" s="1"/>
  <c r="Q17" i="4"/>
  <c r="F17" i="4" s="1"/>
  <c r="O16" i="4"/>
  <c r="F7" i="4"/>
  <c r="M38" i="4"/>
  <c r="E39" i="1" s="1"/>
  <c r="L5" i="4"/>
  <c r="N5" i="4" s="1"/>
  <c r="F5" i="1" s="1"/>
  <c r="M13" i="4"/>
  <c r="E13" i="1" s="1"/>
  <c r="G7" i="4"/>
  <c r="O13" i="4"/>
  <c r="G13" i="1" s="1"/>
  <c r="F21" i="1"/>
  <c r="E21" i="1"/>
  <c r="G20" i="1"/>
  <c r="F20" i="1"/>
  <c r="G50" i="1"/>
  <c r="G22" i="1"/>
  <c r="F24" i="1"/>
  <c r="E27" i="1"/>
  <c r="E49" i="1"/>
  <c r="G41" i="1"/>
  <c r="E23" i="1"/>
  <c r="F22" i="1"/>
  <c r="F41" i="1"/>
  <c r="F23" i="1"/>
  <c r="G24" i="1"/>
  <c r="E48" i="1"/>
  <c r="G52" i="1"/>
  <c r="E28" i="1"/>
  <c r="F48" i="1"/>
  <c r="E26" i="1"/>
  <c r="G51" i="1"/>
  <c r="E51" i="1"/>
  <c r="E50" i="1"/>
  <c r="E52" i="1"/>
  <c r="F50" i="1"/>
  <c r="E24" i="1"/>
  <c r="E25" i="1"/>
  <c r="F26" i="1"/>
  <c r="G37" i="1"/>
  <c r="G49" i="1"/>
  <c r="F25" i="1"/>
  <c r="E37" i="1"/>
  <c r="F40" i="1"/>
  <c r="E36" i="1"/>
  <c r="F51" i="1"/>
  <c r="F49" i="1"/>
  <c r="F27" i="1"/>
  <c r="G40" i="1"/>
  <c r="E19" i="1"/>
  <c r="F36" i="1"/>
  <c r="N12" i="4"/>
  <c r="F12" i="1" s="1"/>
  <c r="O12" i="4"/>
  <c r="G12" i="1" s="1"/>
  <c r="M4" i="4"/>
  <c r="E4" i="1" s="1"/>
  <c r="L38" i="4"/>
  <c r="N38" i="4" s="1"/>
  <c r="P10" i="5" l="1"/>
  <c r="T10" i="5" s="1"/>
  <c r="P15" i="5"/>
  <c r="T15" i="5" s="1"/>
  <c r="P8" i="5"/>
  <c r="T8" i="5" s="1"/>
  <c r="V20" i="5"/>
  <c r="P20" i="5"/>
  <c r="T20" i="5" s="1"/>
  <c r="P44" i="5"/>
  <c r="T44" i="5" s="1"/>
  <c r="P51" i="5"/>
  <c r="T51" i="5" s="1"/>
  <c r="P39" i="5"/>
  <c r="T39" i="5" s="1"/>
  <c r="P38" i="5"/>
  <c r="T38" i="5" s="1"/>
  <c r="P22" i="5"/>
  <c r="T22" i="5" s="1"/>
  <c r="V22" i="5"/>
  <c r="P42" i="5"/>
  <c r="T42" i="5" s="1"/>
  <c r="V26" i="5"/>
  <c r="P26" i="5"/>
  <c r="T26" i="5" s="1"/>
  <c r="P41" i="5"/>
  <c r="T41" i="5" s="1"/>
  <c r="P29" i="5"/>
  <c r="T29" i="5" s="1"/>
  <c r="P27" i="5"/>
  <c r="T27" i="5" s="1"/>
  <c r="P55" i="5"/>
  <c r="T55" i="5" s="1"/>
  <c r="P53" i="5"/>
  <c r="T53" i="5" s="1"/>
  <c r="P52" i="5"/>
  <c r="T52" i="5" s="1"/>
  <c r="P54" i="5"/>
  <c r="T54" i="5" s="1"/>
  <c r="P28" i="5"/>
  <c r="T28" i="5" s="1"/>
  <c r="P43" i="5"/>
  <c r="T43" i="5" s="1"/>
  <c r="L18" i="4"/>
  <c r="P16" i="4"/>
  <c r="P17" i="4"/>
  <c r="E17" i="4" s="1"/>
  <c r="L7" i="4"/>
  <c r="M7" i="4" s="1"/>
  <c r="E7" i="1" s="1"/>
  <c r="O38" i="4"/>
  <c r="L17" i="4"/>
  <c r="M17" i="4" s="1"/>
  <c r="E17" i="1" s="1"/>
  <c r="O5" i="4"/>
  <c r="G5" i="1" s="1"/>
  <c r="M5" i="4"/>
  <c r="E5" i="1" s="1"/>
  <c r="E38" i="1"/>
  <c r="O7" i="4"/>
  <c r="G7" i="1" s="1"/>
  <c r="E59" i="5" l="1"/>
  <c r="N18" i="4"/>
  <c r="F18" i="1" s="1"/>
  <c r="O18" i="4"/>
  <c r="G18" i="1" s="1"/>
  <c r="M18" i="4"/>
  <c r="E18" i="1" s="1"/>
  <c r="O17" i="4"/>
  <c r="G17" i="1" s="1"/>
  <c r="N17" i="4"/>
  <c r="F17" i="1" s="1"/>
  <c r="N7" i="4"/>
  <c r="F7" i="1" s="1"/>
  <c r="G39" i="1"/>
  <c r="G38" i="1"/>
  <c r="F39" i="1"/>
  <c r="F38" i="1"/>
  <c r="V23" i="5"/>
  <c r="P23" i="5"/>
  <c r="T23" i="5" s="1"/>
  <c r="V25" i="5"/>
  <c r="P25" i="5"/>
  <c r="T25" i="5" s="1"/>
  <c r="J56" i="5" l="1"/>
  <c r="V56" i="5" s="1"/>
  <c r="J30" i="5"/>
  <c r="P30" i="5" s="1"/>
  <c r="T30" i="5" s="1"/>
  <c r="V30" i="5"/>
  <c r="P56" i="5" l="1"/>
  <c r="T56" i="5" s="1"/>
  <c r="I59" i="5"/>
  <c r="V59" i="5" s="1"/>
</calcChain>
</file>

<file path=xl/sharedStrings.xml><?xml version="1.0" encoding="utf-8"?>
<sst xmlns="http://schemas.openxmlformats.org/spreadsheetml/2006/main" count="650" uniqueCount="184">
  <si>
    <t>Item</t>
  </si>
  <si>
    <t>Item #</t>
  </si>
  <si>
    <t>Village of Mariemont</t>
  </si>
  <si>
    <t>Columbia Township</t>
  </si>
  <si>
    <t>Great Parks</t>
  </si>
  <si>
    <t>Quantity</t>
  </si>
  <si>
    <t>Units</t>
  </si>
  <si>
    <t>Unit Price</t>
  </si>
  <si>
    <t>Extension</t>
  </si>
  <si>
    <t>CLEARING AND GRUBBING</t>
  </si>
  <si>
    <t>WALK REMOVED</t>
  </si>
  <si>
    <t>EXCAVATION</t>
  </si>
  <si>
    <t>EMBANKMENT, AS PER PLAN</t>
  </si>
  <si>
    <t>SUBGRADE COMPACTION</t>
  </si>
  <si>
    <t>PROOF ROLLING</t>
  </si>
  <si>
    <t>WOODEN BIKE RAILING</t>
  </si>
  <si>
    <t>4'' CONCRETE WALK</t>
  </si>
  <si>
    <t>CONCRETE STEPS, TYPE B</t>
  </si>
  <si>
    <t>CURB RAMP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</si>
  <si>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</si>
  <si>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</si>
  <si>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</si>
  <si>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</si>
  <si>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</si>
  <si>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</si>
  <si>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</si>
  <si>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</si>
  <si>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</si>
  <si>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</si>
  <si>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</si>
  <si>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</si>
  <si>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</si>
  <si>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CURB REMOVED</t>
  </si>
  <si>
    <t>Group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</si>
  <si>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</si>
  <si>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</si>
  <si>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</si>
  <si>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</si>
  <si>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</si>
  <si>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</si>
  <si>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</si>
  <si>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</si>
  <si>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</si>
  <si>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</si>
  <si>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</si>
  <si>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</si>
  <si>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</si>
  <si>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</si>
  <si>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</si>
  <si>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</si>
  <si>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</si>
  <si>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</si>
  <si>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</si>
  <si>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</si>
  <si>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</si>
  <si>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</si>
  <si>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</si>
  <si>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</si>
  <si>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</si>
  <si>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</si>
  <si>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</si>
  <si>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</si>
  <si>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</si>
  <si>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</si>
  <si>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</si>
  <si>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</si>
  <si>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</si>
  <si>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</si>
  <si>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</si>
  <si>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</si>
  <si>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ROCK CHANNEL PROTECTION, TYPE C WITH FILTER</t>
  </si>
  <si>
    <t>SOIL ANALYSIS TEST</t>
  </si>
  <si>
    <t>TOPSOIL</t>
  </si>
  <si>
    <t>SEEDING AND MULCHING, AS PER PLAN</t>
  </si>
  <si>
    <t>REPAIR SEEDING AND MULCHING, AS PER PLAN</t>
  </si>
  <si>
    <t>COMMERCIAL FERTILIZER</t>
  </si>
  <si>
    <t>LIME</t>
  </si>
  <si>
    <t>WATER</t>
  </si>
  <si>
    <t>SLOPE EROSION PROTECTION</t>
  </si>
  <si>
    <t>STORM WATER POLLUTION PREVENTION PLAN</t>
  </si>
  <si>
    <t>STORM WATER POLLUTION PREVENTION INSPECTIONS</t>
  </si>
  <si>
    <t>STORM WATER POLLUTION PREVENTION INSPECTION SOFTWARE</t>
  </si>
  <si>
    <t>EROSION CONTROL</t>
  </si>
  <si>
    <t>CONCRETE MASONRY</t>
  </si>
  <si>
    <t>12'' CONDUIT, TYPE D</t>
  </si>
  <si>
    <t>36'' CONDUIT, TYPE B</t>
  </si>
  <si>
    <t>CATCH BASIN, NO. 2-3</t>
  </si>
  <si>
    <t>MANHOLE, NO. 3</t>
  </si>
  <si>
    <t>Drainage</t>
  </si>
  <si>
    <t>ASPHALT CONCRETE BASE, PG64-22, (449)</t>
  </si>
  <si>
    <t>AGGREGATE BASE</t>
  </si>
  <si>
    <t>NON-TRACKING TACK COAT</t>
  </si>
  <si>
    <t>ASPHALT CONCRETE SURFACE COURSE, TYPE 1, (449)</t>
  </si>
  <si>
    <t>ASPHALT CONCRETE INTERMEDIATE COURSE, TYPE 1, (449)</t>
  </si>
  <si>
    <t>0050</t>
  </si>
  <si>
    <t>PAVEMNT MARKING</t>
  </si>
  <si>
    <t>SIGNING</t>
  </si>
  <si>
    <t>MODIFICATIONS TO MARIEMONT WAY/US 50 SIGNAL</t>
  </si>
  <si>
    <t>MODIFICATIONS TO MIAMI RUN/US 50 SIGNAL</t>
  </si>
  <si>
    <t>DECIDUOUS TREE, 1'' CALIPER</t>
  </si>
  <si>
    <t>MAJOR COST DRIVERS, RETAINING WALLS</t>
  </si>
  <si>
    <t xml:space="preserve">0010
</t>
  </si>
  <si>
    <t>Roadway</t>
  </si>
  <si>
    <t>Erosion 
Control</t>
  </si>
  <si>
    <t>Pavement</t>
  </si>
  <si>
    <t>Traffic
Control</t>
  </si>
  <si>
    <t>Traffic
Signal</t>
  </si>
  <si>
    <t>0085</t>
  </si>
  <si>
    <t>Landscaping</t>
  </si>
  <si>
    <t>0090</t>
  </si>
  <si>
    <t>0080</t>
  </si>
  <si>
    <t>0100</t>
  </si>
  <si>
    <t>Retaining Wall</t>
  </si>
  <si>
    <t>0110</t>
  </si>
  <si>
    <t>Structures Over 20 Ft Span</t>
  </si>
  <si>
    <t>WALTON CREEK BRIDGE</t>
  </si>
  <si>
    <t>0115</t>
  </si>
  <si>
    <t>Utility Relocation</t>
  </si>
  <si>
    <t>Misc. Utility Relocations.</t>
  </si>
  <si>
    <t>0300</t>
  </si>
  <si>
    <t>Incidentals</t>
  </si>
  <si>
    <t>FIELD OFFICE, TYPE A</t>
  </si>
  <si>
    <t>MAINTAINING TRAFFIC (Approx. 1.5% of total project cost)</t>
  </si>
  <si>
    <t>CONSTRUCTION LAYOUT STATEKS AND SURVEYING</t>
  </si>
  <si>
    <t>MOBILIZATION</t>
  </si>
  <si>
    <t>MAJOR COST DRIVERS, CONTINGENCY COSTS</t>
  </si>
  <si>
    <t>-</t>
  </si>
  <si>
    <t>10+40.13</t>
  </si>
  <si>
    <t>Start</t>
  </si>
  <si>
    <t>End</t>
  </si>
  <si>
    <t>19+39.45</t>
  </si>
  <si>
    <t>40+00.00</t>
  </si>
  <si>
    <t>49+87.83</t>
  </si>
  <si>
    <t>STATION</t>
  </si>
  <si>
    <t>70+42.91</t>
  </si>
  <si>
    <t>89+20.13</t>
  </si>
  <si>
    <t>LENGTH (FT)</t>
  </si>
  <si>
    <t>FT</t>
  </si>
  <si>
    <t>CURB, TYPE 7</t>
  </si>
  <si>
    <t>Sample plan</t>
  </si>
  <si>
    <t>LS</t>
  </si>
  <si>
    <t>SF</t>
  </si>
  <si>
    <t>Total</t>
  </si>
  <si>
    <t>CY</t>
  </si>
  <si>
    <t>SY</t>
  </si>
  <si>
    <t>HOUR</t>
  </si>
  <si>
    <t>EACH</t>
  </si>
  <si>
    <t>FILL</t>
  </si>
  <si>
    <t>CUT</t>
  </si>
  <si>
    <t>KM basemap. Corridor Info</t>
  </si>
  <si>
    <t>TON</t>
  </si>
  <si>
    <t>ACRE</t>
  </si>
  <si>
    <t>MGAL</t>
  </si>
  <si>
    <t>GAL</t>
  </si>
  <si>
    <t>MNTH</t>
  </si>
  <si>
    <t>cut</t>
  </si>
  <si>
    <t>fill</t>
  </si>
  <si>
    <t>Construction Limit Area - Paved Area</t>
  </si>
  <si>
    <t>subgrade compaction to CY</t>
  </si>
  <si>
    <t xml:space="preserve">driveway </t>
  </si>
  <si>
    <t xml:space="preserve">At storm sewer headwalls and bridge abutments, protect the soil erosion from concentrated outlet flow, depends on the water flow of the outlet to need it or not </t>
  </si>
  <si>
    <t>Concrete protection at all headwalls</t>
  </si>
  <si>
    <t>Structral SCDs - HW-1.1 TO HW-2.2 (Concrete amount needed for different types of pipes, pick the bigger value)</t>
  </si>
  <si>
    <t>HW-2.2.pdf (state.oh.us)</t>
  </si>
  <si>
    <t>saw cut</t>
  </si>
  <si>
    <t>Equations in L&amp;D</t>
  </si>
  <si>
    <t>Based on the new calcs the total has been increased.</t>
  </si>
  <si>
    <t>We don't have TYPE D anymore</t>
  </si>
  <si>
    <t>12'' CONDUIT, TYPE B</t>
  </si>
  <si>
    <t>18'' CONDUIT, TYPE C</t>
  </si>
  <si>
    <t>?</t>
  </si>
  <si>
    <t>need to come up with the unit price</t>
  </si>
  <si>
    <t>Cost</t>
  </si>
  <si>
    <t>HAM-COLUMBIA CONNECTOR (PID 114496)</t>
  </si>
  <si>
    <t>Stage 1 Construction Cost Estimate By Jurisdiction</t>
  </si>
  <si>
    <t>Totals</t>
  </si>
  <si>
    <t>INFLATION (21.28%)</t>
  </si>
  <si>
    <t>Grand Total</t>
  </si>
  <si>
    <t>Traffic Control</t>
  </si>
  <si>
    <t>Traffic Signal</t>
  </si>
  <si>
    <t>Erosion  Control</t>
  </si>
  <si>
    <t>CONSTRUCTION LAYOUT STAKES AND SURVEYING</t>
  </si>
  <si>
    <t>MAJOR COST DRIVERS, CONTINGENCY COSTS (30%)</t>
  </si>
  <si>
    <t>L&amp;D Vol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</si>
</sst>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&quot;$&quot;#,##0.00"/>
    <numFmt numFmtId="166" formatCode="&quot;$&quot;#,##0.000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2" xfId="0" applyBorder="1"/>
    <xf numFmtId="49" fontId="0" fillId="0" borderId="0" xfId="0" applyNumberFormat="1"/>
    <xf numFmtId="49" fontId="0" fillId="0" borderId="0" xfId="0" applyNumberFormat="1" applyAlignment="1">
      <alignment vertical="top"/>
    </xf>
    <xf numFmtId="0" fontId="0" fillId="0" borderId="3" xfId="0" applyBorder="1"/>
    <xf numFmtId="49" fontId="0" fillId="0" borderId="3" xfId="0" applyNumberFormat="1" applyBorder="1" applyAlignment="1">
      <alignment vertical="top"/>
    </xf>
    <xf numFmtId="49" fontId="0" fillId="0" borderId="3" xfId="0" applyNumberFormat="1" applyBorder="1" applyAlignment="1">
      <alignment horizontal="left" vertical="top"/>
    </xf>
    <xf numFmtId="0" fontId="0" fillId="0" borderId="4" xfId="0" applyBorder="1"/>
    <xf numFmtId="0" fontId="0" fillId="0" borderId="7" xfId="0" applyBorder="1"/>
    <xf numFmtId="164" fontId="0" fillId="0" borderId="0" xfId="0" applyNumberFormat="1"/>
    <xf numFmtId="165" fontId="0" fillId="0" borderId="7" xfId="0" applyNumberFormat="1" applyBorder="1"/>
    <xf numFmtId="10" fontId="0" fillId="0" borderId="0" xfId="0" applyNumberFormat="1"/>
    <xf numFmtId="165" fontId="0" fillId="0" borderId="0" xfId="0" applyNumberFormat="1"/>
    <xf numFmtId="165" fontId="0" fillId="0" borderId="2" xfId="0" applyNumberFormat="1" applyBorder="1"/>
    <xf numFmtId="165" fontId="0" fillId="0" borderId="4" xfId="0" applyNumberFormat="1" applyBorder="1"/>
    <xf numFmtId="165" fontId="0" fillId="0" borderId="3" xfId="0" applyNumberFormat="1" applyBorder="1"/>
    <xf numFmtId="0" fontId="1" fillId="0" borderId="0" xfId="0" applyFont="1"/>
    <xf numFmtId="166" fontId="0" fillId="0" borderId="7" xfId="0" applyNumberFormat="1" applyBorder="1"/>
    <xf numFmtId="0" fontId="0" fillId="4" borderId="3" xfId="0" applyFill="1" applyBorder="1"/>
    <xf numFmtId="0" fontId="0" fillId="5" borderId="3" xfId="0" applyFill="1" applyBorder="1"/>
    <xf numFmtId="0" fontId="3" fillId="0" borderId="0" xfId="0" applyFont="1"/>
    <xf numFmtId="164" fontId="0" fillId="6" borderId="7" xfId="0" applyNumberFormat="1" applyFill="1" applyBorder="1"/>
    <xf numFmtId="0" fontId="0" fillId="4" borderId="0" xfId="0" applyFill="1"/>
    <xf numFmtId="0" fontId="0" fillId="7" borderId="3" xfId="0" applyFill="1" applyBorder="1"/>
    <xf numFmtId="0" fontId="4" fillId="0" borderId="3" xfId="0" applyFont="1" applyBorder="1"/>
    <xf numFmtId="0" fontId="5" fillId="0" borderId="0" xfId="1"/>
    <xf numFmtId="164" fontId="3" fillId="0" borderId="0" xfId="0" applyNumberFormat="1" applyFont="1"/>
    <xf numFmtId="0" fontId="0" fillId="7" borderId="0" xfId="0" applyFill="1"/>
    <xf numFmtId="164" fontId="0" fillId="7" borderId="0" xfId="0" applyNumberFormat="1" applyFill="1"/>
    <xf numFmtId="165" fontId="1" fillId="0" borderId="7" xfId="0" applyNumberFormat="1" applyFont="1" applyBorder="1"/>
    <xf numFmtId="165" fontId="0" fillId="8" borderId="0" xfId="0" applyNumberFormat="1" applyFill="1"/>
    <xf numFmtId="0" fontId="0" fillId="8" borderId="3" xfId="0" applyFill="1" applyBorder="1"/>
    <xf numFmtId="164" fontId="0" fillId="8" borderId="0" xfId="0" applyNumberFormat="1" applyFill="1"/>
    <xf numFmtId="164" fontId="0" fillId="0" borderId="7" xfId="0" applyNumberFormat="1" applyBorder="1"/>
    <xf numFmtId="166" fontId="0" fillId="9" borderId="7" xfId="0" applyNumberFormat="1" applyFill="1" applyBorder="1" applyAlignment="1">
      <alignment horizontal="center" vertical="center"/>
    </xf>
    <xf numFmtId="0" fontId="0" fillId="10" borderId="3" xfId="0" applyFill="1" applyBorder="1"/>
    <xf numFmtId="164" fontId="0" fillId="2" borderId="7" xfId="0" applyNumberFormat="1" applyFill="1" applyBorder="1"/>
    <xf numFmtId="165" fontId="0" fillId="0" borderId="19" xfId="0" applyNumberFormat="1" applyBorder="1"/>
    <xf numFmtId="0" fontId="0" fillId="0" borderId="2" xfId="0" applyBorder="1" applyAlignment="1">
      <alignment horizontal="right"/>
    </xf>
    <xf numFmtId="165" fontId="0" fillId="0" borderId="21" xfId="0" applyNumberFormat="1" applyBorder="1"/>
    <xf numFmtId="0" fontId="0" fillId="0" borderId="13" xfId="0" applyBorder="1"/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36" xfId="0" applyBorder="1"/>
    <xf numFmtId="0" fontId="4" fillId="0" borderId="36" xfId="0" applyFont="1" applyBorder="1"/>
    <xf numFmtId="2" fontId="0" fillId="0" borderId="7" xfId="0" applyNumberFormat="1" applyBorder="1"/>
    <xf numFmtId="1" fontId="0" fillId="0" borderId="7" xfId="0" applyNumberFormat="1" applyBorder="1"/>
    <xf numFmtId="165" fontId="0" fillId="0" borderId="7" xfId="0" applyNumberFormat="1" applyBorder="1" applyAlignment="1">
      <alignment horizontal="right" vertical="center"/>
    </xf>
    <xf numFmtId="49" fontId="0" fillId="0" borderId="1" xfId="0" applyNumberFormat="1" applyBorder="1"/>
    <xf numFmtId="0" fontId="0" fillId="0" borderId="41" xfId="0" applyBorder="1"/>
    <xf numFmtId="0" fontId="0" fillId="0" borderId="6" xfId="0" applyBorder="1"/>
    <xf numFmtId="165" fontId="0" fillId="0" borderId="1" xfId="0" applyNumberFormat="1" applyBorder="1"/>
    <xf numFmtId="0" fontId="0" fillId="0" borderId="33" xfId="0" applyBorder="1"/>
    <xf numFmtId="165" fontId="0" fillId="0" borderId="6" xfId="0" applyNumberFormat="1" applyBorder="1"/>
    <xf numFmtId="1" fontId="0" fillId="0" borderId="33" xfId="0" applyNumberFormat="1" applyBorder="1"/>
    <xf numFmtId="165" fontId="0" fillId="0" borderId="33" xfId="0" applyNumberFormat="1" applyBorder="1"/>
    <xf numFmtId="165" fontId="0" fillId="0" borderId="34" xfId="0" applyNumberFormat="1" applyBorder="1"/>
    <xf numFmtId="49" fontId="0" fillId="0" borderId="42" xfId="0" applyNumberFormat="1" applyBorder="1"/>
    <xf numFmtId="0" fontId="0" fillId="0" borderId="43" xfId="0" applyBorder="1"/>
    <xf numFmtId="0" fontId="0" fillId="0" borderId="38" xfId="0" applyBorder="1"/>
    <xf numFmtId="165" fontId="0" fillId="0" borderId="42" xfId="0" applyNumberFormat="1" applyBorder="1"/>
    <xf numFmtId="0" fontId="0" fillId="0" borderId="44" xfId="0" applyBorder="1"/>
    <xf numFmtId="165" fontId="0" fillId="0" borderId="38" xfId="0" applyNumberFormat="1" applyBorder="1"/>
    <xf numFmtId="1" fontId="0" fillId="0" borderId="44" xfId="0" applyNumberFormat="1" applyBorder="1"/>
    <xf numFmtId="165" fontId="0" fillId="0" borderId="44" xfId="0" applyNumberFormat="1" applyBorder="1"/>
    <xf numFmtId="165" fontId="0" fillId="0" borderId="45" xfId="0" applyNumberFormat="1" applyBorder="1"/>
    <xf numFmtId="0" fontId="4" fillId="0" borderId="43" xfId="0" applyFont="1" applyBorder="1"/>
    <xf numFmtId="0" fontId="0" fillId="0" borderId="38" xfId="0" applyBorder="1" applyAlignment="1">
      <alignment horizontal="right"/>
    </xf>
    <xf numFmtId="0" fontId="0" fillId="0" borderId="4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3" xfId="0" applyBorder="1" applyAlignment="1">
      <alignment horizontal="right"/>
    </xf>
    <xf numFmtId="49" fontId="0" fillId="0" borderId="29" xfId="0" applyNumberFormat="1" applyBorder="1"/>
    <xf numFmtId="0" fontId="4" fillId="0" borderId="46" xfId="0" applyFont="1" applyBorder="1"/>
    <xf numFmtId="0" fontId="4" fillId="0" borderId="30" xfId="0" applyFont="1" applyBorder="1" applyAlignment="1">
      <alignment horizontal="right"/>
    </xf>
    <xf numFmtId="165" fontId="0" fillId="0" borderId="29" xfId="0" applyNumberFormat="1" applyBorder="1"/>
    <xf numFmtId="0" fontId="0" fillId="0" borderId="32" xfId="0" applyBorder="1" applyAlignment="1">
      <alignment horizontal="right"/>
    </xf>
    <xf numFmtId="165" fontId="0" fillId="0" borderId="30" xfId="0" applyNumberFormat="1" applyBorder="1"/>
    <xf numFmtId="1" fontId="0" fillId="0" borderId="32" xfId="0" applyNumberFormat="1" applyBorder="1"/>
    <xf numFmtId="0" fontId="0" fillId="0" borderId="32" xfId="0" applyBorder="1"/>
    <xf numFmtId="165" fontId="0" fillId="0" borderId="32" xfId="0" applyNumberFormat="1" applyBorder="1"/>
    <xf numFmtId="165" fontId="0" fillId="0" borderId="47" xfId="0" applyNumberFormat="1" applyBorder="1"/>
    <xf numFmtId="49" fontId="0" fillId="0" borderId="29" xfId="0" applyNumberFormat="1" applyBorder="1" applyAlignment="1">
      <alignment vertical="top"/>
    </xf>
    <xf numFmtId="0" fontId="0" fillId="0" borderId="46" xfId="0" applyBorder="1"/>
    <xf numFmtId="0" fontId="0" fillId="0" borderId="30" xfId="0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8" fillId="0" borderId="0" xfId="0" applyFont="1"/>
    <xf numFmtId="0" fontId="3" fillId="11" borderId="0" xfId="0" applyFont="1" applyFill="1" applyAlignment="1">
      <alignment horizontal="center" vertical="center"/>
    </xf>
    <xf numFmtId="165" fontId="3" fillId="11" borderId="35" xfId="0" applyNumberFormat="1" applyFont="1" applyFill="1" applyBorder="1" applyAlignment="1">
      <alignment horizontal="center"/>
    </xf>
    <xf numFmtId="165" fontId="3" fillId="11" borderId="12" xfId="0" applyNumberFormat="1" applyFont="1" applyFill="1" applyBorder="1" applyAlignment="1">
      <alignment horizontal="center"/>
    </xf>
    <xf numFmtId="0" fontId="3" fillId="11" borderId="31" xfId="0" applyFont="1" applyFill="1" applyBorder="1" applyAlignment="1">
      <alignment horizontal="center"/>
    </xf>
    <xf numFmtId="0" fontId="3" fillId="11" borderId="51" xfId="0" applyFont="1" applyFill="1" applyBorder="1" applyAlignment="1">
      <alignment vertical="center"/>
    </xf>
    <xf numFmtId="49" fontId="3" fillId="11" borderId="51" xfId="0" applyNumberFormat="1" applyFont="1" applyFill="1" applyBorder="1" applyAlignment="1">
      <alignment vertical="center"/>
    </xf>
    <xf numFmtId="49" fontId="3" fillId="11" borderId="51" xfId="0" applyNumberFormat="1" applyFont="1" applyFill="1" applyBorder="1" applyAlignment="1">
      <alignment horizontal="left" vertical="center"/>
    </xf>
    <xf numFmtId="49" fontId="0" fillId="0" borderId="42" xfId="0" applyNumberForma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/>
    </xf>
    <xf numFmtId="49" fontId="3" fillId="11" borderId="50" xfId="0" applyNumberFormat="1" applyFont="1" applyFill="1" applyBorder="1" applyAlignment="1">
      <alignment horizontal="left" vertical="center" wrapText="1"/>
    </xf>
    <xf numFmtId="49" fontId="3" fillId="11" borderId="49" xfId="0" applyNumberFormat="1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 vertical="top"/>
    </xf>
    <xf numFmtId="49" fontId="3" fillId="11" borderId="18" xfId="0" applyNumberFormat="1" applyFont="1" applyFill="1" applyBorder="1" applyAlignment="1">
      <alignment horizontal="left" vertical="center" wrapText="1"/>
    </xf>
    <xf numFmtId="0" fontId="3" fillId="11" borderId="50" xfId="0" applyFont="1" applyFill="1" applyBorder="1" applyAlignment="1">
      <alignment horizontal="left" vertical="center" wrapText="1"/>
    </xf>
    <xf numFmtId="0" fontId="3" fillId="11" borderId="49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11" borderId="23" xfId="0" applyFont="1" applyFill="1" applyBorder="1" applyAlignment="1">
      <alignment horizontal="left" vertical="center" wrapText="1"/>
    </xf>
    <xf numFmtId="0" fontId="3" fillId="11" borderId="18" xfId="0" applyFont="1" applyFill="1" applyBorder="1" applyAlignment="1">
      <alignment horizontal="left" vertical="center" wrapText="1"/>
    </xf>
    <xf numFmtId="0" fontId="3" fillId="11" borderId="0" xfId="0" applyFont="1" applyFill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1" fontId="3" fillId="11" borderId="7" xfId="0" applyNumberFormat="1" applyFont="1" applyFill="1" applyBorder="1" applyAlignment="1">
      <alignment horizontal="center" vertical="center"/>
    </xf>
    <xf numFmtId="1" fontId="3" fillId="11" borderId="8" xfId="0" applyNumberFormat="1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166" fontId="3" fillId="11" borderId="7" xfId="0" applyNumberFormat="1" applyFont="1" applyFill="1" applyBorder="1" applyAlignment="1">
      <alignment horizontal="center" vertical="center"/>
    </xf>
    <xf numFmtId="166" fontId="3" fillId="11" borderId="8" xfId="0" applyNumberFormat="1" applyFont="1" applyFill="1" applyBorder="1" applyAlignment="1">
      <alignment horizontal="center" vertical="center"/>
    </xf>
    <xf numFmtId="0" fontId="3" fillId="11" borderId="19" xfId="0" applyFont="1" applyFill="1" applyBorder="1" applyAlignment="1">
      <alignment horizontal="center" vertical="center"/>
    </xf>
    <xf numFmtId="0" fontId="3" fillId="11" borderId="21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/>
    </xf>
    <xf numFmtId="0" fontId="8" fillId="11" borderId="9" xfId="0" applyFont="1" applyFill="1" applyBorder="1" applyAlignment="1">
      <alignment horizontal="center"/>
    </xf>
    <xf numFmtId="0" fontId="8" fillId="11" borderId="15" xfId="0" applyFont="1" applyFill="1" applyBorder="1" applyAlignment="1">
      <alignment horizontal="center"/>
    </xf>
    <xf numFmtId="0" fontId="3" fillId="11" borderId="16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11" borderId="17" xfId="0" applyFont="1" applyFill="1" applyBorder="1" applyAlignment="1">
      <alignment horizontal="center"/>
    </xf>
    <xf numFmtId="0" fontId="3" fillId="11" borderId="18" xfId="0" applyFont="1" applyFill="1" applyBorder="1" applyAlignment="1">
      <alignment horizontal="center" vertical="center"/>
    </xf>
    <xf numFmtId="0" fontId="3" fillId="11" borderId="20" xfId="0" applyFont="1" applyFill="1" applyBorder="1" applyAlignment="1">
      <alignment horizontal="center" vertical="center"/>
    </xf>
    <xf numFmtId="165" fontId="3" fillId="11" borderId="26" xfId="0" applyNumberFormat="1" applyFont="1" applyFill="1" applyBorder="1" applyAlignment="1">
      <alignment horizontal="center" vertical="center"/>
    </xf>
    <xf numFmtId="165" fontId="3" fillId="11" borderId="29" xfId="0" applyNumberFormat="1" applyFont="1" applyFill="1" applyBorder="1" applyAlignment="1">
      <alignment horizontal="center" vertical="center"/>
    </xf>
    <xf numFmtId="165" fontId="3" fillId="11" borderId="25" xfId="0" applyNumberFormat="1" applyFont="1" applyFill="1" applyBorder="1" applyAlignment="1">
      <alignment horizontal="center" vertical="center"/>
    </xf>
    <xf numFmtId="165" fontId="3" fillId="11" borderId="27" xfId="0" applyNumberFormat="1" applyFont="1" applyFill="1" applyBorder="1" applyAlignment="1">
      <alignment horizontal="center" vertical="center"/>
    </xf>
    <xf numFmtId="165" fontId="3" fillId="11" borderId="28" xfId="0" applyNumberFormat="1" applyFont="1" applyFill="1" applyBorder="1" applyAlignment="1">
      <alignment horizontal="center" vertical="center"/>
    </xf>
    <xf numFmtId="165" fontId="3" fillId="11" borderId="30" xfId="0" applyNumberFormat="1" applyFont="1" applyFill="1" applyBorder="1" applyAlignment="1">
      <alignment horizontal="center" vertical="center"/>
    </xf>
    <xf numFmtId="165" fontId="6" fillId="11" borderId="12" xfId="0" applyNumberFormat="1" applyFont="1" applyFill="1" applyBorder="1" applyAlignment="1">
      <alignment horizontal="center" vertical="center"/>
    </xf>
    <xf numFmtId="0" fontId="6" fillId="11" borderId="35" xfId="0" applyFont="1" applyFill="1" applyBorder="1" applyAlignment="1">
      <alignment horizontal="center" vertical="center"/>
    </xf>
    <xf numFmtId="165" fontId="6" fillId="11" borderId="39" xfId="0" applyNumberFormat="1" applyFont="1" applyFill="1" applyBorder="1" applyAlignment="1">
      <alignment horizontal="center" vertical="center"/>
    </xf>
    <xf numFmtId="165" fontId="3" fillId="11" borderId="1" xfId="0" applyNumberFormat="1" applyFont="1" applyFill="1" applyBorder="1" applyAlignment="1">
      <alignment horizontal="center" vertical="center"/>
    </xf>
    <xf numFmtId="165" fontId="3" fillId="11" borderId="5" xfId="0" applyNumberFormat="1" applyFont="1" applyFill="1" applyBorder="1" applyAlignment="1">
      <alignment horizontal="center" vertical="center"/>
    </xf>
    <xf numFmtId="165" fontId="3" fillId="11" borderId="6" xfId="0" applyNumberFormat="1" applyFont="1" applyFill="1" applyBorder="1" applyAlignment="1">
      <alignment horizontal="center" vertical="center"/>
    </xf>
    <xf numFmtId="0" fontId="3" fillId="11" borderId="36" xfId="0" applyFont="1" applyFill="1" applyBorder="1" applyAlignment="1">
      <alignment horizontal="center" vertical="center"/>
    </xf>
    <xf numFmtId="0" fontId="3" fillId="11" borderId="37" xfId="0" applyFont="1" applyFill="1" applyBorder="1" applyAlignment="1">
      <alignment horizontal="center" vertical="center"/>
    </xf>
    <xf numFmtId="165" fontId="6" fillId="11" borderId="24" xfId="0" applyNumberFormat="1" applyFont="1" applyFill="1" applyBorder="1" applyAlignment="1">
      <alignment horizontal="center" vertical="center"/>
    </xf>
    <xf numFmtId="165" fontId="6" fillId="11" borderId="19" xfId="0" applyNumberFormat="1" applyFont="1" applyFill="1" applyBorder="1" applyAlignment="1">
      <alignment horizontal="center" vertical="center"/>
    </xf>
    <xf numFmtId="165" fontId="6" fillId="11" borderId="21" xfId="0" applyNumberFormat="1" applyFont="1" applyFill="1" applyBorder="1" applyAlignment="1">
      <alignment horizontal="center" vertical="center"/>
    </xf>
    <xf numFmtId="164" fontId="7" fillId="11" borderId="22" xfId="0" applyNumberFormat="1" applyFont="1" applyFill="1" applyBorder="1" applyAlignment="1">
      <alignment horizontal="center" vertical="center"/>
    </xf>
    <xf numFmtId="164" fontId="7" fillId="11" borderId="9" xfId="0" applyNumberFormat="1" applyFont="1" applyFill="1" applyBorder="1" applyAlignment="1">
      <alignment horizontal="center" vertical="center"/>
    </xf>
    <xf numFmtId="164" fontId="7" fillId="11" borderId="10" xfId="0" applyNumberFormat="1" applyFont="1" applyFill="1" applyBorder="1" applyAlignment="1">
      <alignment horizontal="center" vertical="center"/>
    </xf>
    <xf numFmtId="164" fontId="7" fillId="11" borderId="13" xfId="0" applyNumberFormat="1" applyFont="1" applyFill="1" applyBorder="1" applyAlignment="1">
      <alignment horizontal="center" vertical="center"/>
    </xf>
    <xf numFmtId="164" fontId="7" fillId="11" borderId="0" xfId="0" applyNumberFormat="1" applyFont="1" applyFill="1" applyAlignment="1">
      <alignment horizontal="center" vertical="center"/>
    </xf>
    <xf numFmtId="164" fontId="7" fillId="11" borderId="3" xfId="0" applyNumberFormat="1" applyFont="1" applyFill="1" applyBorder="1" applyAlignment="1">
      <alignment horizontal="center" vertical="center"/>
    </xf>
    <xf numFmtId="164" fontId="7" fillId="11" borderId="11" xfId="0" applyNumberFormat="1" applyFont="1" applyFill="1" applyBorder="1" applyAlignment="1">
      <alignment horizontal="center" vertical="center"/>
    </xf>
    <xf numFmtId="164" fontId="7" fillId="11" borderId="2" xfId="0" applyNumberFormat="1" applyFont="1" applyFill="1" applyBorder="1" applyAlignment="1">
      <alignment horizontal="center" vertical="center"/>
    </xf>
    <xf numFmtId="164" fontId="7" fillId="11" borderId="4" xfId="0" applyNumberFormat="1" applyFont="1" applyFill="1" applyBorder="1" applyAlignment="1">
      <alignment horizontal="center" vertical="center"/>
    </xf>
    <xf numFmtId="1" fontId="0" fillId="0" borderId="11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49" fontId="3" fillId="11" borderId="50" xfId="0" applyNumberFormat="1" applyFont="1" applyFill="1" applyBorder="1" applyAlignment="1">
      <alignment horizontal="left" vertical="center"/>
    </xf>
    <xf numFmtId="49" fontId="3" fillId="11" borderId="18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top"/>
    </xf>
    <xf numFmtId="49" fontId="7" fillId="11" borderId="14" xfId="0" applyNumberFormat="1" applyFont="1" applyFill="1" applyBorder="1" applyAlignment="1">
      <alignment horizontal="center" vertical="center"/>
    </xf>
    <xf numFmtId="49" fontId="7" fillId="11" borderId="9" xfId="0" applyNumberFormat="1" applyFont="1" applyFill="1" applyBorder="1" applyAlignment="1">
      <alignment horizontal="center" vertical="center"/>
    </xf>
    <xf numFmtId="49" fontId="7" fillId="11" borderId="15" xfId="0" applyNumberFormat="1" applyFont="1" applyFill="1" applyBorder="1" applyAlignment="1">
      <alignment horizontal="center" vertical="center"/>
    </xf>
    <xf numFmtId="49" fontId="7" fillId="11" borderId="48" xfId="0" applyNumberFormat="1" applyFont="1" applyFill="1" applyBorder="1" applyAlignment="1">
      <alignment horizontal="center" vertical="center"/>
    </xf>
    <xf numFmtId="49" fontId="7" fillId="11" borderId="0" xfId="0" applyNumberFormat="1" applyFont="1" applyFill="1" applyAlignment="1">
      <alignment horizontal="center" vertical="center"/>
    </xf>
    <xf numFmtId="49" fontId="7" fillId="11" borderId="40" xfId="0" applyNumberFormat="1" applyFont="1" applyFill="1" applyBorder="1" applyAlignment="1">
      <alignment horizontal="center" vertical="center"/>
    </xf>
    <xf numFmtId="49" fontId="7" fillId="11" borderId="16" xfId="0" applyNumberFormat="1" applyFont="1" applyFill="1" applyBorder="1" applyAlignment="1">
      <alignment horizontal="center" vertical="center"/>
    </xf>
    <xf numFmtId="49" fontId="7" fillId="11" borderId="2" xfId="0" applyNumberFormat="1" applyFont="1" applyFill="1" applyBorder="1" applyAlignment="1">
      <alignment horizontal="center" vertical="center"/>
    </xf>
    <xf numFmtId="49" fontId="7" fillId="11" borderId="1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5" fontId="0" fillId="3" borderId="6" xfId="0" applyNumberForma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164" fontId="0" fillId="6" borderId="7" xfId="0" applyNumberFormat="1" applyFill="1" applyBorder="1" applyAlignment="1">
      <alignment horizontal="center" vertical="center"/>
    </xf>
    <xf numFmtId="164" fontId="0" fillId="6" borderId="8" xfId="0" applyNumberFormat="1" applyFill="1" applyBorder="1" applyAlignment="1">
      <alignment horizontal="center" vertical="center"/>
    </xf>
    <xf numFmtId="49" fontId="0" fillId="0" borderId="3" xfId="0" applyNumberFormat="1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9" fontId="0" fillId="0" borderId="3" xfId="0" applyNumberForma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123826</xdr:colOff>
      <xdr:row>2</xdr:row>
      <xdr:rowOff>57150</xdr:rowOff>
    </xdr:from>
    <xdr:to>
      <xdr:col>23</xdr:col>
      <xdr:colOff>257176</xdr:colOff>
      <xdr:row>13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4EAD3A-84D1-A2BB-16C7-9F359F5DBE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533" r="7242" b="15786"/>
        <a:stretch/>
      </xdr:blipFill>
      <xdr:spPr>
        <a:xfrm>
          <a:off x="15497176" y="447675"/>
          <a:ext cx="4400550" cy="2085975"/>
        </a:xfrm>
        <a:prstGeom prst="rect">
          <a:avLst/>
        </a:prstGeom>
      </xdr:spPr>
    </xdr:pic>
    <xdr:clientData/>
  </xdr:twoCellAnchor>
  <xdr:twoCellAnchor>
    <xdr:from>
      <xdr:col>15</xdr:col>
      <xdr:colOff>409575</xdr:colOff>
      <xdr:row>4</xdr:row>
      <xdr:rowOff>104775</xdr:rowOff>
    </xdr:from>
    <xdr:to>
      <xdr:col>19</xdr:col>
      <xdr:colOff>542925</xdr:colOff>
      <xdr:row>7</xdr:row>
      <xdr:rowOff>152400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A88FE6D-0A31-8674-65A2-6DC878D568EC}"/>
            </a:ext>
          </a:extLst>
        </xdr:cNvPr>
        <xdr:cNvCxnSpPr/>
      </xdr:nvCxnSpPr>
      <xdr:spPr>
        <a:xfrm>
          <a:off x="14763750" y="876300"/>
          <a:ext cx="2571750" cy="6191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381000</xdr:colOff>
      <xdr:row>5</xdr:row>
      <xdr:rowOff>104775</xdr:rowOff>
    </xdr:from>
    <xdr:to>
      <xdr:col>19</xdr:col>
      <xdr:colOff>533400</xdr:colOff>
      <xdr:row>7</xdr:row>
      <xdr:rowOff>152400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A69725DB-75CD-B3BD-5830-36335E04E43E}"/>
            </a:ext>
          </a:extLst>
        </xdr:cNvPr>
        <xdr:cNvCxnSpPr/>
      </xdr:nvCxnSpPr>
      <xdr:spPr>
        <a:xfrm>
          <a:off x="14735175" y="1066800"/>
          <a:ext cx="2590800" cy="4286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361950</xdr:colOff>
      <xdr:row>27</xdr:row>
      <xdr:rowOff>184881</xdr:rowOff>
    </xdr:from>
    <xdr:to>
      <xdr:col>27</xdr:col>
      <xdr:colOff>400974</xdr:colOff>
      <xdr:row>36</xdr:row>
      <xdr:rowOff>171735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8397C18-B402-0FB6-12FC-0619270ED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54500" y="5337906"/>
          <a:ext cx="5525424" cy="1701354"/>
        </a:xfrm>
        <a:prstGeom prst="rect">
          <a:avLst/>
        </a:prstGeom>
      </xdr:spPr>
    </xdr:pic>
    <xdr:clientData/>
  </xdr:twoCellAnchor>
  <xdr:twoCellAnchor editAs="oneCell">
    <xdr:from>
      <xdr:col>29</xdr:col>
      <xdr:colOff>557645</xdr:colOff>
      <xdr:row>15</xdr:row>
      <xdr:rowOff>0</xdr:rowOff>
    </xdr:from>
    <xdr:to>
      <xdr:col>37</xdr:col>
      <xdr:colOff>329752</xdr:colOff>
      <xdr:row>38</xdr:row>
      <xdr:rowOff>118852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15D4B84-D834-A417-A9A5-CD4B31924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781327" y="2874818"/>
          <a:ext cx="4621198" cy="4500352"/>
        </a:xfrm>
        <a:prstGeom prst="rect">
          <a:avLst/>
        </a:prstGeom>
      </xdr:spPr>
    </xdr:pic>
    <xdr:clientData/>
  </xdr:twoCellAnchor>
  <xdr:twoCellAnchor>
    <xdr:from>
      <xdr:col>19</xdr:col>
      <xdr:colOff>466725</xdr:colOff>
      <xdr:row>15</xdr:row>
      <xdr:rowOff>86591</xdr:rowOff>
    </xdr:from>
    <xdr:to>
      <xdr:col>29</xdr:col>
      <xdr:colOff>467591</xdr:colOff>
      <xdr:row>15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A331CD7-7045-5F06-5C58-800654A0FEDA}"/>
            </a:ext>
          </a:extLst>
        </xdr:cNvPr>
        <xdr:cNvCxnSpPr/>
      </xdr:nvCxnSpPr>
      <xdr:spPr>
        <a:xfrm flipV="1">
          <a:off x="17668875" y="2953616"/>
          <a:ext cx="6096866" cy="865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dot.state.oh.us/SCDs/Structural/HW-2.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3B899-2109-4325-8A82-B6C1A0410E92}">
  <sheetPr>
    <pageSetUpPr fitToPage="1"/>
  </sheetPr>
  <dimension ref="A1:V139"/>
  <sheetViews>
    <sheetView workbookViewId="0">
      <selection activeCell="H43" sqref="H43:H44"/>
    </sheetView>
  </sheetViews>
  <sheetFormatPr defaultRowHeight="15" x14ac:dyDescent="0.25"/>
  <cols>
    <col min="1" max="1" width="5" customWidth="1"/>
    <col min="2" max="2" width="25.42578125" style="4" customWidth="1"/>
    <col min="3" max="3" width="0" hidden="1" customWidth="1"/>
    <col min="4" max="4" width="59.28515625" style="4" bestFit="1" customWidth="1"/>
    <col min="5" max="5" width="15" customWidth="1"/>
    <col min="6" max="6" width="20" style="12" bestFit="1" customWidth="1"/>
    <col min="7" max="7" width="20" style="40" customWidth="1"/>
    <col min="8" max="8" width="18.7109375" style="15" bestFit="1" customWidth="1"/>
    <col min="9" max="9" width="18.7109375" customWidth="1"/>
    <col min="10" max="10" width="11" style="15" bestFit="1" customWidth="1"/>
    <col min="11" max="11" width="13.42578125" style="36" bestFit="1" customWidth="1"/>
    <col min="12" max="12" width="9.140625" style="8"/>
    <col min="13" max="13" width="14.28515625" style="17" bestFit="1" customWidth="1"/>
    <col min="14" max="14" width="18" style="8" customWidth="1"/>
    <col min="16" max="16" width="11.85546875" bestFit="1" customWidth="1"/>
    <col min="17" max="18" width="9.140625" hidden="1" customWidth="1"/>
    <col min="19" max="19" width="11.7109375" hidden="1" customWidth="1"/>
    <col min="20" max="20" width="12.140625" customWidth="1"/>
    <col min="22" max="22" width="13.140625" customWidth="1"/>
  </cols>
  <sheetData>
    <row r="1" spans="1:22" ht="21" x14ac:dyDescent="0.35">
      <c r="A1" s="87"/>
      <c r="B1" s="118" t="s">
        <v>173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</row>
    <row r="2" spans="1:22" ht="15.75" thickBot="1" x14ac:dyDescent="0.3">
      <c r="A2" s="20"/>
      <c r="B2" s="121" t="s">
        <v>174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3"/>
    </row>
    <row r="3" spans="1:22" x14ac:dyDescent="0.25">
      <c r="A3" s="85"/>
      <c r="B3" s="124" t="s">
        <v>33</v>
      </c>
      <c r="C3" s="108" t="s">
        <v>1</v>
      </c>
      <c r="D3" s="138" t="s">
        <v>0</v>
      </c>
      <c r="E3" s="135" t="s">
        <v>2</v>
      </c>
      <c r="F3" s="135"/>
      <c r="G3" s="136" t="s">
        <v>3</v>
      </c>
      <c r="H3" s="137"/>
      <c r="I3" s="135" t="s">
        <v>4</v>
      </c>
      <c r="J3" s="137"/>
      <c r="K3" s="110" t="s">
        <v>5</v>
      </c>
      <c r="L3" s="112" t="s">
        <v>6</v>
      </c>
      <c r="M3" s="114" t="s">
        <v>7</v>
      </c>
      <c r="N3" s="116" t="s">
        <v>8</v>
      </c>
    </row>
    <row r="4" spans="1:22" ht="15.75" thickBot="1" x14ac:dyDescent="0.3">
      <c r="A4" s="85"/>
      <c r="B4" s="124"/>
      <c r="C4" s="109"/>
      <c r="D4" s="138"/>
      <c r="E4" s="127"/>
      <c r="F4" s="127"/>
      <c r="G4" s="130"/>
      <c r="H4" s="131"/>
      <c r="I4" s="127"/>
      <c r="J4" s="131"/>
      <c r="K4" s="110"/>
      <c r="L4" s="112"/>
      <c r="M4" s="114"/>
      <c r="N4" s="116"/>
      <c r="P4" s="20"/>
      <c r="Q4" s="13" t="s">
        <v>2</v>
      </c>
      <c r="R4" s="13" t="s">
        <v>3</v>
      </c>
      <c r="S4" s="14" t="s">
        <v>4</v>
      </c>
    </row>
    <row r="5" spans="1:22" ht="15.75" thickBot="1" x14ac:dyDescent="0.3">
      <c r="A5" s="86"/>
      <c r="B5" s="125"/>
      <c r="C5" s="88"/>
      <c r="D5" s="139"/>
      <c r="E5" s="89" t="s">
        <v>5</v>
      </c>
      <c r="F5" s="90" t="s">
        <v>172</v>
      </c>
      <c r="G5" s="91" t="s">
        <v>5</v>
      </c>
      <c r="H5" s="89" t="s">
        <v>172</v>
      </c>
      <c r="I5" s="91" t="s">
        <v>5</v>
      </c>
      <c r="J5" s="89" t="s">
        <v>172</v>
      </c>
      <c r="K5" s="111"/>
      <c r="L5" s="113"/>
      <c r="M5" s="115"/>
      <c r="N5" s="117"/>
      <c r="P5" s="20"/>
      <c r="Q5" s="12"/>
      <c r="R5" s="12"/>
      <c r="S5" s="12"/>
    </row>
    <row r="6" spans="1:22" ht="15" customHeight="1" x14ac:dyDescent="0.25">
      <c r="A6" s="103" t="s">
        <v>101</v>
      </c>
      <c r="B6" s="106" t="s">
        <v>102</v>
      </c>
      <c r="C6" s="2" t="s">
        <v>19</v>
      </c>
      <c r="D6" s="44" t="s">
        <v>9</v>
      </c>
      <c r="E6" s="43" t="s">
        <v>140</v>
      </c>
      <c r="F6" s="12">
        <v>5000</v>
      </c>
      <c r="G6" s="41" t="s">
        <v>140</v>
      </c>
      <c r="H6" s="15">
        <v>10000</v>
      </c>
      <c r="I6" s="41" t="s">
        <v>140</v>
      </c>
      <c r="J6" s="12">
        <v>15000</v>
      </c>
      <c r="K6" s="47">
        <v>1</v>
      </c>
      <c r="L6" s="8" t="s">
        <v>140</v>
      </c>
      <c r="M6" s="10">
        <v>30000</v>
      </c>
      <c r="N6" s="37">
        <f t="shared" ref="N6:N19" si="0">K6*M6</f>
        <v>30000</v>
      </c>
      <c r="P6" s="12">
        <f>F6+H6+J6</f>
        <v>30000</v>
      </c>
      <c r="Q6">
        <v>0.16669999999999999</v>
      </c>
      <c r="R6">
        <v>0.33329999999999999</v>
      </c>
      <c r="S6">
        <f>J6/$N6</f>
        <v>0.5</v>
      </c>
      <c r="T6" s="12">
        <f>N6-P6</f>
        <v>0</v>
      </c>
      <c r="V6" s="9" t="e">
        <f>K6-E6-G6-I6</f>
        <v>#VALUE!</v>
      </c>
    </row>
    <row r="7" spans="1:22" x14ac:dyDescent="0.25">
      <c r="A7" s="104"/>
      <c r="B7" s="107"/>
      <c r="C7" s="2" t="s">
        <v>20</v>
      </c>
      <c r="D7" s="44" t="s">
        <v>10</v>
      </c>
      <c r="E7" s="4">
        <v>1625</v>
      </c>
      <c r="F7" s="12">
        <f>N7*'Calcs.'!M4</f>
        <v>10117.506964670167</v>
      </c>
      <c r="G7" s="8">
        <v>6125</v>
      </c>
      <c r="H7" s="15">
        <f>N7*'Calcs.'!N4</f>
        <v>38135.698035329828</v>
      </c>
      <c r="I7" s="8">
        <f>K7-E7-G7</f>
        <v>0</v>
      </c>
      <c r="J7" s="12">
        <v>0</v>
      </c>
      <c r="K7" s="47">
        <v>7750</v>
      </c>
      <c r="L7" s="8" t="s">
        <v>141</v>
      </c>
      <c r="M7" s="10">
        <v>6.2262199999999996</v>
      </c>
      <c r="N7" s="37">
        <f t="shared" si="0"/>
        <v>48253.204999999994</v>
      </c>
      <c r="P7" s="12">
        <f t="shared" ref="P7:P18" si="1">F7+H7+J7</f>
        <v>48253.204999999994</v>
      </c>
      <c r="T7" s="12">
        <f t="shared" ref="T7:T18" si="2">N7-P7</f>
        <v>0</v>
      </c>
      <c r="V7" s="9">
        <f t="shared" ref="V7:V57" si="3">K7-E7-G7-I7</f>
        <v>0</v>
      </c>
    </row>
    <row r="8" spans="1:22" x14ac:dyDescent="0.25">
      <c r="A8" s="104"/>
      <c r="B8" s="107"/>
      <c r="C8" s="2" t="s">
        <v>21</v>
      </c>
      <c r="D8" s="44" t="s">
        <v>11</v>
      </c>
      <c r="E8" s="4">
        <f>ROUND(F8/M8,0)</f>
        <v>1072</v>
      </c>
      <c r="F8" s="12">
        <f>N8*'Calcs.'!M5</f>
        <v>20451.892120955265</v>
      </c>
      <c r="G8" s="8">
        <f>ROUND(H8/M8,0)</f>
        <v>1254</v>
      </c>
      <c r="H8" s="15">
        <f>N8*'Calcs.'!N5</f>
        <v>23928.970940917014</v>
      </c>
      <c r="I8" s="8">
        <f>ROUND(J8/M8,0)</f>
        <v>674</v>
      </c>
      <c r="J8" s="12">
        <f>N8*'Calcs.'!O5</f>
        <v>12853.226938127715</v>
      </c>
      <c r="K8" s="47">
        <v>3000</v>
      </c>
      <c r="L8" s="8" t="s">
        <v>143</v>
      </c>
      <c r="M8" s="10">
        <v>19.078029999999998</v>
      </c>
      <c r="N8" s="37">
        <f t="shared" si="0"/>
        <v>57234.09</v>
      </c>
      <c r="P8" s="12">
        <f t="shared" si="1"/>
        <v>57234.09</v>
      </c>
      <c r="T8" s="12">
        <f t="shared" si="2"/>
        <v>0</v>
      </c>
      <c r="V8" s="9">
        <f>K8-E8-G8-I8</f>
        <v>0</v>
      </c>
    </row>
    <row r="9" spans="1:22" x14ac:dyDescent="0.25">
      <c r="A9" s="104"/>
      <c r="B9" s="107"/>
      <c r="C9" s="2" t="s">
        <v>22</v>
      </c>
      <c r="D9" s="44" t="s">
        <v>12</v>
      </c>
      <c r="E9" s="4">
        <f t="shared" ref="E9:E31" si="4">ROUND(F9/M9,0)</f>
        <v>164</v>
      </c>
      <c r="F9" s="12">
        <f>N9*'Calcs.'!M6</f>
        <v>2458.6380501289086</v>
      </c>
      <c r="G9" s="8">
        <f t="shared" ref="G9:G31" si="5">ROUND(H9/M9,0)</f>
        <v>1461</v>
      </c>
      <c r="H9" s="15">
        <f>N9*'Calcs.'!N6</f>
        <v>21919.464041850584</v>
      </c>
      <c r="I9" s="8">
        <f t="shared" ref="I9:I18" si="6">ROUND(J9/M9,0)</f>
        <v>3375</v>
      </c>
      <c r="J9" s="12">
        <f>N9*'Calcs.'!O6</f>
        <v>50621.897908020503</v>
      </c>
      <c r="K9" s="47">
        <v>5000</v>
      </c>
      <c r="L9" s="8" t="s">
        <v>143</v>
      </c>
      <c r="M9" s="10">
        <v>15</v>
      </c>
      <c r="N9" s="37">
        <f t="shared" si="0"/>
        <v>75000</v>
      </c>
      <c r="P9" s="12">
        <f t="shared" si="1"/>
        <v>75000</v>
      </c>
      <c r="T9" s="12">
        <f t="shared" si="2"/>
        <v>0</v>
      </c>
      <c r="V9" s="9">
        <f t="shared" si="3"/>
        <v>0</v>
      </c>
    </row>
    <row r="10" spans="1:22" x14ac:dyDescent="0.25">
      <c r="A10" s="104"/>
      <c r="B10" s="107"/>
      <c r="C10" s="2" t="s">
        <v>23</v>
      </c>
      <c r="D10" s="44" t="s">
        <v>13</v>
      </c>
      <c r="E10" s="4">
        <f t="shared" si="4"/>
        <v>1200</v>
      </c>
      <c r="F10" s="12">
        <f>N10*'Calcs.'!M7</f>
        <v>2961.8835754841398</v>
      </c>
      <c r="G10" s="8">
        <f t="shared" si="5"/>
        <v>1200</v>
      </c>
      <c r="H10" s="15">
        <f>N10*'Calcs.'!N7</f>
        <v>2961.5753028388976</v>
      </c>
      <c r="I10" s="8">
        <v>3000</v>
      </c>
      <c r="J10" s="12">
        <f>N10*'Calcs.'!O7</f>
        <v>7400.3931216769633</v>
      </c>
      <c r="K10" s="47">
        <v>5400</v>
      </c>
      <c r="L10" s="8" t="s">
        <v>144</v>
      </c>
      <c r="M10" s="10">
        <v>2.4673799999999999</v>
      </c>
      <c r="N10" s="37">
        <f t="shared" si="0"/>
        <v>13323.851999999999</v>
      </c>
      <c r="P10" s="12">
        <f t="shared" si="1"/>
        <v>13323.852000000001</v>
      </c>
      <c r="T10" s="12">
        <f t="shared" si="2"/>
        <v>0</v>
      </c>
      <c r="V10" s="9">
        <f t="shared" si="3"/>
        <v>0</v>
      </c>
    </row>
    <row r="11" spans="1:22" x14ac:dyDescent="0.25">
      <c r="A11" s="104"/>
      <c r="B11" s="107"/>
      <c r="C11" s="2" t="s">
        <v>24</v>
      </c>
      <c r="D11" s="44" t="s">
        <v>14</v>
      </c>
      <c r="E11" s="4">
        <f t="shared" si="4"/>
        <v>0</v>
      </c>
      <c r="F11" s="12">
        <v>0</v>
      </c>
      <c r="G11" s="8">
        <f t="shared" si="5"/>
        <v>1</v>
      </c>
      <c r="H11" s="15">
        <f>M11</f>
        <v>204.26132000000001</v>
      </c>
      <c r="I11" s="8">
        <f t="shared" si="6"/>
        <v>1</v>
      </c>
      <c r="J11" s="12">
        <f>M11</f>
        <v>204.26132000000001</v>
      </c>
      <c r="K11" s="47">
        <v>2</v>
      </c>
      <c r="L11" s="8" t="s">
        <v>145</v>
      </c>
      <c r="M11" s="10">
        <v>204.26132000000001</v>
      </c>
      <c r="N11" s="37">
        <f t="shared" si="0"/>
        <v>408.52264000000002</v>
      </c>
      <c r="O11" s="16"/>
      <c r="P11" s="12">
        <f t="shared" si="1"/>
        <v>408.52264000000002</v>
      </c>
      <c r="T11" s="12">
        <f t="shared" si="2"/>
        <v>0</v>
      </c>
      <c r="V11" s="9">
        <f t="shared" si="3"/>
        <v>0</v>
      </c>
    </row>
    <row r="12" spans="1:22" x14ac:dyDescent="0.25">
      <c r="A12" s="104"/>
      <c r="B12" s="107"/>
      <c r="C12" s="2" t="s">
        <v>25</v>
      </c>
      <c r="D12" s="44" t="s">
        <v>15</v>
      </c>
      <c r="E12" s="4">
        <f t="shared" si="4"/>
        <v>0</v>
      </c>
      <c r="F12" s="12">
        <v>0</v>
      </c>
      <c r="G12" s="8">
        <f t="shared" si="5"/>
        <v>478</v>
      </c>
      <c r="H12" s="15">
        <f>N12*'Calcs.'!N9</f>
        <v>38275.878794550328</v>
      </c>
      <c r="I12" s="8">
        <f t="shared" si="6"/>
        <v>122</v>
      </c>
      <c r="J12" s="12">
        <f>N12*'Calcs.'!O9</f>
        <v>9724.1212054496682</v>
      </c>
      <c r="K12" s="47">
        <v>600</v>
      </c>
      <c r="L12" s="8" t="s">
        <v>137</v>
      </c>
      <c r="M12" s="10">
        <v>80</v>
      </c>
      <c r="N12" s="37">
        <f t="shared" si="0"/>
        <v>48000</v>
      </c>
      <c r="P12" s="12">
        <f t="shared" si="1"/>
        <v>48000</v>
      </c>
      <c r="T12" s="12">
        <f t="shared" si="2"/>
        <v>0</v>
      </c>
      <c r="V12" s="9">
        <f t="shared" si="3"/>
        <v>0</v>
      </c>
    </row>
    <row r="13" spans="1:22" x14ac:dyDescent="0.25">
      <c r="A13" s="104"/>
      <c r="B13" s="107"/>
      <c r="C13" s="2" t="s">
        <v>26</v>
      </c>
      <c r="D13" s="44" t="s">
        <v>16</v>
      </c>
      <c r="E13" s="4">
        <f t="shared" si="4"/>
        <v>0</v>
      </c>
      <c r="F13" s="12">
        <v>0</v>
      </c>
      <c r="G13" s="8">
        <f t="shared" si="5"/>
        <v>200</v>
      </c>
      <c r="H13" s="15">
        <f>N13</f>
        <v>3646.3839999999996</v>
      </c>
      <c r="I13" s="8">
        <f t="shared" si="6"/>
        <v>0</v>
      </c>
      <c r="J13" s="12">
        <v>0</v>
      </c>
      <c r="K13" s="47">
        <v>200</v>
      </c>
      <c r="L13" s="8" t="s">
        <v>141</v>
      </c>
      <c r="M13" s="10">
        <v>18.231919999999999</v>
      </c>
      <c r="N13" s="37">
        <f t="shared" si="0"/>
        <v>3646.3839999999996</v>
      </c>
      <c r="P13" s="12">
        <f t="shared" si="1"/>
        <v>3646.3839999999996</v>
      </c>
      <c r="T13" s="12">
        <f t="shared" si="2"/>
        <v>0</v>
      </c>
      <c r="V13" s="9">
        <f t="shared" si="3"/>
        <v>0</v>
      </c>
    </row>
    <row r="14" spans="1:22" x14ac:dyDescent="0.25">
      <c r="A14" s="104"/>
      <c r="B14" s="107"/>
      <c r="C14" s="2" t="s">
        <v>27</v>
      </c>
      <c r="D14" s="44" t="s">
        <v>17</v>
      </c>
      <c r="E14" s="4">
        <f t="shared" si="4"/>
        <v>0</v>
      </c>
      <c r="F14" s="12">
        <v>0</v>
      </c>
      <c r="G14" s="8">
        <f t="shared" si="5"/>
        <v>18</v>
      </c>
      <c r="H14" s="15">
        <f>N14</f>
        <v>2844.7853400000004</v>
      </c>
      <c r="I14" s="8">
        <f t="shared" si="6"/>
        <v>0</v>
      </c>
      <c r="J14" s="12">
        <v>0</v>
      </c>
      <c r="K14" s="47">
        <v>18</v>
      </c>
      <c r="L14" s="8" t="s">
        <v>137</v>
      </c>
      <c r="M14" s="10">
        <v>158.04363000000001</v>
      </c>
      <c r="N14" s="37">
        <f t="shared" si="0"/>
        <v>2844.7853400000004</v>
      </c>
      <c r="P14" s="12">
        <f t="shared" si="1"/>
        <v>2844.7853400000004</v>
      </c>
      <c r="T14" s="12">
        <f t="shared" si="2"/>
        <v>0</v>
      </c>
      <c r="V14" s="9">
        <f t="shared" si="3"/>
        <v>0</v>
      </c>
    </row>
    <row r="15" spans="1:22" x14ac:dyDescent="0.25">
      <c r="A15" s="104"/>
      <c r="B15" s="107"/>
      <c r="C15" s="2" t="s">
        <v>28</v>
      </c>
      <c r="D15" s="44" t="s">
        <v>18</v>
      </c>
      <c r="E15" s="4">
        <f t="shared" si="4"/>
        <v>1067</v>
      </c>
      <c r="F15" s="12">
        <f>N15*'Calcs.'!M12</f>
        <v>25276.528473804101</v>
      </c>
      <c r="G15" s="8">
        <f t="shared" si="5"/>
        <v>2002</v>
      </c>
      <c r="H15" s="15">
        <f>N15*'Calcs.'!N12</f>
        <v>47423.170842824598</v>
      </c>
      <c r="I15" s="8">
        <f t="shared" si="6"/>
        <v>931</v>
      </c>
      <c r="J15" s="12">
        <f>N15*'Calcs.'!O12</f>
        <v>22060.300683371297</v>
      </c>
      <c r="K15" s="47">
        <v>4000</v>
      </c>
      <c r="L15" s="8" t="s">
        <v>141</v>
      </c>
      <c r="M15" s="10">
        <v>23.69</v>
      </c>
      <c r="N15" s="37">
        <f t="shared" si="0"/>
        <v>94760</v>
      </c>
      <c r="P15" s="12">
        <f t="shared" si="1"/>
        <v>94760</v>
      </c>
      <c r="T15" s="12">
        <f t="shared" si="2"/>
        <v>0</v>
      </c>
      <c r="V15" s="9">
        <f t="shared" si="3"/>
        <v>0</v>
      </c>
    </row>
    <row r="16" spans="1:22" x14ac:dyDescent="0.25">
      <c r="A16" s="104"/>
      <c r="B16" s="107"/>
      <c r="C16" s="2" t="s">
        <v>29</v>
      </c>
      <c r="D16" s="44" t="s">
        <v>138</v>
      </c>
      <c r="E16" s="4">
        <v>25</v>
      </c>
      <c r="F16" s="12">
        <f>N16*'Calcs.'!M13</f>
        <v>196.55683021678988</v>
      </c>
      <c r="G16" s="8">
        <v>0</v>
      </c>
      <c r="H16" s="15">
        <f>N16*'Calcs.'!N13</f>
        <v>314.56912178166141</v>
      </c>
      <c r="I16" s="8">
        <v>0</v>
      </c>
      <c r="J16" s="12">
        <f>N16*'Calcs.'!O13</f>
        <v>114.56104800154867</v>
      </c>
      <c r="K16" s="47">
        <v>25</v>
      </c>
      <c r="L16" s="8" t="s">
        <v>137</v>
      </c>
      <c r="M16" s="10">
        <v>25.027480000000001</v>
      </c>
      <c r="N16" s="37">
        <f t="shared" si="0"/>
        <v>625.68700000000001</v>
      </c>
      <c r="P16" s="12">
        <f t="shared" si="1"/>
        <v>625.6869999999999</v>
      </c>
      <c r="T16" s="12">
        <f t="shared" si="2"/>
        <v>0</v>
      </c>
      <c r="V16" s="9">
        <f t="shared" si="3"/>
        <v>0</v>
      </c>
    </row>
    <row r="17" spans="1:22" x14ac:dyDescent="0.25">
      <c r="A17" s="105"/>
      <c r="B17" s="102"/>
      <c r="C17" s="49" t="s">
        <v>68</v>
      </c>
      <c r="D17" s="50" t="s">
        <v>32</v>
      </c>
      <c r="E17" s="51">
        <f t="shared" si="4"/>
        <v>120</v>
      </c>
      <c r="F17" s="52">
        <f>N17*'Calcs.'!M14</f>
        <v>2334.4879819567268</v>
      </c>
      <c r="G17" s="53">
        <f t="shared" si="5"/>
        <v>207</v>
      </c>
      <c r="H17" s="54">
        <f>N17*'Calcs.'!N14</f>
        <v>4048.3831147582764</v>
      </c>
      <c r="I17" s="53">
        <f t="shared" si="6"/>
        <v>73</v>
      </c>
      <c r="J17" s="52">
        <f>N17*'Calcs.'!O14</f>
        <v>1427.0849032849972</v>
      </c>
      <c r="K17" s="55">
        <v>400</v>
      </c>
      <c r="L17" s="53" t="s">
        <v>137</v>
      </c>
      <c r="M17" s="56">
        <v>19.524889999999999</v>
      </c>
      <c r="N17" s="57">
        <f t="shared" si="0"/>
        <v>7809.9560000000001</v>
      </c>
      <c r="P17" s="12">
        <f t="shared" si="1"/>
        <v>7809.956000000001</v>
      </c>
      <c r="T17" s="12">
        <f t="shared" si="2"/>
        <v>0</v>
      </c>
      <c r="V17" s="9">
        <f t="shared" si="3"/>
        <v>0</v>
      </c>
    </row>
    <row r="18" spans="1:22" x14ac:dyDescent="0.25">
      <c r="A18" s="95" t="s">
        <v>40</v>
      </c>
      <c r="B18" s="101" t="s">
        <v>180</v>
      </c>
      <c r="C18" s="58" t="s">
        <v>30</v>
      </c>
      <c r="D18" s="59" t="s">
        <v>70</v>
      </c>
      <c r="E18" s="60">
        <f t="shared" si="4"/>
        <v>0</v>
      </c>
      <c r="F18" s="61">
        <v>0</v>
      </c>
      <c r="G18" s="62">
        <f t="shared" si="5"/>
        <v>0</v>
      </c>
      <c r="H18" s="63">
        <v>0</v>
      </c>
      <c r="I18" s="62">
        <f t="shared" si="6"/>
        <v>3</v>
      </c>
      <c r="J18" s="61">
        <f>N18</f>
        <v>1065.1747499999999</v>
      </c>
      <c r="K18" s="64">
        <v>3</v>
      </c>
      <c r="L18" s="62" t="s">
        <v>143</v>
      </c>
      <c r="M18" s="65">
        <v>355.05824999999999</v>
      </c>
      <c r="N18" s="37">
        <f t="shared" si="0"/>
        <v>1065.1747499999999</v>
      </c>
      <c r="P18" s="12">
        <f t="shared" si="1"/>
        <v>1065.1747499999999</v>
      </c>
      <c r="T18" s="12">
        <f t="shared" si="2"/>
        <v>0</v>
      </c>
      <c r="V18" s="9">
        <f t="shared" si="3"/>
        <v>0</v>
      </c>
    </row>
    <row r="19" spans="1:22" x14ac:dyDescent="0.25">
      <c r="A19" s="99"/>
      <c r="B19" s="107"/>
      <c r="C19" s="2" t="s">
        <v>31</v>
      </c>
      <c r="D19" s="44" t="s">
        <v>71</v>
      </c>
      <c r="E19" s="4">
        <v>0</v>
      </c>
      <c r="F19" s="12">
        <f>E19*M19</f>
        <v>0</v>
      </c>
      <c r="G19" s="8">
        <v>1</v>
      </c>
      <c r="H19" s="15">
        <f>G19*M19</f>
        <v>61.791969999999999</v>
      </c>
      <c r="I19" s="8">
        <v>1</v>
      </c>
      <c r="J19" s="12">
        <f>I19*M19</f>
        <v>61.791969999999999</v>
      </c>
      <c r="K19" s="47">
        <v>2</v>
      </c>
      <c r="L19" s="8" t="s">
        <v>146</v>
      </c>
      <c r="M19" s="10">
        <v>61.791969999999999</v>
      </c>
      <c r="N19" s="37">
        <f t="shared" si="0"/>
        <v>123.58394</v>
      </c>
      <c r="O19" s="16" t="s">
        <v>166</v>
      </c>
      <c r="P19" s="12">
        <v>123.58</v>
      </c>
      <c r="T19" s="12">
        <f t="shared" ref="T19:T56" si="7">N19-P19</f>
        <v>3.9400000000000546E-3</v>
      </c>
      <c r="V19" s="9">
        <f t="shared" si="3"/>
        <v>0</v>
      </c>
    </row>
    <row r="20" spans="1:22" x14ac:dyDescent="0.25">
      <c r="A20" s="99"/>
      <c r="B20" s="107"/>
      <c r="C20" s="2" t="s">
        <v>34</v>
      </c>
      <c r="D20" s="44" t="s">
        <v>72</v>
      </c>
      <c r="E20" s="4">
        <v>225</v>
      </c>
      <c r="F20" s="12">
        <f>E20*M20</f>
        <v>5758.6454999999996</v>
      </c>
      <c r="G20" s="8">
        <v>575</v>
      </c>
      <c r="H20" s="15">
        <f>G20*M20</f>
        <v>14716.538499999999</v>
      </c>
      <c r="I20" s="8">
        <v>600</v>
      </c>
      <c r="J20" s="12">
        <f>I20*M20</f>
        <v>15356.387999999999</v>
      </c>
      <c r="K20" s="47">
        <v>1400</v>
      </c>
      <c r="L20" s="8" t="s">
        <v>143</v>
      </c>
      <c r="M20" s="10">
        <v>25.593979999999998</v>
      </c>
      <c r="N20" s="37">
        <f t="shared" ref="N20:N21" si="8">K20*M20</f>
        <v>35831.572</v>
      </c>
      <c r="P20" s="12">
        <f t="shared" ref="P20:P56" si="9">F20+H20+J20</f>
        <v>35831.572</v>
      </c>
      <c r="T20" s="12">
        <f t="shared" si="7"/>
        <v>0</v>
      </c>
      <c r="V20" s="9">
        <f t="shared" si="3"/>
        <v>0</v>
      </c>
    </row>
    <row r="21" spans="1:22" x14ac:dyDescent="0.25">
      <c r="A21" s="99"/>
      <c r="B21" s="107"/>
      <c r="C21" s="2" t="s">
        <v>35</v>
      </c>
      <c r="D21" s="44" t="s">
        <v>73</v>
      </c>
      <c r="E21" s="4">
        <v>2200</v>
      </c>
      <c r="F21" s="12">
        <f>E21*M21</f>
        <v>4400</v>
      </c>
      <c r="G21" s="8">
        <v>5200</v>
      </c>
      <c r="H21" s="15">
        <f>G21*M21</f>
        <v>10400</v>
      </c>
      <c r="I21" s="8">
        <v>5600</v>
      </c>
      <c r="J21" s="12">
        <f>I21*M21</f>
        <v>11200</v>
      </c>
      <c r="K21" s="47">
        <v>13000</v>
      </c>
      <c r="L21" s="8" t="s">
        <v>144</v>
      </c>
      <c r="M21" s="10">
        <v>2</v>
      </c>
      <c r="N21" s="37">
        <f t="shared" si="8"/>
        <v>26000</v>
      </c>
      <c r="P21" s="12">
        <f t="shared" si="9"/>
        <v>26000</v>
      </c>
      <c r="T21" s="12">
        <f t="shared" si="7"/>
        <v>0</v>
      </c>
      <c r="V21" s="9">
        <f t="shared" si="3"/>
        <v>0</v>
      </c>
    </row>
    <row r="22" spans="1:22" x14ac:dyDescent="0.25">
      <c r="A22" s="99"/>
      <c r="B22" s="107"/>
      <c r="C22" s="2" t="s">
        <v>36</v>
      </c>
      <c r="D22" s="44" t="s">
        <v>74</v>
      </c>
      <c r="E22" s="4">
        <v>110</v>
      </c>
      <c r="F22" s="12">
        <f t="shared" ref="F22:F26" si="10">E22*M22</f>
        <v>330</v>
      </c>
      <c r="G22" s="8">
        <v>260</v>
      </c>
      <c r="H22" s="15">
        <f t="shared" ref="H22:H26" si="11">G22*M22</f>
        <v>780</v>
      </c>
      <c r="I22" s="8">
        <v>280</v>
      </c>
      <c r="J22" s="12">
        <f t="shared" ref="J22:J26" si="12">I22*M22</f>
        <v>840</v>
      </c>
      <c r="K22" s="47">
        <v>650</v>
      </c>
      <c r="L22" s="8" t="s">
        <v>144</v>
      </c>
      <c r="M22" s="10">
        <v>3</v>
      </c>
      <c r="N22" s="37">
        <f t="shared" ref="N22:N33" si="13">K22*M22</f>
        <v>1950</v>
      </c>
      <c r="P22" s="12">
        <f t="shared" si="9"/>
        <v>1950</v>
      </c>
      <c r="T22" s="12">
        <f t="shared" si="7"/>
        <v>0</v>
      </c>
      <c r="V22" s="9">
        <f t="shared" si="3"/>
        <v>0</v>
      </c>
    </row>
    <row r="23" spans="1:22" x14ac:dyDescent="0.25">
      <c r="A23" s="99"/>
      <c r="B23" s="107"/>
      <c r="C23" s="2" t="s">
        <v>37</v>
      </c>
      <c r="D23" s="44" t="s">
        <v>75</v>
      </c>
      <c r="E23" s="4">
        <v>0.25</v>
      </c>
      <c r="F23" s="12">
        <f t="shared" si="10"/>
        <v>155.137505</v>
      </c>
      <c r="G23" s="8">
        <v>0.7</v>
      </c>
      <c r="H23" s="15">
        <f t="shared" si="11"/>
        <v>434.38501400000001</v>
      </c>
      <c r="I23" s="8">
        <v>0.8</v>
      </c>
      <c r="J23" s="12">
        <f t="shared" si="12"/>
        <v>496.44001600000001</v>
      </c>
      <c r="K23" s="46">
        <v>1.75</v>
      </c>
      <c r="L23" s="8" t="s">
        <v>150</v>
      </c>
      <c r="M23" s="10">
        <v>620.55002000000002</v>
      </c>
      <c r="N23" s="37">
        <f t="shared" si="13"/>
        <v>1085.9625350000001</v>
      </c>
      <c r="P23" s="12">
        <f t="shared" si="9"/>
        <v>1085.9625350000001</v>
      </c>
      <c r="T23" s="12">
        <f t="shared" si="7"/>
        <v>0</v>
      </c>
      <c r="V23" s="9">
        <f t="shared" si="3"/>
        <v>0</v>
      </c>
    </row>
    <row r="24" spans="1:22" x14ac:dyDescent="0.25">
      <c r="A24" s="99"/>
      <c r="B24" s="107"/>
      <c r="C24" s="2" t="s">
        <v>38</v>
      </c>
      <c r="D24" s="44" t="s">
        <v>76</v>
      </c>
      <c r="E24" s="4">
        <v>0.45</v>
      </c>
      <c r="F24" s="12">
        <f t="shared" si="10"/>
        <v>45</v>
      </c>
      <c r="G24" s="8">
        <v>1.1000000000000001</v>
      </c>
      <c r="H24" s="15">
        <f t="shared" si="11"/>
        <v>110.00000000000001</v>
      </c>
      <c r="I24" s="8">
        <v>1.2</v>
      </c>
      <c r="J24" s="12">
        <f t="shared" si="12"/>
        <v>120</v>
      </c>
      <c r="K24" s="46">
        <v>2.75</v>
      </c>
      <c r="L24" s="8" t="s">
        <v>151</v>
      </c>
      <c r="M24" s="10">
        <v>100</v>
      </c>
      <c r="N24" s="37">
        <f t="shared" si="13"/>
        <v>275</v>
      </c>
      <c r="P24" s="12">
        <f t="shared" si="9"/>
        <v>275</v>
      </c>
      <c r="T24" s="12">
        <f t="shared" si="7"/>
        <v>0</v>
      </c>
      <c r="V24" s="9">
        <f t="shared" si="3"/>
        <v>0</v>
      </c>
    </row>
    <row r="25" spans="1:22" x14ac:dyDescent="0.25">
      <c r="A25" s="99"/>
      <c r="B25" s="107"/>
      <c r="C25" s="2" t="s">
        <v>39</v>
      </c>
      <c r="D25" s="44" t="s">
        <v>77</v>
      </c>
      <c r="E25" s="4">
        <v>15</v>
      </c>
      <c r="F25" s="12">
        <f t="shared" si="10"/>
        <v>75</v>
      </c>
      <c r="G25" s="8">
        <v>28</v>
      </c>
      <c r="H25" s="15">
        <f t="shared" si="11"/>
        <v>140</v>
      </c>
      <c r="I25" s="8">
        <v>32</v>
      </c>
      <c r="J25" s="12">
        <f t="shared" si="12"/>
        <v>160</v>
      </c>
      <c r="K25" s="47">
        <v>75</v>
      </c>
      <c r="L25" s="8" t="s">
        <v>152</v>
      </c>
      <c r="M25" s="10">
        <v>5</v>
      </c>
      <c r="N25" s="37">
        <f t="shared" si="13"/>
        <v>375</v>
      </c>
      <c r="P25" s="12">
        <f t="shared" si="9"/>
        <v>375</v>
      </c>
      <c r="T25" s="12">
        <f t="shared" si="7"/>
        <v>0</v>
      </c>
      <c r="V25" s="9">
        <f t="shared" si="3"/>
        <v>0</v>
      </c>
    </row>
    <row r="26" spans="1:22" x14ac:dyDescent="0.25">
      <c r="A26" s="99"/>
      <c r="B26" s="107"/>
      <c r="C26" s="2" t="s">
        <v>40</v>
      </c>
      <c r="D26" s="45" t="s">
        <v>78</v>
      </c>
      <c r="E26" s="4">
        <v>500</v>
      </c>
      <c r="F26" s="12">
        <f t="shared" si="10"/>
        <v>1114.1099999999999</v>
      </c>
      <c r="G26" s="8">
        <v>500</v>
      </c>
      <c r="H26" s="15">
        <f t="shared" si="11"/>
        <v>1114.1099999999999</v>
      </c>
      <c r="I26" s="8">
        <v>1000</v>
      </c>
      <c r="J26" s="12">
        <f t="shared" si="12"/>
        <v>2228.2199999999998</v>
      </c>
      <c r="K26" s="47">
        <v>2000</v>
      </c>
      <c r="L26" s="8" t="s">
        <v>144</v>
      </c>
      <c r="M26" s="10">
        <v>2.2282199999999999</v>
      </c>
      <c r="N26" s="37">
        <f t="shared" si="13"/>
        <v>4456.4399999999996</v>
      </c>
      <c r="P26" s="12">
        <f t="shared" si="9"/>
        <v>4456.4399999999996</v>
      </c>
      <c r="T26" s="12">
        <f t="shared" si="7"/>
        <v>0</v>
      </c>
      <c r="V26" s="9">
        <f t="shared" si="3"/>
        <v>0</v>
      </c>
    </row>
    <row r="27" spans="1:22" x14ac:dyDescent="0.25">
      <c r="A27" s="99"/>
      <c r="B27" s="107"/>
      <c r="C27" s="2" t="s">
        <v>41</v>
      </c>
      <c r="D27" s="44" t="s">
        <v>79</v>
      </c>
      <c r="E27" s="43" t="s">
        <v>140</v>
      </c>
      <c r="F27" s="12">
        <v>500</v>
      </c>
      <c r="G27" s="41" t="s">
        <v>140</v>
      </c>
      <c r="H27" s="15">
        <v>1000</v>
      </c>
      <c r="I27" s="41" t="s">
        <v>140</v>
      </c>
      <c r="J27" s="12">
        <f>N27*$S$6</f>
        <v>1500</v>
      </c>
      <c r="K27" s="47">
        <v>1</v>
      </c>
      <c r="L27" s="8" t="s">
        <v>140</v>
      </c>
      <c r="M27" s="10">
        <v>3000</v>
      </c>
      <c r="N27" s="37">
        <f t="shared" si="13"/>
        <v>3000</v>
      </c>
      <c r="P27" s="12">
        <f t="shared" si="9"/>
        <v>3000</v>
      </c>
      <c r="T27" s="12">
        <f t="shared" si="7"/>
        <v>0</v>
      </c>
      <c r="V27" s="9" t="e">
        <f t="shared" si="3"/>
        <v>#VALUE!</v>
      </c>
    </row>
    <row r="28" spans="1:22" x14ac:dyDescent="0.25">
      <c r="A28" s="99"/>
      <c r="B28" s="107"/>
      <c r="C28" s="2" t="s">
        <v>42</v>
      </c>
      <c r="D28" s="44" t="s">
        <v>80</v>
      </c>
      <c r="E28" s="43" t="s">
        <v>140</v>
      </c>
      <c r="F28" s="12">
        <v>1167</v>
      </c>
      <c r="G28" s="41" t="s">
        <v>140</v>
      </c>
      <c r="H28" s="15">
        <v>2333</v>
      </c>
      <c r="I28" s="41" t="s">
        <v>140</v>
      </c>
      <c r="J28" s="12">
        <f t="shared" ref="J28:J29" si="14">N28*$S$6</f>
        <v>3500</v>
      </c>
      <c r="K28" s="47">
        <v>1</v>
      </c>
      <c r="L28" s="8" t="s">
        <v>140</v>
      </c>
      <c r="M28" s="10">
        <v>7000</v>
      </c>
      <c r="N28" s="37">
        <f t="shared" si="13"/>
        <v>7000</v>
      </c>
      <c r="P28" s="12">
        <f t="shared" si="9"/>
        <v>7000</v>
      </c>
      <c r="T28" s="12">
        <f t="shared" si="7"/>
        <v>0</v>
      </c>
      <c r="V28" s="9" t="e">
        <f t="shared" si="3"/>
        <v>#VALUE!</v>
      </c>
    </row>
    <row r="29" spans="1:22" x14ac:dyDescent="0.25">
      <c r="A29" s="99"/>
      <c r="B29" s="107"/>
      <c r="C29" s="2" t="s">
        <v>43</v>
      </c>
      <c r="D29" s="44" t="s">
        <v>81</v>
      </c>
      <c r="E29" s="43" t="s">
        <v>140</v>
      </c>
      <c r="F29" s="12">
        <f t="shared" ref="F29" si="15">N29*$Q$6</f>
        <v>1250.25</v>
      </c>
      <c r="G29" s="41" t="s">
        <v>140</v>
      </c>
      <c r="H29" s="15">
        <f t="shared" ref="H29" si="16">N29*$R$6</f>
        <v>2499.75</v>
      </c>
      <c r="I29" s="41" t="s">
        <v>140</v>
      </c>
      <c r="J29" s="12">
        <f t="shared" si="14"/>
        <v>3750</v>
      </c>
      <c r="K29" s="47">
        <v>1</v>
      </c>
      <c r="L29" s="8" t="s">
        <v>140</v>
      </c>
      <c r="M29" s="10">
        <v>7500</v>
      </c>
      <c r="N29" s="37">
        <f t="shared" si="13"/>
        <v>7500</v>
      </c>
      <c r="P29" s="12">
        <f t="shared" si="9"/>
        <v>7500</v>
      </c>
      <c r="T29" s="12">
        <f t="shared" si="7"/>
        <v>0</v>
      </c>
      <c r="V29" s="9" t="e">
        <f t="shared" si="3"/>
        <v>#VALUE!</v>
      </c>
    </row>
    <row r="30" spans="1:22" x14ac:dyDescent="0.25">
      <c r="A30" s="96"/>
      <c r="B30" s="102"/>
      <c r="C30" s="49" t="s">
        <v>44</v>
      </c>
      <c r="D30" s="50" t="s">
        <v>82</v>
      </c>
      <c r="E30" s="51">
        <v>20000</v>
      </c>
      <c r="F30" s="12">
        <f t="shared" ref="F30" si="17">E30*M30</f>
        <v>20000</v>
      </c>
      <c r="G30" s="53">
        <v>20000</v>
      </c>
      <c r="H30" s="15">
        <f t="shared" ref="H30" si="18">G30*M30</f>
        <v>20000</v>
      </c>
      <c r="I30" s="53">
        <v>40000</v>
      </c>
      <c r="J30" s="12">
        <f t="shared" ref="J30" si="19">I30*M30</f>
        <v>40000</v>
      </c>
      <c r="K30" s="55">
        <v>80000</v>
      </c>
      <c r="L30" s="53" t="s">
        <v>146</v>
      </c>
      <c r="M30" s="56">
        <v>1</v>
      </c>
      <c r="N30" s="57">
        <f t="shared" si="13"/>
        <v>80000</v>
      </c>
      <c r="P30" s="12">
        <f t="shared" si="9"/>
        <v>80000</v>
      </c>
      <c r="T30" s="12">
        <f t="shared" si="7"/>
        <v>0</v>
      </c>
      <c r="V30" s="9">
        <f t="shared" si="3"/>
        <v>0</v>
      </c>
    </row>
    <row r="31" spans="1:22" x14ac:dyDescent="0.25">
      <c r="A31" s="95" t="s">
        <v>60</v>
      </c>
      <c r="B31" s="97" t="s">
        <v>88</v>
      </c>
      <c r="C31" s="58" t="s">
        <v>45</v>
      </c>
      <c r="D31" s="67" t="s">
        <v>83</v>
      </c>
      <c r="E31" s="60">
        <f t="shared" si="4"/>
        <v>0</v>
      </c>
      <c r="F31" s="61">
        <v>0</v>
      </c>
      <c r="G31" s="62">
        <f t="shared" si="5"/>
        <v>0</v>
      </c>
      <c r="H31" s="63">
        <v>0</v>
      </c>
      <c r="I31" s="62">
        <v>1</v>
      </c>
      <c r="J31" s="61">
        <f>I31*M31</f>
        <v>2572.85005</v>
      </c>
      <c r="K31" s="64">
        <v>1</v>
      </c>
      <c r="L31" s="62" t="s">
        <v>143</v>
      </c>
      <c r="M31" s="65">
        <v>2572.85005</v>
      </c>
      <c r="N31" s="66">
        <f t="shared" si="13"/>
        <v>2572.85005</v>
      </c>
      <c r="P31" s="12">
        <f t="shared" si="9"/>
        <v>2572.85005</v>
      </c>
      <c r="T31" s="12">
        <f t="shared" si="7"/>
        <v>0</v>
      </c>
      <c r="V31" s="9">
        <f t="shared" si="3"/>
        <v>0</v>
      </c>
    </row>
    <row r="32" spans="1:22" x14ac:dyDescent="0.25">
      <c r="A32" s="99"/>
      <c r="B32" s="100"/>
      <c r="C32" s="2" t="s">
        <v>46</v>
      </c>
      <c r="D32" s="44" t="s">
        <v>84</v>
      </c>
      <c r="E32" s="4">
        <v>0</v>
      </c>
      <c r="F32" s="12">
        <v>0</v>
      </c>
      <c r="G32" s="8">
        <v>0</v>
      </c>
      <c r="H32" s="15">
        <v>0</v>
      </c>
      <c r="I32" s="8">
        <v>0</v>
      </c>
      <c r="J32" s="12">
        <v>0</v>
      </c>
      <c r="K32" s="47">
        <v>100</v>
      </c>
      <c r="L32" s="8" t="s">
        <v>137</v>
      </c>
      <c r="M32" s="10">
        <v>110</v>
      </c>
      <c r="N32" s="37">
        <v>0</v>
      </c>
      <c r="O32" s="16" t="s">
        <v>167</v>
      </c>
      <c r="P32" s="12">
        <f t="shared" si="9"/>
        <v>0</v>
      </c>
      <c r="T32" s="12">
        <f t="shared" si="7"/>
        <v>0</v>
      </c>
      <c r="V32" s="9">
        <f t="shared" si="3"/>
        <v>100</v>
      </c>
    </row>
    <row r="33" spans="1:22" x14ac:dyDescent="0.25">
      <c r="A33" s="99"/>
      <c r="B33" s="100"/>
      <c r="C33" s="2" t="s">
        <v>47</v>
      </c>
      <c r="D33" s="44" t="s">
        <v>85</v>
      </c>
      <c r="E33" s="4">
        <v>0</v>
      </c>
      <c r="F33" s="12">
        <v>0</v>
      </c>
      <c r="G33" s="8">
        <v>0</v>
      </c>
      <c r="H33" s="15">
        <v>0</v>
      </c>
      <c r="I33" s="8">
        <v>50</v>
      </c>
      <c r="J33" s="12">
        <f>N33</f>
        <v>13465.793500000002</v>
      </c>
      <c r="K33" s="47">
        <v>50</v>
      </c>
      <c r="L33" s="8" t="s">
        <v>137</v>
      </c>
      <c r="M33" s="10">
        <v>269.31587000000002</v>
      </c>
      <c r="N33" s="37">
        <f t="shared" si="13"/>
        <v>13465.793500000002</v>
      </c>
      <c r="P33" s="12">
        <f t="shared" si="9"/>
        <v>13465.793500000002</v>
      </c>
      <c r="T33" s="12">
        <f t="shared" si="7"/>
        <v>0</v>
      </c>
      <c r="V33" s="9">
        <f t="shared" si="3"/>
        <v>0</v>
      </c>
    </row>
    <row r="34" spans="1:22" x14ac:dyDescent="0.25">
      <c r="A34" s="99"/>
      <c r="B34" s="100"/>
      <c r="C34" s="2"/>
      <c r="D34" s="44" t="s">
        <v>168</v>
      </c>
      <c r="E34" s="4">
        <v>30</v>
      </c>
      <c r="F34" s="12">
        <f>E34*M34</f>
        <v>3300</v>
      </c>
      <c r="G34" s="8">
        <v>0</v>
      </c>
      <c r="H34" s="15">
        <v>0</v>
      </c>
      <c r="I34" s="8">
        <v>35</v>
      </c>
      <c r="J34" s="12">
        <f>I34*M34</f>
        <v>3850</v>
      </c>
      <c r="K34" s="47">
        <v>65</v>
      </c>
      <c r="L34" s="8" t="s">
        <v>137</v>
      </c>
      <c r="M34" s="48">
        <v>110</v>
      </c>
      <c r="N34" s="37">
        <f t="shared" ref="N34:N55" si="20">K34*M34</f>
        <v>7150</v>
      </c>
      <c r="O34" s="16" t="s">
        <v>171</v>
      </c>
      <c r="P34" s="12">
        <f t="shared" si="9"/>
        <v>7150</v>
      </c>
      <c r="T34" s="12">
        <f t="shared" si="7"/>
        <v>0</v>
      </c>
      <c r="V34" s="9">
        <f t="shared" si="3"/>
        <v>0</v>
      </c>
    </row>
    <row r="35" spans="1:22" x14ac:dyDescent="0.25">
      <c r="A35" s="99"/>
      <c r="B35" s="100"/>
      <c r="C35" s="2"/>
      <c r="D35" s="44" t="s">
        <v>169</v>
      </c>
      <c r="E35" s="4">
        <v>0</v>
      </c>
      <c r="F35" s="12">
        <v>0</v>
      </c>
      <c r="G35" s="8">
        <v>0</v>
      </c>
      <c r="H35" s="15">
        <v>0</v>
      </c>
      <c r="I35" s="8">
        <v>60</v>
      </c>
      <c r="J35" s="12">
        <f>I35*M35</f>
        <v>7800</v>
      </c>
      <c r="K35" s="47">
        <v>60</v>
      </c>
      <c r="L35" s="8" t="s">
        <v>137</v>
      </c>
      <c r="M35" s="48">
        <v>130</v>
      </c>
      <c r="N35" s="37">
        <f t="shared" si="20"/>
        <v>7800</v>
      </c>
      <c r="P35" s="12">
        <f t="shared" si="9"/>
        <v>7800</v>
      </c>
      <c r="T35" s="12">
        <f t="shared" si="7"/>
        <v>0</v>
      </c>
      <c r="V35" s="9">
        <f t="shared" si="3"/>
        <v>0</v>
      </c>
    </row>
    <row r="36" spans="1:22" x14ac:dyDescent="0.25">
      <c r="A36" s="99"/>
      <c r="B36" s="100"/>
      <c r="C36" s="2" t="s">
        <v>48</v>
      </c>
      <c r="D36" s="44" t="s">
        <v>86</v>
      </c>
      <c r="E36" s="4">
        <v>0</v>
      </c>
      <c r="F36" s="12">
        <v>0</v>
      </c>
      <c r="G36" s="8">
        <v>0</v>
      </c>
      <c r="H36" s="15">
        <v>0</v>
      </c>
      <c r="I36" s="8">
        <v>1</v>
      </c>
      <c r="J36" s="12">
        <f>N36</f>
        <v>2867.4295499999998</v>
      </c>
      <c r="K36" s="47">
        <v>1</v>
      </c>
      <c r="L36" s="8" t="s">
        <v>146</v>
      </c>
      <c r="M36" s="10">
        <v>2867.4295499999998</v>
      </c>
      <c r="N36" s="37">
        <f t="shared" si="20"/>
        <v>2867.4295499999998</v>
      </c>
      <c r="P36" s="12">
        <f t="shared" si="9"/>
        <v>2867.4295499999998</v>
      </c>
      <c r="T36" s="12">
        <f t="shared" si="7"/>
        <v>0</v>
      </c>
      <c r="V36" s="9">
        <f t="shared" si="3"/>
        <v>0</v>
      </c>
    </row>
    <row r="37" spans="1:22" x14ac:dyDescent="0.25">
      <c r="A37" s="96"/>
      <c r="B37" s="98"/>
      <c r="C37" s="49" t="s">
        <v>49</v>
      </c>
      <c r="D37" s="50" t="s">
        <v>87</v>
      </c>
      <c r="E37" s="51">
        <v>0</v>
      </c>
      <c r="F37" s="52">
        <v>0</v>
      </c>
      <c r="G37" s="53">
        <v>0</v>
      </c>
      <c r="H37" s="54">
        <v>0</v>
      </c>
      <c r="I37" s="53">
        <v>1</v>
      </c>
      <c r="J37" s="52">
        <f>N37</f>
        <v>4902.5636599999998</v>
      </c>
      <c r="K37" s="55">
        <v>1</v>
      </c>
      <c r="L37" s="53" t="s">
        <v>146</v>
      </c>
      <c r="M37" s="56">
        <v>4902.5636599999998</v>
      </c>
      <c r="N37" s="57">
        <f t="shared" si="20"/>
        <v>4902.5636599999998</v>
      </c>
      <c r="P37" s="12">
        <f t="shared" si="9"/>
        <v>4902.5636599999998</v>
      </c>
      <c r="T37" s="12">
        <f t="shared" si="7"/>
        <v>0</v>
      </c>
      <c r="V37" s="9">
        <f t="shared" si="3"/>
        <v>0</v>
      </c>
    </row>
    <row r="38" spans="1:22" x14ac:dyDescent="0.25">
      <c r="A38" s="95" t="s">
        <v>94</v>
      </c>
      <c r="B38" s="97" t="s">
        <v>104</v>
      </c>
      <c r="C38" s="58" t="s">
        <v>50</v>
      </c>
      <c r="D38" s="59" t="s">
        <v>89</v>
      </c>
      <c r="E38" s="60">
        <v>7</v>
      </c>
      <c r="F38" s="12">
        <f>E38*M38</f>
        <v>3500</v>
      </c>
      <c r="G38" s="62">
        <v>11</v>
      </c>
      <c r="H38" s="65">
        <f>G38*M38</f>
        <v>5500</v>
      </c>
      <c r="I38" s="62">
        <v>7</v>
      </c>
      <c r="J38" s="12">
        <f>I38*M38</f>
        <v>3500</v>
      </c>
      <c r="K38" s="64">
        <v>25</v>
      </c>
      <c r="L38" s="62" t="s">
        <v>143</v>
      </c>
      <c r="M38" s="65">
        <v>500</v>
      </c>
      <c r="N38" s="66">
        <f t="shared" si="20"/>
        <v>12500</v>
      </c>
      <c r="P38" s="12">
        <f t="shared" si="9"/>
        <v>12500</v>
      </c>
      <c r="T38" s="12">
        <f t="shared" si="7"/>
        <v>0</v>
      </c>
      <c r="V38" s="9">
        <f t="shared" si="3"/>
        <v>0</v>
      </c>
    </row>
    <row r="39" spans="1:22" x14ac:dyDescent="0.25">
      <c r="A39" s="99"/>
      <c r="B39" s="100"/>
      <c r="C39" s="2" t="s">
        <v>51</v>
      </c>
      <c r="D39" s="44" t="s">
        <v>90</v>
      </c>
      <c r="E39" s="4">
        <v>278</v>
      </c>
      <c r="F39" s="12">
        <f>E39*M39</f>
        <v>19413.384959999999</v>
      </c>
      <c r="G39" s="8">
        <v>278</v>
      </c>
      <c r="H39" s="15">
        <f>G39*M39</f>
        <v>19413.384959999999</v>
      </c>
      <c r="I39" s="8">
        <v>694</v>
      </c>
      <c r="J39" s="12">
        <f>I39*M39</f>
        <v>48463.630079999995</v>
      </c>
      <c r="K39" s="47">
        <v>1250</v>
      </c>
      <c r="L39" s="8" t="s">
        <v>143</v>
      </c>
      <c r="M39" s="10">
        <v>69.832319999999996</v>
      </c>
      <c r="N39" s="37">
        <f t="shared" si="20"/>
        <v>87290.4</v>
      </c>
      <c r="P39" s="12">
        <f t="shared" si="9"/>
        <v>87290.4</v>
      </c>
      <c r="T39" s="12">
        <f t="shared" si="7"/>
        <v>0</v>
      </c>
      <c r="V39" s="9">
        <f t="shared" si="3"/>
        <v>0</v>
      </c>
    </row>
    <row r="40" spans="1:22" x14ac:dyDescent="0.25">
      <c r="A40" s="99"/>
      <c r="B40" s="100"/>
      <c r="C40" s="2" t="s">
        <v>52</v>
      </c>
      <c r="D40" s="44" t="s">
        <v>91</v>
      </c>
      <c r="E40" s="4">
        <v>53</v>
      </c>
      <c r="F40" s="12">
        <f>E40*M40</f>
        <v>215.64851999999999</v>
      </c>
      <c r="G40" s="8">
        <v>53</v>
      </c>
      <c r="H40" s="15">
        <f>G40*M40</f>
        <v>215.64851999999999</v>
      </c>
      <c r="I40" s="8">
        <v>134</v>
      </c>
      <c r="J40" s="12">
        <f>I40*M40</f>
        <v>545.22456</v>
      </c>
      <c r="K40" s="47">
        <v>240</v>
      </c>
      <c r="L40" s="8" t="s">
        <v>153</v>
      </c>
      <c r="M40" s="10">
        <v>4.0688399999999998</v>
      </c>
      <c r="N40" s="37">
        <f t="shared" si="20"/>
        <v>976.52159999999992</v>
      </c>
      <c r="P40" s="12">
        <f t="shared" si="9"/>
        <v>976.52160000000003</v>
      </c>
      <c r="T40" s="12">
        <f t="shared" si="7"/>
        <v>0</v>
      </c>
      <c r="V40" s="9">
        <f t="shared" si="3"/>
        <v>0</v>
      </c>
    </row>
    <row r="41" spans="1:22" x14ac:dyDescent="0.25">
      <c r="A41" s="99"/>
      <c r="B41" s="100"/>
      <c r="C41" s="2" t="s">
        <v>53</v>
      </c>
      <c r="D41" s="44" t="s">
        <v>92</v>
      </c>
      <c r="E41" s="4">
        <v>50</v>
      </c>
      <c r="F41" s="12">
        <f t="shared" ref="F41:F42" si="21">E41*M41</f>
        <v>15000</v>
      </c>
      <c r="G41" s="8">
        <v>50</v>
      </c>
      <c r="H41" s="15">
        <f t="shared" ref="H41:H42" si="22">G41*M41</f>
        <v>15000</v>
      </c>
      <c r="I41" s="8">
        <v>125</v>
      </c>
      <c r="J41" s="12">
        <f t="shared" ref="J41:J42" si="23">I41*M41</f>
        <v>37500</v>
      </c>
      <c r="K41" s="47">
        <v>225</v>
      </c>
      <c r="L41" s="8" t="s">
        <v>143</v>
      </c>
      <c r="M41" s="10">
        <v>300</v>
      </c>
      <c r="N41" s="37">
        <f t="shared" si="20"/>
        <v>67500</v>
      </c>
      <c r="P41" s="12">
        <f t="shared" si="9"/>
        <v>67500</v>
      </c>
      <c r="T41" s="12">
        <f t="shared" si="7"/>
        <v>0</v>
      </c>
      <c r="V41" s="9">
        <f t="shared" si="3"/>
        <v>0</v>
      </c>
    </row>
    <row r="42" spans="1:22" x14ac:dyDescent="0.25">
      <c r="A42" s="96"/>
      <c r="B42" s="98"/>
      <c r="C42" s="49" t="s">
        <v>54</v>
      </c>
      <c r="D42" s="50" t="s">
        <v>93</v>
      </c>
      <c r="E42" s="51">
        <v>84</v>
      </c>
      <c r="F42" s="12">
        <f t="shared" si="21"/>
        <v>25200</v>
      </c>
      <c r="G42" s="53">
        <v>84</v>
      </c>
      <c r="H42" s="15">
        <f t="shared" si="22"/>
        <v>25200</v>
      </c>
      <c r="I42" s="53">
        <v>207</v>
      </c>
      <c r="J42" s="12">
        <f t="shared" si="23"/>
        <v>62100</v>
      </c>
      <c r="K42" s="55">
        <v>375</v>
      </c>
      <c r="L42" s="53" t="s">
        <v>143</v>
      </c>
      <c r="M42" s="56">
        <v>300</v>
      </c>
      <c r="N42" s="57">
        <f t="shared" si="20"/>
        <v>112500</v>
      </c>
      <c r="P42" s="12">
        <f t="shared" si="9"/>
        <v>112500</v>
      </c>
      <c r="T42" s="12">
        <f t="shared" si="7"/>
        <v>0</v>
      </c>
      <c r="V42" s="9">
        <f t="shared" si="3"/>
        <v>0</v>
      </c>
    </row>
    <row r="43" spans="1:22" x14ac:dyDescent="0.25">
      <c r="A43" s="95" t="s">
        <v>110</v>
      </c>
      <c r="B43" s="101" t="s">
        <v>178</v>
      </c>
      <c r="C43" s="58" t="s">
        <v>55</v>
      </c>
      <c r="D43" s="59" t="s">
        <v>95</v>
      </c>
      <c r="E43" s="68" t="s">
        <v>140</v>
      </c>
      <c r="F43" s="61">
        <f>M43*0.25</f>
        <v>2500</v>
      </c>
      <c r="G43" s="69" t="s">
        <v>140</v>
      </c>
      <c r="H43" s="63">
        <f>M43*0.5</f>
        <v>5000</v>
      </c>
      <c r="I43" s="69" t="s">
        <v>140</v>
      </c>
      <c r="J43" s="61">
        <f>M43*0.25</f>
        <v>2500</v>
      </c>
      <c r="K43" s="64">
        <v>1</v>
      </c>
      <c r="L43" s="62" t="s">
        <v>140</v>
      </c>
      <c r="M43" s="65">
        <v>10000</v>
      </c>
      <c r="N43" s="66">
        <f t="shared" si="20"/>
        <v>10000</v>
      </c>
      <c r="P43" s="12">
        <f t="shared" si="9"/>
        <v>10000</v>
      </c>
      <c r="T43" s="12">
        <f t="shared" si="7"/>
        <v>0</v>
      </c>
      <c r="V43" s="9" t="e">
        <f t="shared" si="3"/>
        <v>#VALUE!</v>
      </c>
    </row>
    <row r="44" spans="1:22" x14ac:dyDescent="0.25">
      <c r="A44" s="96"/>
      <c r="B44" s="102"/>
      <c r="C44" s="49" t="s">
        <v>56</v>
      </c>
      <c r="D44" s="50" t="s">
        <v>96</v>
      </c>
      <c r="E44" s="70" t="s">
        <v>140</v>
      </c>
      <c r="F44" s="52">
        <f>M44*0.25</f>
        <v>5000</v>
      </c>
      <c r="G44" s="71" t="s">
        <v>140</v>
      </c>
      <c r="H44" s="54">
        <f>M44*0.25</f>
        <v>5000</v>
      </c>
      <c r="I44" s="71" t="s">
        <v>140</v>
      </c>
      <c r="J44" s="52">
        <f>N44*$S$6</f>
        <v>10000</v>
      </c>
      <c r="K44" s="55">
        <v>1</v>
      </c>
      <c r="L44" s="53" t="s">
        <v>140</v>
      </c>
      <c r="M44" s="56">
        <v>20000</v>
      </c>
      <c r="N44" s="57">
        <f t="shared" si="20"/>
        <v>20000</v>
      </c>
      <c r="P44" s="12">
        <f t="shared" si="9"/>
        <v>20000</v>
      </c>
      <c r="T44" s="12">
        <f t="shared" si="7"/>
        <v>0</v>
      </c>
      <c r="V44" s="9" t="e">
        <f t="shared" si="3"/>
        <v>#VALUE!</v>
      </c>
    </row>
    <row r="45" spans="1:22" x14ac:dyDescent="0.25">
      <c r="A45" s="95" t="s">
        <v>107</v>
      </c>
      <c r="B45" s="97" t="s">
        <v>179</v>
      </c>
      <c r="C45" s="58" t="s">
        <v>57</v>
      </c>
      <c r="D45" s="59" t="s">
        <v>97</v>
      </c>
      <c r="E45" s="68" t="s">
        <v>140</v>
      </c>
      <c r="F45" s="61">
        <f>N45</f>
        <v>20000</v>
      </c>
      <c r="G45" s="69">
        <v>0</v>
      </c>
      <c r="H45" s="63">
        <v>0</v>
      </c>
      <c r="I45" s="69">
        <v>0</v>
      </c>
      <c r="J45" s="61">
        <v>0</v>
      </c>
      <c r="K45" s="64">
        <v>1</v>
      </c>
      <c r="L45" s="62" t="s">
        <v>140</v>
      </c>
      <c r="M45" s="65">
        <v>20000</v>
      </c>
      <c r="N45" s="66">
        <f t="shared" si="20"/>
        <v>20000</v>
      </c>
      <c r="P45" s="12">
        <f t="shared" si="9"/>
        <v>20000</v>
      </c>
      <c r="T45" s="12">
        <f t="shared" si="7"/>
        <v>0</v>
      </c>
      <c r="V45" s="9" t="e">
        <f t="shared" si="3"/>
        <v>#VALUE!</v>
      </c>
    </row>
    <row r="46" spans="1:22" x14ac:dyDescent="0.25">
      <c r="A46" s="96"/>
      <c r="B46" s="98"/>
      <c r="C46" s="49" t="s">
        <v>58</v>
      </c>
      <c r="D46" s="50" t="s">
        <v>98</v>
      </c>
      <c r="E46" s="70">
        <v>0</v>
      </c>
      <c r="F46" s="52">
        <v>0</v>
      </c>
      <c r="G46" s="71" t="s">
        <v>140</v>
      </c>
      <c r="H46" s="54">
        <f>N46</f>
        <v>50000</v>
      </c>
      <c r="I46" s="71">
        <v>0</v>
      </c>
      <c r="J46" s="52">
        <v>0</v>
      </c>
      <c r="K46" s="55">
        <v>1</v>
      </c>
      <c r="L46" s="53" t="s">
        <v>140</v>
      </c>
      <c r="M46" s="56">
        <v>50000</v>
      </c>
      <c r="N46" s="57">
        <f t="shared" si="20"/>
        <v>50000</v>
      </c>
      <c r="P46" s="12">
        <f t="shared" si="9"/>
        <v>50000</v>
      </c>
      <c r="T46" s="12">
        <f t="shared" si="7"/>
        <v>0</v>
      </c>
      <c r="V46" s="9" t="e">
        <f t="shared" si="3"/>
        <v>#VALUE!</v>
      </c>
    </row>
    <row r="47" spans="1:22" x14ac:dyDescent="0.25">
      <c r="A47" s="72" t="s">
        <v>109</v>
      </c>
      <c r="B47" s="92" t="s">
        <v>108</v>
      </c>
      <c r="C47" s="72" t="s">
        <v>59</v>
      </c>
      <c r="D47" s="73" t="s">
        <v>99</v>
      </c>
      <c r="E47" s="74">
        <v>0</v>
      </c>
      <c r="F47" s="75">
        <v>0</v>
      </c>
      <c r="G47" s="76">
        <v>0</v>
      </c>
      <c r="H47" s="77">
        <v>0</v>
      </c>
      <c r="I47" s="76">
        <v>350</v>
      </c>
      <c r="J47" s="75">
        <f>N47</f>
        <v>122500</v>
      </c>
      <c r="K47" s="78">
        <v>350</v>
      </c>
      <c r="L47" s="79" t="s">
        <v>146</v>
      </c>
      <c r="M47" s="80">
        <v>350</v>
      </c>
      <c r="N47" s="81">
        <f t="shared" si="20"/>
        <v>122500</v>
      </c>
      <c r="P47" s="12">
        <f t="shared" si="9"/>
        <v>122500</v>
      </c>
      <c r="T47" s="12">
        <f t="shared" si="7"/>
        <v>0</v>
      </c>
      <c r="V47" s="9">
        <f t="shared" si="3"/>
        <v>0</v>
      </c>
    </row>
    <row r="48" spans="1:22" x14ac:dyDescent="0.25">
      <c r="A48" s="82" t="s">
        <v>111</v>
      </c>
      <c r="B48" s="93" t="s">
        <v>112</v>
      </c>
      <c r="C48" s="72" t="s">
        <v>60</v>
      </c>
      <c r="D48" s="83" t="s">
        <v>100</v>
      </c>
      <c r="E48" s="84">
        <v>0</v>
      </c>
      <c r="F48" s="75">
        <v>0</v>
      </c>
      <c r="G48" s="76" t="s">
        <v>140</v>
      </c>
      <c r="H48" s="77">
        <v>400000</v>
      </c>
      <c r="I48" s="76">
        <v>0</v>
      </c>
      <c r="J48" s="75">
        <v>0</v>
      </c>
      <c r="K48" s="78">
        <v>1</v>
      </c>
      <c r="L48" s="79" t="s">
        <v>140</v>
      </c>
      <c r="M48" s="80">
        <v>400000</v>
      </c>
      <c r="N48" s="81">
        <f t="shared" si="20"/>
        <v>400000</v>
      </c>
      <c r="P48" s="12">
        <f t="shared" si="9"/>
        <v>400000</v>
      </c>
      <c r="T48" s="12">
        <f t="shared" si="7"/>
        <v>0</v>
      </c>
      <c r="V48" s="9" t="e">
        <f t="shared" si="3"/>
        <v>#VALUE!</v>
      </c>
    </row>
    <row r="49" spans="1:22" x14ac:dyDescent="0.25">
      <c r="A49" s="82" t="s">
        <v>113</v>
      </c>
      <c r="B49" s="93" t="s">
        <v>114</v>
      </c>
      <c r="C49" s="72" t="s">
        <v>66</v>
      </c>
      <c r="D49" s="83" t="s">
        <v>115</v>
      </c>
      <c r="E49" s="84">
        <v>0</v>
      </c>
      <c r="F49" s="75">
        <v>0</v>
      </c>
      <c r="G49" s="76">
        <v>0</v>
      </c>
      <c r="H49" s="77">
        <v>0</v>
      </c>
      <c r="I49" s="76" t="s">
        <v>140</v>
      </c>
      <c r="J49" s="75">
        <f>N49</f>
        <v>150000</v>
      </c>
      <c r="K49" s="78">
        <v>1</v>
      </c>
      <c r="L49" s="79" t="s">
        <v>140</v>
      </c>
      <c r="M49" s="80">
        <v>150000</v>
      </c>
      <c r="N49" s="81">
        <f t="shared" si="20"/>
        <v>150000</v>
      </c>
      <c r="P49" s="12">
        <f t="shared" si="9"/>
        <v>150000</v>
      </c>
      <c r="T49" s="12">
        <f t="shared" si="7"/>
        <v>0</v>
      </c>
      <c r="V49" s="9" t="e">
        <f t="shared" si="3"/>
        <v>#VALUE!</v>
      </c>
    </row>
    <row r="50" spans="1:22" x14ac:dyDescent="0.25">
      <c r="A50" s="3" t="s">
        <v>116</v>
      </c>
      <c r="B50" s="94" t="s">
        <v>117</v>
      </c>
      <c r="C50" s="72" t="s">
        <v>67</v>
      </c>
      <c r="D50" s="83" t="s">
        <v>118</v>
      </c>
      <c r="E50" s="84" t="s">
        <v>140</v>
      </c>
      <c r="F50" s="75">
        <f>N50/3</f>
        <v>33333.333333333336</v>
      </c>
      <c r="G50" s="76" t="s">
        <v>140</v>
      </c>
      <c r="H50" s="77">
        <v>33333.333333333336</v>
      </c>
      <c r="I50" s="76" t="s">
        <v>140</v>
      </c>
      <c r="J50" s="75">
        <v>33333.333333333336</v>
      </c>
      <c r="K50" s="78">
        <v>1</v>
      </c>
      <c r="L50" s="79" t="s">
        <v>140</v>
      </c>
      <c r="M50" s="80">
        <v>100000</v>
      </c>
      <c r="N50" s="81">
        <f t="shared" si="20"/>
        <v>100000</v>
      </c>
      <c r="P50" s="12">
        <f t="shared" si="9"/>
        <v>100000</v>
      </c>
      <c r="T50" s="12">
        <f t="shared" si="7"/>
        <v>0</v>
      </c>
      <c r="V50" s="9" t="e">
        <f t="shared" si="3"/>
        <v>#VALUE!</v>
      </c>
    </row>
    <row r="51" spans="1:22" x14ac:dyDescent="0.25">
      <c r="A51" s="157" t="s">
        <v>119</v>
      </c>
      <c r="B51" s="155" t="s">
        <v>120</v>
      </c>
      <c r="C51" s="2" t="s">
        <v>61</v>
      </c>
      <c r="D51" s="44" t="s">
        <v>122</v>
      </c>
      <c r="E51" s="43" t="s">
        <v>140</v>
      </c>
      <c r="F51" s="12">
        <f>M51*0.33</f>
        <v>16500</v>
      </c>
      <c r="G51" s="41" t="s">
        <v>140</v>
      </c>
      <c r="H51" s="15">
        <f>M51*0.34</f>
        <v>17000</v>
      </c>
      <c r="I51" s="41" t="s">
        <v>140</v>
      </c>
      <c r="J51" s="12">
        <f>M51*0.33</f>
        <v>16500</v>
      </c>
      <c r="K51" s="47">
        <v>1</v>
      </c>
      <c r="L51" s="8" t="s">
        <v>140</v>
      </c>
      <c r="M51" s="10">
        <v>50000</v>
      </c>
      <c r="N51" s="37">
        <f t="shared" si="20"/>
        <v>50000</v>
      </c>
      <c r="P51" s="12">
        <f t="shared" si="9"/>
        <v>50000</v>
      </c>
      <c r="T51" s="12">
        <f t="shared" si="7"/>
        <v>0</v>
      </c>
      <c r="V51" s="9" t="e">
        <f t="shared" si="3"/>
        <v>#VALUE!</v>
      </c>
    </row>
    <row r="52" spans="1:22" x14ac:dyDescent="0.25">
      <c r="A52" s="157"/>
      <c r="B52" s="156"/>
      <c r="C52" s="2" t="s">
        <v>62</v>
      </c>
      <c r="D52" s="44" t="s">
        <v>121</v>
      </c>
      <c r="E52" s="43" t="s">
        <v>140</v>
      </c>
      <c r="F52" s="12">
        <v>9000</v>
      </c>
      <c r="G52" s="41" t="s">
        <v>140</v>
      </c>
      <c r="H52" s="15">
        <v>9000</v>
      </c>
      <c r="I52" s="41" t="s">
        <v>140</v>
      </c>
      <c r="J52" s="12">
        <f t="shared" ref="J52:J54" si="24">N52*$S$6</f>
        <v>18000</v>
      </c>
      <c r="K52" s="47">
        <v>18</v>
      </c>
      <c r="L52" s="8" t="s">
        <v>154</v>
      </c>
      <c r="M52" s="10">
        <v>2000</v>
      </c>
      <c r="N52" s="37">
        <f t="shared" si="20"/>
        <v>36000</v>
      </c>
      <c r="P52" s="12">
        <f t="shared" si="9"/>
        <v>36000</v>
      </c>
      <c r="T52" s="12">
        <f t="shared" si="7"/>
        <v>0</v>
      </c>
      <c r="V52" s="9" t="e">
        <f t="shared" si="3"/>
        <v>#VALUE!</v>
      </c>
    </row>
    <row r="53" spans="1:22" x14ac:dyDescent="0.25">
      <c r="A53" s="157"/>
      <c r="B53" s="156"/>
      <c r="C53" s="2" t="s">
        <v>63</v>
      </c>
      <c r="D53" s="44" t="s">
        <v>181</v>
      </c>
      <c r="E53" s="43" t="s">
        <v>140</v>
      </c>
      <c r="F53" s="12">
        <v>2500</v>
      </c>
      <c r="G53" s="41" t="s">
        <v>140</v>
      </c>
      <c r="H53" s="15">
        <v>2500</v>
      </c>
      <c r="I53" s="41" t="s">
        <v>140</v>
      </c>
      <c r="J53" s="12">
        <f t="shared" si="24"/>
        <v>5000</v>
      </c>
      <c r="K53" s="47">
        <v>1</v>
      </c>
      <c r="L53" s="8" t="s">
        <v>140</v>
      </c>
      <c r="M53" s="10">
        <v>10000</v>
      </c>
      <c r="N53" s="37">
        <f t="shared" si="20"/>
        <v>10000</v>
      </c>
      <c r="P53" s="12">
        <f t="shared" si="9"/>
        <v>10000</v>
      </c>
      <c r="T53" s="12">
        <f t="shared" si="7"/>
        <v>0</v>
      </c>
      <c r="V53" s="9" t="e">
        <f t="shared" si="3"/>
        <v>#VALUE!</v>
      </c>
    </row>
    <row r="54" spans="1:22" x14ac:dyDescent="0.25">
      <c r="A54" s="157"/>
      <c r="B54" s="156"/>
      <c r="C54" s="2" t="s">
        <v>64</v>
      </c>
      <c r="D54" s="44" t="s">
        <v>124</v>
      </c>
      <c r="E54" s="43" t="s">
        <v>140</v>
      </c>
      <c r="F54" s="12">
        <f>M54*0.25</f>
        <v>25000</v>
      </c>
      <c r="G54" s="41" t="s">
        <v>140</v>
      </c>
      <c r="H54" s="15">
        <f>M54*0.25</f>
        <v>25000</v>
      </c>
      <c r="I54" s="41" t="s">
        <v>140</v>
      </c>
      <c r="J54" s="12">
        <f t="shared" si="24"/>
        <v>50000</v>
      </c>
      <c r="K54" s="47">
        <v>1</v>
      </c>
      <c r="L54" s="8" t="s">
        <v>140</v>
      </c>
      <c r="M54" s="10">
        <v>100000</v>
      </c>
      <c r="N54" s="37">
        <f t="shared" si="20"/>
        <v>100000</v>
      </c>
      <c r="P54" s="12">
        <f t="shared" si="9"/>
        <v>100000</v>
      </c>
      <c r="T54" s="12">
        <f t="shared" si="7"/>
        <v>0</v>
      </c>
      <c r="V54" s="9" t="e">
        <f t="shared" si="3"/>
        <v>#VALUE!</v>
      </c>
    </row>
    <row r="55" spans="1:22" x14ac:dyDescent="0.25">
      <c r="A55" s="157"/>
      <c r="B55" s="156"/>
      <c r="C55" s="2" t="s">
        <v>65</v>
      </c>
      <c r="D55" s="44" t="s">
        <v>182</v>
      </c>
      <c r="E55" s="43" t="s">
        <v>140</v>
      </c>
      <c r="F55" s="12">
        <v>80000</v>
      </c>
      <c r="G55" s="41" t="s">
        <v>140</v>
      </c>
      <c r="H55" s="12">
        <v>245000</v>
      </c>
      <c r="I55" s="41" t="s">
        <v>140</v>
      </c>
      <c r="J55" s="12">
        <v>245000</v>
      </c>
      <c r="K55" s="47">
        <v>1</v>
      </c>
      <c r="L55" s="8" t="s">
        <v>140</v>
      </c>
      <c r="M55" s="10">
        <v>570000</v>
      </c>
      <c r="N55" s="37">
        <f t="shared" si="20"/>
        <v>570000</v>
      </c>
      <c r="P55" s="12">
        <f t="shared" si="9"/>
        <v>570000</v>
      </c>
      <c r="T55" s="12">
        <f t="shared" si="7"/>
        <v>0</v>
      </c>
      <c r="V55" s="9" t="e">
        <f t="shared" si="3"/>
        <v>#VALUE!</v>
      </c>
    </row>
    <row r="56" spans="1:22" ht="15.75" thickBot="1" x14ac:dyDescent="0.3">
      <c r="A56" s="157"/>
      <c r="B56" s="156"/>
      <c r="C56" s="2"/>
      <c r="D56" s="44" t="s">
        <v>176</v>
      </c>
      <c r="E56" s="38" t="s">
        <v>140</v>
      </c>
      <c r="F56" s="13">
        <f>SUM(F6:F55)*0.2128</f>
        <v>77470.904811948916</v>
      </c>
      <c r="G56" s="42" t="s">
        <v>140</v>
      </c>
      <c r="H56" s="14">
        <f>SUM(H6:H55)*0.2128</f>
        <v>235028.04169478486</v>
      </c>
      <c r="I56" s="42" t="s">
        <v>140</v>
      </c>
      <c r="J56" s="13">
        <f>SUM(J6:J55)*0.2128</f>
        <v>221330.02130789822</v>
      </c>
      <c r="K56" s="152"/>
      <c r="L56" s="153"/>
      <c r="M56" s="154"/>
      <c r="N56" s="39">
        <f>SUM(N6:N55)*0.2128</f>
        <v>533828.96781463199</v>
      </c>
      <c r="P56" s="12">
        <f t="shared" si="9"/>
        <v>533828.96781463199</v>
      </c>
      <c r="T56" s="12">
        <f t="shared" si="7"/>
        <v>0</v>
      </c>
      <c r="V56" s="9">
        <f>N56-F56-H56-J56</f>
        <v>0</v>
      </c>
    </row>
    <row r="57" spans="1:22" x14ac:dyDescent="0.25">
      <c r="A57" s="3"/>
      <c r="B57" s="158" t="s">
        <v>175</v>
      </c>
      <c r="C57" s="159"/>
      <c r="D57" s="160"/>
      <c r="E57" s="126" t="s">
        <v>2</v>
      </c>
      <c r="F57" s="126"/>
      <c r="G57" s="128" t="s">
        <v>3</v>
      </c>
      <c r="H57" s="129"/>
      <c r="I57" s="126" t="s">
        <v>4</v>
      </c>
      <c r="J57" s="129"/>
      <c r="K57" s="143" t="s">
        <v>177</v>
      </c>
      <c r="L57" s="144"/>
      <c r="M57" s="145"/>
      <c r="N57" s="140">
        <f>SUM(N6:N56)</f>
        <v>3042423.7413796317</v>
      </c>
      <c r="V57" s="9" t="e">
        <f t="shared" si="3"/>
        <v>#VALUE!</v>
      </c>
    </row>
    <row r="58" spans="1:22" x14ac:dyDescent="0.25">
      <c r="A58" s="3"/>
      <c r="B58" s="161"/>
      <c r="C58" s="162"/>
      <c r="D58" s="163"/>
      <c r="E58" s="127"/>
      <c r="F58" s="127"/>
      <c r="G58" s="130"/>
      <c r="H58" s="131"/>
      <c r="I58" s="127"/>
      <c r="J58" s="131"/>
      <c r="K58" s="146"/>
      <c r="L58" s="147"/>
      <c r="M58" s="148"/>
      <c r="N58" s="141"/>
    </row>
    <row r="59" spans="1:22" ht="30.75" customHeight="1" thickBot="1" x14ac:dyDescent="0.3">
      <c r="A59" s="2"/>
      <c r="B59" s="164"/>
      <c r="C59" s="165"/>
      <c r="D59" s="166"/>
      <c r="E59" s="132">
        <f>SUM(F6:F56)</f>
        <v>441525.90862749831</v>
      </c>
      <c r="F59" s="133"/>
      <c r="G59" s="134">
        <f>SUM(H6:H56)</f>
        <v>1339483.1248469693</v>
      </c>
      <c r="H59" s="133"/>
      <c r="I59" s="134">
        <f>SUM(J6:J56)</f>
        <v>1261414.7079051645</v>
      </c>
      <c r="J59" s="133"/>
      <c r="K59" s="149"/>
      <c r="L59" s="150"/>
      <c r="M59" s="151"/>
      <c r="N59" s="142"/>
      <c r="V59" s="12">
        <f>N57-E59-G59-I59</f>
        <v>0</v>
      </c>
    </row>
    <row r="60" spans="1:22" x14ac:dyDescent="0.25">
      <c r="A60" s="2"/>
      <c r="K60" s="33"/>
    </row>
    <row r="61" spans="1:22" x14ac:dyDescent="0.25">
      <c r="A61" s="2"/>
    </row>
    <row r="62" spans="1:22" x14ac:dyDescent="0.25">
      <c r="A62" s="2"/>
    </row>
    <row r="63" spans="1:22" x14ac:dyDescent="0.25">
      <c r="A63" s="2"/>
    </row>
    <row r="64" spans="1:22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</sheetData>
  <mergeCells count="36">
    <mergeCell ref="N57:N59"/>
    <mergeCell ref="K57:M59"/>
    <mergeCell ref="K56:M56"/>
    <mergeCell ref="B51:B56"/>
    <mergeCell ref="A51:A56"/>
    <mergeCell ref="B57:D59"/>
    <mergeCell ref="E57:F58"/>
    <mergeCell ref="G57:H58"/>
    <mergeCell ref="I57:J58"/>
    <mergeCell ref="E59:F59"/>
    <mergeCell ref="G59:H59"/>
    <mergeCell ref="I59:J59"/>
    <mergeCell ref="K3:K5"/>
    <mergeCell ref="L3:L5"/>
    <mergeCell ref="M3:M5"/>
    <mergeCell ref="N3:N5"/>
    <mergeCell ref="B1:N1"/>
    <mergeCell ref="B2:N2"/>
    <mergeCell ref="B3:B5"/>
    <mergeCell ref="E3:F4"/>
    <mergeCell ref="G3:H4"/>
    <mergeCell ref="I3:J4"/>
    <mergeCell ref="D3:D5"/>
    <mergeCell ref="A6:A17"/>
    <mergeCell ref="B6:B17"/>
    <mergeCell ref="A18:A30"/>
    <mergeCell ref="B18:B30"/>
    <mergeCell ref="C3:C4"/>
    <mergeCell ref="A45:A46"/>
    <mergeCell ref="B45:B46"/>
    <mergeCell ref="A31:A37"/>
    <mergeCell ref="B31:B37"/>
    <mergeCell ref="A38:A42"/>
    <mergeCell ref="B38:B42"/>
    <mergeCell ref="A43:A44"/>
    <mergeCell ref="B43:B44"/>
  </mergeCells>
  <pageMargins left="0.7" right="0.7" top="0.75" bottom="0.75" header="0.3" footer="0.3"/>
  <pageSetup paperSize="3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2C2CE-2768-4EF9-A12B-A64A2E0EA2E1}">
  <dimension ref="A1:T135"/>
  <sheetViews>
    <sheetView tabSelected="1" workbookViewId="0">
      <selection activeCell="Q18" sqref="Q18"/>
    </sheetView>
  </sheetViews>
  <sheetFormatPr defaultRowHeight="15" x14ac:dyDescent="0.25"/>
  <cols>
    <col min="1" max="1" width="5" bestFit="1" customWidth="1"/>
    <col min="2" max="2" width="14" style="4" customWidth="1"/>
    <col min="4" max="4" width="59.28515625" style="4" bestFit="1" customWidth="1"/>
    <col min="5" max="5" width="20" style="12" bestFit="1" customWidth="1"/>
    <col min="6" max="6" width="18.7109375" style="12" bestFit="1" customWidth="1"/>
    <col min="7" max="7" width="11" style="15" bestFit="1" customWidth="1"/>
    <col min="8" max="8" width="9.140625" style="8"/>
    <col min="9" max="9" width="9.5703125" style="21" bestFit="1" customWidth="1"/>
    <col min="10" max="10" width="14.28515625" style="17" bestFit="1" customWidth="1"/>
    <col min="11" max="11" width="11.140625" style="8" bestFit="1" customWidth="1"/>
    <col min="13" max="13" width="11.85546875" bestFit="1" customWidth="1"/>
    <col min="16" max="16" width="11.7109375" bestFit="1" customWidth="1"/>
  </cols>
  <sheetData>
    <row r="1" spans="1:20" x14ac:dyDescent="0.25">
      <c r="A1" s="167" t="s">
        <v>33</v>
      </c>
      <c r="B1" s="172"/>
      <c r="C1" s="167" t="s">
        <v>1</v>
      </c>
      <c r="D1" s="172" t="s">
        <v>0</v>
      </c>
      <c r="E1" s="169" t="s">
        <v>5</v>
      </c>
      <c r="F1" s="170"/>
      <c r="G1" s="171"/>
      <c r="H1" s="174" t="s">
        <v>6</v>
      </c>
      <c r="I1" s="178" t="s">
        <v>5</v>
      </c>
      <c r="J1" s="176" t="s">
        <v>7</v>
      </c>
      <c r="K1" s="174" t="s">
        <v>8</v>
      </c>
    </row>
    <row r="2" spans="1:20" ht="15.75" thickBot="1" x14ac:dyDescent="0.3">
      <c r="A2" s="168"/>
      <c r="B2" s="173"/>
      <c r="C2" s="168"/>
      <c r="D2" s="173"/>
      <c r="E2" s="13" t="s">
        <v>2</v>
      </c>
      <c r="F2" s="13" t="s">
        <v>3</v>
      </c>
      <c r="G2" s="14" t="s">
        <v>4</v>
      </c>
      <c r="H2" s="175"/>
      <c r="I2" s="179"/>
      <c r="J2" s="177"/>
      <c r="K2" s="175"/>
      <c r="M2" s="20"/>
      <c r="N2" s="13" t="s">
        <v>2</v>
      </c>
      <c r="O2" s="13" t="s">
        <v>3</v>
      </c>
      <c r="P2" s="14" t="s">
        <v>4</v>
      </c>
    </row>
    <row r="3" spans="1:20" ht="15" customHeight="1" x14ac:dyDescent="0.25">
      <c r="A3" s="103" t="s">
        <v>101</v>
      </c>
      <c r="B3" s="181" t="s">
        <v>102</v>
      </c>
      <c r="C3" s="2" t="s">
        <v>19</v>
      </c>
      <c r="D3" s="19" t="s">
        <v>9</v>
      </c>
      <c r="E3" s="12">
        <v>5000</v>
      </c>
      <c r="F3" s="12">
        <v>10000</v>
      </c>
      <c r="G3" s="12">
        <v>15000</v>
      </c>
      <c r="H3" s="8" t="s">
        <v>140</v>
      </c>
      <c r="I3" s="21">
        <v>1</v>
      </c>
      <c r="J3" s="17">
        <v>30000</v>
      </c>
      <c r="K3" s="10">
        <v>30000</v>
      </c>
      <c r="N3">
        <f>E3/$K3</f>
        <v>0.16666666666666666</v>
      </c>
      <c r="O3">
        <f>F3/$K3</f>
        <v>0.33333333333333331</v>
      </c>
      <c r="P3">
        <f>G3/$K3</f>
        <v>0.5</v>
      </c>
      <c r="R3" t="s">
        <v>133</v>
      </c>
      <c r="T3" t="s">
        <v>136</v>
      </c>
    </row>
    <row r="4" spans="1:20" x14ac:dyDescent="0.25">
      <c r="A4" s="104"/>
      <c r="B4" s="182"/>
      <c r="C4" s="2" t="s">
        <v>20</v>
      </c>
      <c r="D4" s="4" t="s">
        <v>10</v>
      </c>
      <c r="E4" s="12">
        <f>K4*'Calcs.'!M4</f>
        <v>10117.505916293489</v>
      </c>
      <c r="F4" s="12">
        <f>K4*'Calcs.'!N4</f>
        <v>38135.694083706505</v>
      </c>
      <c r="G4" s="12">
        <v>0</v>
      </c>
      <c r="H4" s="8" t="s">
        <v>141</v>
      </c>
      <c r="I4" s="21">
        <v>7750</v>
      </c>
      <c r="J4" s="17">
        <v>6.2262199999999996</v>
      </c>
      <c r="K4" s="10">
        <v>48253.2</v>
      </c>
      <c r="Q4">
        <v>1</v>
      </c>
      <c r="R4" t="s">
        <v>128</v>
      </c>
      <c r="S4" t="s">
        <v>127</v>
      </c>
    </row>
    <row r="5" spans="1:20" x14ac:dyDescent="0.25">
      <c r="A5" s="104"/>
      <c r="B5" s="182"/>
      <c r="C5" s="2" t="s">
        <v>21</v>
      </c>
      <c r="D5" s="4" t="s">
        <v>11</v>
      </c>
      <c r="E5" s="12">
        <f>K5*'Calcs.'!M5</f>
        <v>20451.892120955265</v>
      </c>
      <c r="F5" s="12">
        <f>K5*'Calcs.'!N5</f>
        <v>23928.970940917014</v>
      </c>
      <c r="G5" s="12">
        <f>K5*'Calcs.'!O5</f>
        <v>12853.226938127715</v>
      </c>
      <c r="H5" s="8" t="s">
        <v>143</v>
      </c>
      <c r="I5" s="21">
        <v>3000</v>
      </c>
      <c r="J5" s="17">
        <v>19.078029999999998</v>
      </c>
      <c r="K5" s="10">
        <v>57234.09</v>
      </c>
      <c r="L5" t="s">
        <v>148</v>
      </c>
      <c r="M5" t="s">
        <v>149</v>
      </c>
      <c r="R5" t="s">
        <v>129</v>
      </c>
      <c r="S5" t="s">
        <v>130</v>
      </c>
      <c r="T5">
        <f>939.45-40.13</f>
        <v>899.32</v>
      </c>
    </row>
    <row r="6" spans="1:20" x14ac:dyDescent="0.25">
      <c r="A6" s="104"/>
      <c r="B6" s="182"/>
      <c r="C6" s="2" t="s">
        <v>22</v>
      </c>
      <c r="D6" s="4" t="s">
        <v>12</v>
      </c>
      <c r="E6" s="12">
        <f>K6*'Calcs.'!M6</f>
        <v>2458.6380501289086</v>
      </c>
      <c r="F6" s="12">
        <f>K6*'Calcs.'!N6</f>
        <v>21919.464041850584</v>
      </c>
      <c r="G6" s="12">
        <f>K6*'Calcs.'!O6</f>
        <v>50621.897908020503</v>
      </c>
      <c r="H6" s="8" t="s">
        <v>143</v>
      </c>
      <c r="I6" s="21">
        <v>5000</v>
      </c>
      <c r="J6" s="17">
        <v>15</v>
      </c>
      <c r="K6" s="10">
        <v>75000</v>
      </c>
      <c r="L6" t="s">
        <v>147</v>
      </c>
      <c r="Q6">
        <v>2</v>
      </c>
      <c r="R6" t="s">
        <v>128</v>
      </c>
      <c r="S6" t="s">
        <v>131</v>
      </c>
    </row>
    <row r="7" spans="1:20" x14ac:dyDescent="0.25">
      <c r="A7" s="104"/>
      <c r="B7" s="182"/>
      <c r="C7" s="2" t="s">
        <v>23</v>
      </c>
      <c r="D7" s="4" t="s">
        <v>13</v>
      </c>
      <c r="E7" s="12">
        <f>K7*'Calcs.'!M7</f>
        <v>12723.100731588811</v>
      </c>
      <c r="F7" s="12">
        <f>K7*'Calcs.'!N7</f>
        <v>12721.776512112167</v>
      </c>
      <c r="G7" s="12">
        <f>K7*'Calcs.'!O7</f>
        <v>31789.212756299024</v>
      </c>
      <c r="H7" s="8" t="s">
        <v>144</v>
      </c>
      <c r="I7" s="21">
        <v>5400</v>
      </c>
      <c r="J7" s="17">
        <v>2.4673799999999999</v>
      </c>
      <c r="K7" s="10">
        <v>57234.09</v>
      </c>
      <c r="R7" t="s">
        <v>129</v>
      </c>
      <c r="S7" t="s">
        <v>132</v>
      </c>
      <c r="T7">
        <f>987.83</f>
        <v>987.83</v>
      </c>
    </row>
    <row r="8" spans="1:20" x14ac:dyDescent="0.25">
      <c r="A8" s="104"/>
      <c r="B8" s="182"/>
      <c r="C8" s="2" t="s">
        <v>24</v>
      </c>
      <c r="D8" s="4" t="s">
        <v>14</v>
      </c>
      <c r="E8" s="12">
        <v>0</v>
      </c>
      <c r="F8" s="12">
        <f>J8</f>
        <v>204.26132000000001</v>
      </c>
      <c r="G8" s="12">
        <f>J8</f>
        <v>204.26132000000001</v>
      </c>
      <c r="H8" s="8" t="s">
        <v>145</v>
      </c>
      <c r="I8" s="21">
        <v>2</v>
      </c>
      <c r="J8" s="17">
        <v>204.26132000000001</v>
      </c>
      <c r="K8" s="10">
        <v>408.52</v>
      </c>
      <c r="L8" s="16" t="s">
        <v>183</v>
      </c>
      <c r="M8" s="16" t="s">
        <v>139</v>
      </c>
      <c r="Q8">
        <v>3</v>
      </c>
      <c r="R8" t="s">
        <v>128</v>
      </c>
      <c r="S8" t="s">
        <v>134</v>
      </c>
    </row>
    <row r="9" spans="1:20" x14ac:dyDescent="0.25">
      <c r="A9" s="104"/>
      <c r="B9" s="182"/>
      <c r="C9" s="2" t="s">
        <v>25</v>
      </c>
      <c r="D9" s="4" t="s">
        <v>15</v>
      </c>
      <c r="E9" s="12">
        <v>0</v>
      </c>
      <c r="F9" s="12">
        <f>K9*'Calcs.'!N9</f>
        <v>38275.878794550328</v>
      </c>
      <c r="G9" s="12">
        <f>K9*'Calcs.'!O9</f>
        <v>9724.1212054496682</v>
      </c>
      <c r="H9" s="8" t="s">
        <v>137</v>
      </c>
      <c r="I9" s="21">
        <v>600</v>
      </c>
      <c r="J9" s="17">
        <v>80</v>
      </c>
      <c r="K9" s="10">
        <v>48000</v>
      </c>
      <c r="R9" t="s">
        <v>129</v>
      </c>
      <c r="S9" t="s">
        <v>135</v>
      </c>
      <c r="T9">
        <f>8920.13-7042.91</f>
        <v>1877.2199999999993</v>
      </c>
    </row>
    <row r="10" spans="1:20" x14ac:dyDescent="0.25">
      <c r="A10" s="104"/>
      <c r="B10" s="182"/>
      <c r="C10" s="2" t="s">
        <v>26</v>
      </c>
      <c r="D10" s="4" t="s">
        <v>16</v>
      </c>
      <c r="E10" s="12">
        <v>0</v>
      </c>
      <c r="F10" s="12">
        <f>K10</f>
        <v>3646.38</v>
      </c>
      <c r="G10" s="12">
        <v>0</v>
      </c>
      <c r="H10" s="8" t="s">
        <v>141</v>
      </c>
      <c r="I10" s="21">
        <v>200</v>
      </c>
      <c r="J10" s="17">
        <v>18.231919999999999</v>
      </c>
      <c r="K10" s="10">
        <v>3646.38</v>
      </c>
    </row>
    <row r="11" spans="1:20" x14ac:dyDescent="0.25">
      <c r="A11" s="104"/>
      <c r="B11" s="182"/>
      <c r="C11" s="2" t="s">
        <v>27</v>
      </c>
      <c r="D11" s="4" t="s">
        <v>17</v>
      </c>
      <c r="E11" s="12">
        <v>0</v>
      </c>
      <c r="F11" s="12">
        <f>K11</f>
        <v>2844.79</v>
      </c>
      <c r="G11" s="12">
        <v>0</v>
      </c>
      <c r="H11" s="8" t="s">
        <v>137</v>
      </c>
      <c r="I11" s="21">
        <v>18</v>
      </c>
      <c r="J11" s="17">
        <v>158.04363000000001</v>
      </c>
      <c r="K11" s="10">
        <v>2844.79</v>
      </c>
    </row>
    <row r="12" spans="1:20" x14ac:dyDescent="0.25">
      <c r="A12" s="104"/>
      <c r="B12" s="182"/>
      <c r="C12" s="2" t="s">
        <v>28</v>
      </c>
      <c r="D12" s="4" t="s">
        <v>18</v>
      </c>
      <c r="E12" s="12">
        <f>K12*'Calcs.'!M12</f>
        <v>25276.528473804101</v>
      </c>
      <c r="F12" s="12">
        <f>K12*'Calcs.'!N12</f>
        <v>47423.170842824598</v>
      </c>
      <c r="G12" s="12">
        <f>K12*'Calcs.'!O12</f>
        <v>22060.300683371297</v>
      </c>
      <c r="H12" s="8" t="s">
        <v>141</v>
      </c>
      <c r="I12" s="21">
        <v>4000</v>
      </c>
      <c r="J12" s="17">
        <v>23.69</v>
      </c>
      <c r="K12" s="10">
        <v>94760</v>
      </c>
    </row>
    <row r="13" spans="1:20" x14ac:dyDescent="0.25">
      <c r="A13" s="104"/>
      <c r="B13" s="182"/>
      <c r="C13" s="2" t="s">
        <v>29</v>
      </c>
      <c r="D13" s="4" t="s">
        <v>138</v>
      </c>
      <c r="E13" s="12">
        <f>K13*'Calcs.'!M13</f>
        <v>196.55777265364833</v>
      </c>
      <c r="F13" s="12">
        <f>K13*'Calcs.'!N13</f>
        <v>314.57063005555131</v>
      </c>
      <c r="G13" s="12">
        <f>K13*'Calcs.'!O13</f>
        <v>114.56159729080034</v>
      </c>
      <c r="H13" s="8" t="s">
        <v>137</v>
      </c>
      <c r="I13" s="21">
        <v>25</v>
      </c>
      <c r="J13" s="17">
        <v>25.027480000000001</v>
      </c>
      <c r="K13" s="10">
        <v>625.69000000000005</v>
      </c>
    </row>
    <row r="14" spans="1:20" x14ac:dyDescent="0.25">
      <c r="A14" s="104"/>
      <c r="B14" s="182"/>
      <c r="C14" s="2" t="s">
        <v>68</v>
      </c>
      <c r="D14" s="4" t="s">
        <v>32</v>
      </c>
      <c r="E14" s="12">
        <f>K14*'Calcs.'!M14</f>
        <v>2334.4891776039144</v>
      </c>
      <c r="F14" s="12">
        <f>K14*'Calcs.'!N14</f>
        <v>4048.3851882056119</v>
      </c>
      <c r="G14" s="12">
        <f>K14*'Calcs.'!O14</f>
        <v>1427.0856341904737</v>
      </c>
      <c r="H14" s="8" t="s">
        <v>137</v>
      </c>
      <c r="I14" s="21">
        <v>400</v>
      </c>
      <c r="J14" s="17">
        <v>19.524889999999999</v>
      </c>
      <c r="K14" s="10">
        <v>7809.96</v>
      </c>
    </row>
    <row r="15" spans="1:20" x14ac:dyDescent="0.25">
      <c r="A15" s="184" t="s">
        <v>40</v>
      </c>
      <c r="B15" s="182" t="s">
        <v>103</v>
      </c>
      <c r="C15" s="2" t="s">
        <v>30</v>
      </c>
      <c r="D15" s="4" t="s">
        <v>70</v>
      </c>
      <c r="E15" s="12">
        <v>0</v>
      </c>
      <c r="F15" s="12">
        <v>0</v>
      </c>
      <c r="G15" s="12">
        <f>K15</f>
        <v>1065.17</v>
      </c>
      <c r="H15" s="8" t="s">
        <v>143</v>
      </c>
      <c r="I15" s="21">
        <v>3</v>
      </c>
      <c r="J15" s="17">
        <v>355.05824999999999</v>
      </c>
      <c r="K15" s="10">
        <v>1065.17</v>
      </c>
    </row>
    <row r="16" spans="1:20" x14ac:dyDescent="0.25">
      <c r="A16" s="99"/>
      <c r="B16" s="182"/>
      <c r="C16" s="2" t="s">
        <v>31</v>
      </c>
      <c r="D16" s="4" t="s">
        <v>71</v>
      </c>
      <c r="E16" s="12">
        <f>J16*'Calcs.'!E16</f>
        <v>123.58394</v>
      </c>
      <c r="F16" s="12">
        <f>J16*'Calcs.'!F16</f>
        <v>151.82287029</v>
      </c>
      <c r="G16" s="12">
        <f>J16*'Calcs.'!G16</f>
        <v>123.58394</v>
      </c>
      <c r="H16" s="8" t="s">
        <v>146</v>
      </c>
      <c r="I16" s="21">
        <v>2</v>
      </c>
      <c r="J16" s="17">
        <v>61.791969999999999</v>
      </c>
      <c r="K16" s="29">
        <v>123.58</v>
      </c>
      <c r="L16" s="16" t="s">
        <v>166</v>
      </c>
    </row>
    <row r="17" spans="1:13" x14ac:dyDescent="0.25">
      <c r="A17" s="99"/>
      <c r="B17" s="182"/>
      <c r="C17" s="2" t="s">
        <v>34</v>
      </c>
      <c r="D17" s="4" t="s">
        <v>72</v>
      </c>
      <c r="E17" s="12">
        <f>K17*'Calcs.'!M17</f>
        <v>3870.0415237052548</v>
      </c>
      <c r="F17" s="12">
        <f>K17*'Calcs.'!N17</f>
        <v>22512.41871810739</v>
      </c>
      <c r="G17" s="12">
        <f>K17*'Calcs.'!O17</f>
        <v>9449.1097581873582</v>
      </c>
      <c r="H17" s="8" t="s">
        <v>143</v>
      </c>
      <c r="I17" s="21">
        <v>1400</v>
      </c>
      <c r="J17" s="17">
        <v>25.593979999999998</v>
      </c>
      <c r="K17" s="10">
        <v>35831.57</v>
      </c>
    </row>
    <row r="18" spans="1:13" x14ac:dyDescent="0.25">
      <c r="A18" s="99"/>
      <c r="B18" s="182"/>
      <c r="C18" s="2" t="s">
        <v>35</v>
      </c>
      <c r="D18" s="18" t="s">
        <v>73</v>
      </c>
      <c r="E18" s="12">
        <f>K18*'Calcs.'!M18</f>
        <v>2807.5910459719139</v>
      </c>
      <c r="F18" s="12">
        <f>K18*'Calcs.'!N18</f>
        <v>16335.753722430032</v>
      </c>
      <c r="G18" s="12">
        <f>K18*'Calcs.'!O18</f>
        <v>6856.6552315980543</v>
      </c>
      <c r="H18" s="8" t="s">
        <v>144</v>
      </c>
      <c r="I18" s="21">
        <v>13000</v>
      </c>
      <c r="J18" s="17">
        <v>2</v>
      </c>
      <c r="K18" s="10">
        <v>26000</v>
      </c>
    </row>
    <row r="19" spans="1:13" x14ac:dyDescent="0.25">
      <c r="A19" s="99"/>
      <c r="B19" s="182"/>
      <c r="C19" s="2" t="s">
        <v>36</v>
      </c>
      <c r="D19" s="18" t="s">
        <v>74</v>
      </c>
      <c r="E19" s="12">
        <f>K19*'Calcs.'!M19</f>
        <v>210.56932844789355</v>
      </c>
      <c r="F19" s="12">
        <f>K19*'Calcs.'!N19</f>
        <v>1225.1815291822525</v>
      </c>
      <c r="G19" s="12">
        <f>K19*'Calcs.'!O19</f>
        <v>514.2491423698541</v>
      </c>
      <c r="H19" s="8" t="s">
        <v>144</v>
      </c>
      <c r="I19" s="21">
        <v>650</v>
      </c>
      <c r="J19" s="17">
        <v>3</v>
      </c>
      <c r="K19" s="10">
        <f>I19*J19</f>
        <v>1950</v>
      </c>
      <c r="M19" s="2" t="s">
        <v>157</v>
      </c>
    </row>
    <row r="20" spans="1:13" x14ac:dyDescent="0.25">
      <c r="A20" s="99"/>
      <c r="B20" s="182"/>
      <c r="C20" s="2" t="s">
        <v>37</v>
      </c>
      <c r="D20" s="18" t="s">
        <v>75</v>
      </c>
      <c r="E20" s="12">
        <f>K20*'Calcs.'!M20</f>
        <v>117.26687267411391</v>
      </c>
      <c r="F20" s="12">
        <f>K20*'Calcs.'!N20</f>
        <v>682.30832782868492</v>
      </c>
      <c r="G20" s="12">
        <f>K20*'Calcs.'!O20</f>
        <v>286.38733449720138</v>
      </c>
      <c r="H20" s="8" t="s">
        <v>150</v>
      </c>
      <c r="I20" s="21">
        <v>1.75</v>
      </c>
      <c r="J20" s="17">
        <v>620.55002000000002</v>
      </c>
      <c r="K20" s="10">
        <f t="shared" ref="K20:K52" si="0">I20*J20</f>
        <v>1085.9625350000001</v>
      </c>
    </row>
    <row r="21" spans="1:13" x14ac:dyDescent="0.25">
      <c r="A21" s="99"/>
      <c r="B21" s="182"/>
      <c r="C21" s="2" t="s">
        <v>38</v>
      </c>
      <c r="D21" s="18" t="s">
        <v>76</v>
      </c>
      <c r="E21" s="12">
        <f>K21*'Calcs.'!M21</f>
        <v>29.695674524702937</v>
      </c>
      <c r="F21" s="12">
        <f>K21*'Calcs.'!N21</f>
        <v>172.78201052570228</v>
      </c>
      <c r="G21" s="12">
        <f>K21*'Calcs.'!O21</f>
        <v>72.522314949594801</v>
      </c>
      <c r="H21" s="8" t="s">
        <v>151</v>
      </c>
      <c r="I21" s="21">
        <v>2.75</v>
      </c>
      <c r="J21" s="17">
        <v>100</v>
      </c>
      <c r="K21" s="10">
        <f t="shared" si="0"/>
        <v>275</v>
      </c>
    </row>
    <row r="22" spans="1:13" x14ac:dyDescent="0.25">
      <c r="A22" s="99"/>
      <c r="B22" s="182"/>
      <c r="C22" s="2" t="s">
        <v>39</v>
      </c>
      <c r="D22" s="18" t="s">
        <v>77</v>
      </c>
      <c r="E22" s="12">
        <f>K22*'Calcs.'!M22</f>
        <v>40.494101624594919</v>
      </c>
      <c r="F22" s="12">
        <f>K22*'Calcs.'!N22</f>
        <v>235.61183253504856</v>
      </c>
      <c r="G22" s="12">
        <f>K22*'Calcs.'!O22</f>
        <v>98.894065840356546</v>
      </c>
      <c r="H22" s="8" t="s">
        <v>152</v>
      </c>
      <c r="I22" s="21">
        <v>75</v>
      </c>
      <c r="J22" s="17">
        <v>5</v>
      </c>
      <c r="K22" s="10">
        <f t="shared" si="0"/>
        <v>375</v>
      </c>
    </row>
    <row r="23" spans="1:13" x14ac:dyDescent="0.25">
      <c r="A23" s="99"/>
      <c r="B23" s="182"/>
      <c r="C23" s="2" t="s">
        <v>40</v>
      </c>
      <c r="D23" s="24" t="s">
        <v>78</v>
      </c>
      <c r="E23" s="12">
        <f>K23/3</f>
        <v>1485.4799999999998</v>
      </c>
      <c r="F23" s="12">
        <f>K23/3</f>
        <v>1485.4799999999998</v>
      </c>
      <c r="G23" s="12">
        <f>K23/3</f>
        <v>1485.4799999999998</v>
      </c>
      <c r="H23" s="8" t="s">
        <v>144</v>
      </c>
      <c r="I23" s="21">
        <v>2000</v>
      </c>
      <c r="J23" s="17">
        <v>2.2282199999999999</v>
      </c>
      <c r="K23" s="10">
        <f t="shared" si="0"/>
        <v>4456.4399999999996</v>
      </c>
    </row>
    <row r="24" spans="1:13" x14ac:dyDescent="0.25">
      <c r="A24" s="99"/>
      <c r="B24" s="182"/>
      <c r="C24" s="2" t="s">
        <v>41</v>
      </c>
      <c r="D24" s="19" t="s">
        <v>79</v>
      </c>
      <c r="E24" s="12">
        <f>K24*$N$3</f>
        <v>500</v>
      </c>
      <c r="F24" s="12">
        <f>K24*$O$3</f>
        <v>1000</v>
      </c>
      <c r="G24" s="12">
        <f>K24*$P$3</f>
        <v>1500</v>
      </c>
      <c r="H24" s="8" t="s">
        <v>140</v>
      </c>
      <c r="I24" s="21">
        <v>1</v>
      </c>
      <c r="J24" s="17">
        <v>3000</v>
      </c>
      <c r="K24" s="10">
        <f t="shared" si="0"/>
        <v>3000</v>
      </c>
    </row>
    <row r="25" spans="1:13" x14ac:dyDescent="0.25">
      <c r="A25" s="99"/>
      <c r="B25" s="182"/>
      <c r="C25" s="2" t="s">
        <v>42</v>
      </c>
      <c r="D25" s="19" t="s">
        <v>80</v>
      </c>
      <c r="E25" s="12">
        <f t="shared" ref="E25:E27" si="1">K25*$N$3</f>
        <v>1166.6666666666665</v>
      </c>
      <c r="F25" s="12">
        <f t="shared" ref="F25:F27" si="2">K25*$O$3</f>
        <v>2333.333333333333</v>
      </c>
      <c r="G25" s="12">
        <f t="shared" ref="G25:G27" si="3">K25*$P$3</f>
        <v>3500</v>
      </c>
      <c r="H25" s="8" t="s">
        <v>140</v>
      </c>
      <c r="I25" s="21">
        <v>1</v>
      </c>
      <c r="J25" s="17">
        <v>7000</v>
      </c>
      <c r="K25" s="10">
        <f t="shared" si="0"/>
        <v>7000</v>
      </c>
    </row>
    <row r="26" spans="1:13" x14ac:dyDescent="0.25">
      <c r="A26" s="99"/>
      <c r="B26" s="182"/>
      <c r="C26" s="2" t="s">
        <v>43</v>
      </c>
      <c r="D26" s="19" t="s">
        <v>81</v>
      </c>
      <c r="E26" s="12">
        <f t="shared" si="1"/>
        <v>1250</v>
      </c>
      <c r="F26" s="12">
        <f t="shared" si="2"/>
        <v>2500</v>
      </c>
      <c r="G26" s="12">
        <f t="shared" si="3"/>
        <v>3750</v>
      </c>
      <c r="H26" s="8" t="s">
        <v>140</v>
      </c>
      <c r="I26" s="21">
        <v>1</v>
      </c>
      <c r="J26" s="17">
        <v>7500</v>
      </c>
      <c r="K26" s="10">
        <f t="shared" si="0"/>
        <v>7500</v>
      </c>
    </row>
    <row r="27" spans="1:13" x14ac:dyDescent="0.25">
      <c r="A27" s="99"/>
      <c r="B27" s="182"/>
      <c r="C27" s="2" t="s">
        <v>44</v>
      </c>
      <c r="D27" s="19" t="s">
        <v>82</v>
      </c>
      <c r="E27" s="12">
        <f t="shared" si="1"/>
        <v>13333.333333333332</v>
      </c>
      <c r="F27" s="12">
        <f t="shared" si="2"/>
        <v>26666.666666666664</v>
      </c>
      <c r="G27" s="12">
        <f t="shared" si="3"/>
        <v>40000</v>
      </c>
      <c r="H27" s="8" t="s">
        <v>146</v>
      </c>
      <c r="I27" s="21">
        <v>1</v>
      </c>
      <c r="J27" s="17">
        <v>80000</v>
      </c>
      <c r="K27" s="10">
        <f t="shared" si="0"/>
        <v>80000</v>
      </c>
    </row>
    <row r="28" spans="1:13" x14ac:dyDescent="0.25">
      <c r="A28" s="184" t="s">
        <v>60</v>
      </c>
      <c r="B28" s="183" t="s">
        <v>88</v>
      </c>
      <c r="C28" s="2" t="s">
        <v>45</v>
      </c>
      <c r="D28" s="24" t="s">
        <v>83</v>
      </c>
      <c r="E28" s="12">
        <f>K28*'Calcs.'!E28</f>
        <v>540.29851050000002</v>
      </c>
      <c r="F28" s="12">
        <v>0</v>
      </c>
      <c r="G28" s="12">
        <f>K28*'Calcs.'!G28</f>
        <v>2032.5515395</v>
      </c>
      <c r="H28" s="8" t="s">
        <v>143</v>
      </c>
      <c r="I28" s="21">
        <v>1</v>
      </c>
      <c r="J28" s="17">
        <v>2572.85005</v>
      </c>
      <c r="K28" s="10">
        <f t="shared" si="0"/>
        <v>2572.85005</v>
      </c>
    </row>
    <row r="29" spans="1:13" x14ac:dyDescent="0.25">
      <c r="A29" s="99"/>
      <c r="B29" s="183"/>
      <c r="C29" s="2" t="s">
        <v>46</v>
      </c>
      <c r="D29" s="35" t="s">
        <v>84</v>
      </c>
      <c r="E29" s="30"/>
      <c r="F29" s="30"/>
      <c r="G29" s="30"/>
      <c r="H29" s="8" t="s">
        <v>137</v>
      </c>
      <c r="I29" s="21">
        <v>100</v>
      </c>
      <c r="J29" s="17">
        <v>110</v>
      </c>
      <c r="K29" s="10">
        <f t="shared" si="0"/>
        <v>11000</v>
      </c>
      <c r="L29" t="s">
        <v>167</v>
      </c>
    </row>
    <row r="30" spans="1:13" x14ac:dyDescent="0.25">
      <c r="A30" s="99"/>
      <c r="B30" s="183"/>
      <c r="C30" s="2" t="s">
        <v>47</v>
      </c>
      <c r="D30" s="4" t="s">
        <v>85</v>
      </c>
      <c r="E30" s="12">
        <v>0</v>
      </c>
      <c r="F30" s="12">
        <v>0</v>
      </c>
      <c r="G30" s="12">
        <f>K30</f>
        <v>13465.793500000002</v>
      </c>
      <c r="H30" s="8" t="s">
        <v>137</v>
      </c>
      <c r="I30" s="21">
        <v>50</v>
      </c>
      <c r="J30" s="17">
        <v>269.31587000000002</v>
      </c>
      <c r="K30" s="10">
        <f t="shared" si="0"/>
        <v>13465.793500000002</v>
      </c>
    </row>
    <row r="31" spans="1:13" x14ac:dyDescent="0.25">
      <c r="A31" s="99"/>
      <c r="B31" s="183"/>
      <c r="C31" s="2"/>
      <c r="D31" s="4" t="s">
        <v>168</v>
      </c>
      <c r="G31" s="12"/>
      <c r="H31" s="8" t="s">
        <v>137</v>
      </c>
      <c r="I31" s="33">
        <f>'Calcs.'!L31</f>
        <v>64.510950000000008</v>
      </c>
      <c r="J31" s="34" t="s">
        <v>170</v>
      </c>
      <c r="K31" s="10"/>
    </row>
    <row r="32" spans="1:13" x14ac:dyDescent="0.25">
      <c r="A32" s="99"/>
      <c r="B32" s="183"/>
      <c r="C32" s="2"/>
      <c r="D32" s="4" t="s">
        <v>169</v>
      </c>
      <c r="G32" s="12"/>
      <c r="H32" s="8" t="s">
        <v>137</v>
      </c>
      <c r="I32" s="33">
        <f>'Calcs.'!L32</f>
        <v>59.136000000000003</v>
      </c>
      <c r="J32" s="34" t="s">
        <v>170</v>
      </c>
      <c r="K32" s="10"/>
    </row>
    <row r="33" spans="1:13" x14ac:dyDescent="0.25">
      <c r="A33" s="99"/>
      <c r="B33" s="183"/>
      <c r="C33" s="2" t="s">
        <v>48</v>
      </c>
      <c r="D33" s="4" t="s">
        <v>86</v>
      </c>
      <c r="E33" s="12">
        <v>0</v>
      </c>
      <c r="F33" s="12">
        <v>0</v>
      </c>
      <c r="G33" s="12">
        <f>K33</f>
        <v>2867.4295499999998</v>
      </c>
      <c r="H33" s="8" t="s">
        <v>146</v>
      </c>
      <c r="I33" s="21">
        <v>1</v>
      </c>
      <c r="J33" s="17">
        <v>2867.4295499999998</v>
      </c>
      <c r="K33" s="10">
        <f t="shared" si="0"/>
        <v>2867.4295499999998</v>
      </c>
    </row>
    <row r="34" spans="1:13" x14ac:dyDescent="0.25">
      <c r="A34" s="99"/>
      <c r="B34" s="183"/>
      <c r="C34" s="2" t="s">
        <v>49</v>
      </c>
      <c r="D34" s="4" t="s">
        <v>87</v>
      </c>
      <c r="E34" s="12">
        <v>0</v>
      </c>
      <c r="F34" s="12">
        <v>0</v>
      </c>
      <c r="G34" s="12">
        <f>K34</f>
        <v>4902.5636599999998</v>
      </c>
      <c r="H34" s="8" t="s">
        <v>146</v>
      </c>
      <c r="I34" s="21">
        <v>1</v>
      </c>
      <c r="J34" s="17">
        <v>4902.5636599999998</v>
      </c>
      <c r="K34" s="10">
        <f t="shared" si="0"/>
        <v>4902.5636599999998</v>
      </c>
    </row>
    <row r="35" spans="1:13" x14ac:dyDescent="0.25">
      <c r="A35" s="184" t="s">
        <v>94</v>
      </c>
      <c r="B35" s="183" t="s">
        <v>104</v>
      </c>
      <c r="C35" s="2" t="s">
        <v>50</v>
      </c>
      <c r="D35" s="4" t="s">
        <v>89</v>
      </c>
      <c r="E35" s="12">
        <f>K35*(3/11)</f>
        <v>3409.090909090909</v>
      </c>
      <c r="F35" s="12">
        <f>K35*(5/11)</f>
        <v>5681.818181818182</v>
      </c>
      <c r="G35" s="12">
        <f>K35*(3/11)</f>
        <v>3409.090909090909</v>
      </c>
      <c r="H35" s="8" t="s">
        <v>143</v>
      </c>
      <c r="I35" s="21">
        <v>25</v>
      </c>
      <c r="J35" s="17">
        <v>500</v>
      </c>
      <c r="K35" s="10">
        <f t="shared" si="0"/>
        <v>12500</v>
      </c>
      <c r="L35" t="s">
        <v>159</v>
      </c>
      <c r="M35" t="s">
        <v>164</v>
      </c>
    </row>
    <row r="36" spans="1:13" x14ac:dyDescent="0.25">
      <c r="A36" s="99"/>
      <c r="B36" s="183"/>
      <c r="C36" s="2" t="s">
        <v>51</v>
      </c>
      <c r="D36" s="23" t="s">
        <v>90</v>
      </c>
      <c r="E36" s="12">
        <f>K36*'Calcs.'!M36</f>
        <v>19404.598764489481</v>
      </c>
      <c r="F36" s="12">
        <f>K36*'Calcs.'!N36</f>
        <v>19402.579135142638</v>
      </c>
      <c r="G36" s="12">
        <f>K36*'Calcs.'!O36</f>
        <v>48483.222100367871</v>
      </c>
      <c r="H36" s="8" t="s">
        <v>143</v>
      </c>
      <c r="I36" s="21">
        <v>1250</v>
      </c>
      <c r="J36" s="17">
        <v>69.832319999999996</v>
      </c>
      <c r="K36" s="10">
        <f t="shared" si="0"/>
        <v>87290.4</v>
      </c>
      <c r="L36" t="s">
        <v>158</v>
      </c>
    </row>
    <row r="37" spans="1:13" x14ac:dyDescent="0.25">
      <c r="A37" s="99"/>
      <c r="B37" s="183"/>
      <c r="C37" s="2" t="s">
        <v>52</v>
      </c>
      <c r="D37" s="23" t="s">
        <v>91</v>
      </c>
      <c r="E37" s="12">
        <f>K37*'Calcs.'!M37</f>
        <v>217.08011227875338</v>
      </c>
      <c r="F37" s="12">
        <f>K37*'Calcs.'!N37</f>
        <v>217.05751859512736</v>
      </c>
      <c r="G37" s="12">
        <f>K37*'Calcs.'!O37</f>
        <v>542.38396912611915</v>
      </c>
      <c r="H37" s="8" t="s">
        <v>153</v>
      </c>
      <c r="I37" s="21">
        <v>240</v>
      </c>
      <c r="J37" s="17">
        <v>4.0688399999999998</v>
      </c>
      <c r="K37" s="10">
        <f t="shared" si="0"/>
        <v>976.52159999999992</v>
      </c>
    </row>
    <row r="38" spans="1:13" x14ac:dyDescent="0.25">
      <c r="A38" s="99"/>
      <c r="B38" s="183"/>
      <c r="C38" s="2" t="s">
        <v>53</v>
      </c>
      <c r="D38" s="23" t="s">
        <v>92</v>
      </c>
      <c r="E38" s="12">
        <f>K38*'Calcs.'!M38</f>
        <v>15005.205802734781</v>
      </c>
      <c r="F38" s="12">
        <f>K38*'Calcs.'!N38</f>
        <v>15003.644061914347</v>
      </c>
      <c r="G38" s="12">
        <f>K38*'Calcs.'!O38</f>
        <v>37491.150135350872</v>
      </c>
      <c r="H38" s="8" t="s">
        <v>143</v>
      </c>
      <c r="I38" s="21">
        <v>225</v>
      </c>
      <c r="J38" s="17">
        <v>300</v>
      </c>
      <c r="K38" s="10">
        <f t="shared" si="0"/>
        <v>67500</v>
      </c>
    </row>
    <row r="39" spans="1:13" x14ac:dyDescent="0.25">
      <c r="A39" s="99"/>
      <c r="B39" s="183"/>
      <c r="C39" s="2" t="s">
        <v>54</v>
      </c>
      <c r="D39" s="23" t="s">
        <v>93</v>
      </c>
      <c r="E39" s="12">
        <f>K39*'Calcs.'!M38</f>
        <v>25008.676337891302</v>
      </c>
      <c r="F39" s="12">
        <f>K39*'Calcs.'!N38</f>
        <v>25006.073436523911</v>
      </c>
      <c r="G39" s="12">
        <f>K39*'Calcs.'!O38</f>
        <v>62485.250225584779</v>
      </c>
      <c r="H39" s="8" t="s">
        <v>143</v>
      </c>
      <c r="I39" s="21">
        <v>375</v>
      </c>
      <c r="J39" s="17">
        <v>300</v>
      </c>
      <c r="K39" s="10">
        <f t="shared" si="0"/>
        <v>112500</v>
      </c>
    </row>
    <row r="40" spans="1:13" x14ac:dyDescent="0.25">
      <c r="A40" s="184" t="s">
        <v>110</v>
      </c>
      <c r="B40" s="182" t="s">
        <v>105</v>
      </c>
      <c r="C40" s="2" t="s">
        <v>55</v>
      </c>
      <c r="D40" s="19" t="s">
        <v>95</v>
      </c>
      <c r="E40" s="12">
        <f>K40*$N$3</f>
        <v>1666.6666666666665</v>
      </c>
      <c r="F40" s="12">
        <f>K40*$O$3</f>
        <v>3333.333333333333</v>
      </c>
      <c r="G40" s="12">
        <f>K40*$P$3</f>
        <v>5000</v>
      </c>
      <c r="H40" s="8" t="s">
        <v>140</v>
      </c>
      <c r="I40" s="21">
        <v>1</v>
      </c>
      <c r="J40" s="17">
        <v>10000</v>
      </c>
      <c r="K40" s="10">
        <f t="shared" si="0"/>
        <v>10000</v>
      </c>
    </row>
    <row r="41" spans="1:13" x14ac:dyDescent="0.25">
      <c r="A41" s="99"/>
      <c r="B41" s="182"/>
      <c r="C41" s="2" t="s">
        <v>56</v>
      </c>
      <c r="D41" s="19" t="s">
        <v>96</v>
      </c>
      <c r="E41" s="12">
        <f>K41*$N$3</f>
        <v>3333.333333333333</v>
      </c>
      <c r="F41" s="12">
        <f>K41*$O$3</f>
        <v>6666.6666666666661</v>
      </c>
      <c r="G41" s="12">
        <f>K41*$P$3</f>
        <v>10000</v>
      </c>
      <c r="H41" s="8" t="s">
        <v>140</v>
      </c>
      <c r="I41" s="21">
        <v>1</v>
      </c>
      <c r="J41" s="17">
        <v>20000</v>
      </c>
      <c r="K41" s="10">
        <f t="shared" si="0"/>
        <v>20000</v>
      </c>
    </row>
    <row r="42" spans="1:13" x14ac:dyDescent="0.25">
      <c r="A42" s="184" t="s">
        <v>107</v>
      </c>
      <c r="B42" s="183" t="s">
        <v>106</v>
      </c>
      <c r="C42" s="2" t="s">
        <v>57</v>
      </c>
      <c r="D42" s="4" t="s">
        <v>97</v>
      </c>
      <c r="E42" s="12">
        <f>K42</f>
        <v>20000</v>
      </c>
      <c r="F42" s="12">
        <v>0</v>
      </c>
      <c r="G42" s="12">
        <v>0</v>
      </c>
      <c r="H42" s="8" t="s">
        <v>140</v>
      </c>
      <c r="I42" s="21">
        <v>1</v>
      </c>
      <c r="J42" s="17">
        <v>20000</v>
      </c>
      <c r="K42" s="10">
        <f t="shared" si="0"/>
        <v>20000</v>
      </c>
    </row>
    <row r="43" spans="1:13" x14ac:dyDescent="0.25">
      <c r="A43" s="99"/>
      <c r="B43" s="183"/>
      <c r="C43" s="2" t="s">
        <v>58</v>
      </c>
      <c r="D43" s="4" t="s">
        <v>98</v>
      </c>
      <c r="E43" s="12">
        <v>0</v>
      </c>
      <c r="F43" s="12">
        <f>K43</f>
        <v>50000</v>
      </c>
      <c r="G43" s="12">
        <v>0</v>
      </c>
      <c r="H43" s="8" t="s">
        <v>140</v>
      </c>
      <c r="I43" s="21">
        <v>1</v>
      </c>
      <c r="J43" s="17">
        <v>50000</v>
      </c>
      <c r="K43" s="10">
        <f t="shared" si="0"/>
        <v>50000</v>
      </c>
    </row>
    <row r="44" spans="1:13" x14ac:dyDescent="0.25">
      <c r="A44" s="2" t="s">
        <v>109</v>
      </c>
      <c r="B44" s="4" t="s">
        <v>108</v>
      </c>
      <c r="C44" s="2" t="s">
        <v>59</v>
      </c>
      <c r="D44" s="24" t="s">
        <v>99</v>
      </c>
      <c r="E44" s="12">
        <v>0</v>
      </c>
      <c r="F44" s="12">
        <v>0</v>
      </c>
      <c r="G44" s="12">
        <f>K44</f>
        <v>122500</v>
      </c>
      <c r="H44" s="8" t="s">
        <v>146</v>
      </c>
      <c r="I44" s="21">
        <v>350</v>
      </c>
      <c r="J44" s="17">
        <v>350</v>
      </c>
      <c r="K44" s="10">
        <f t="shared" si="0"/>
        <v>122500</v>
      </c>
    </row>
    <row r="45" spans="1:13" x14ac:dyDescent="0.25">
      <c r="A45" s="3" t="s">
        <v>111</v>
      </c>
      <c r="B45" s="5" t="s">
        <v>112</v>
      </c>
      <c r="C45" s="2" t="s">
        <v>60</v>
      </c>
      <c r="D45" s="4" t="s">
        <v>100</v>
      </c>
      <c r="E45" s="12">
        <v>0</v>
      </c>
      <c r="G45" s="12">
        <v>0</v>
      </c>
      <c r="H45" s="8" t="s">
        <v>140</v>
      </c>
      <c r="I45" s="21">
        <v>1</v>
      </c>
      <c r="J45" s="17">
        <v>400000</v>
      </c>
      <c r="K45" s="10">
        <f t="shared" si="0"/>
        <v>400000</v>
      </c>
    </row>
    <row r="46" spans="1:13" x14ac:dyDescent="0.25">
      <c r="A46" s="3" t="s">
        <v>113</v>
      </c>
      <c r="B46" s="5" t="s">
        <v>114</v>
      </c>
      <c r="C46" s="2" t="s">
        <v>66</v>
      </c>
      <c r="D46" s="4" t="s">
        <v>115</v>
      </c>
      <c r="E46" s="12">
        <v>0</v>
      </c>
      <c r="F46" s="12">
        <v>0</v>
      </c>
      <c r="G46" s="12">
        <f>K46</f>
        <v>150000</v>
      </c>
      <c r="H46" s="8" t="s">
        <v>140</v>
      </c>
      <c r="I46" s="21">
        <v>1</v>
      </c>
      <c r="J46" s="17">
        <v>150000</v>
      </c>
      <c r="K46" s="10">
        <f t="shared" si="0"/>
        <v>150000</v>
      </c>
    </row>
    <row r="47" spans="1:13" x14ac:dyDescent="0.25">
      <c r="A47" s="3" t="s">
        <v>116</v>
      </c>
      <c r="B47" s="6" t="s">
        <v>117</v>
      </c>
      <c r="C47" s="2" t="s">
        <v>67</v>
      </c>
      <c r="D47" s="4" t="s">
        <v>118</v>
      </c>
      <c r="E47" s="12">
        <f>K47/3</f>
        <v>33333.333333333336</v>
      </c>
      <c r="F47" s="12">
        <v>33333.333333333336</v>
      </c>
      <c r="G47" s="12">
        <v>33333.333333333336</v>
      </c>
      <c r="H47" s="8" t="s">
        <v>140</v>
      </c>
      <c r="I47" s="21">
        <v>1</v>
      </c>
      <c r="J47" s="17">
        <v>100000</v>
      </c>
      <c r="K47" s="10">
        <f t="shared" si="0"/>
        <v>100000</v>
      </c>
    </row>
    <row r="48" spans="1:13" x14ac:dyDescent="0.25">
      <c r="A48" s="99" t="s">
        <v>119</v>
      </c>
      <c r="B48" s="180" t="s">
        <v>120</v>
      </c>
      <c r="C48" s="2" t="s">
        <v>61</v>
      </c>
      <c r="D48" s="19" t="s">
        <v>122</v>
      </c>
      <c r="E48" s="12">
        <f>K48*$N$3</f>
        <v>8333.3333333333321</v>
      </c>
      <c r="F48" s="12">
        <f>K48*$O$3</f>
        <v>16666.666666666664</v>
      </c>
      <c r="G48" s="12">
        <f>K48*$P$3</f>
        <v>25000</v>
      </c>
      <c r="H48" s="8" t="s">
        <v>140</v>
      </c>
      <c r="I48" s="21">
        <v>1</v>
      </c>
      <c r="J48" s="17">
        <v>50000</v>
      </c>
      <c r="K48" s="10">
        <f t="shared" si="0"/>
        <v>50000</v>
      </c>
    </row>
    <row r="49" spans="1:11" x14ac:dyDescent="0.25">
      <c r="A49" s="99"/>
      <c r="B49" s="180"/>
      <c r="C49" s="2" t="s">
        <v>62</v>
      </c>
      <c r="D49" s="19" t="s">
        <v>121</v>
      </c>
      <c r="E49" s="12">
        <f t="shared" ref="E49:E52" si="4">K49*$N$3</f>
        <v>6000</v>
      </c>
      <c r="F49" s="12">
        <f t="shared" ref="F49:F52" si="5">K49*$O$3</f>
        <v>12000</v>
      </c>
      <c r="G49" s="12">
        <f t="shared" ref="G49:G51" si="6">K49*$P$3</f>
        <v>18000</v>
      </c>
      <c r="H49" s="8" t="s">
        <v>154</v>
      </c>
      <c r="I49" s="21">
        <v>18</v>
      </c>
      <c r="J49" s="17">
        <v>2000</v>
      </c>
      <c r="K49" s="10">
        <f t="shared" si="0"/>
        <v>36000</v>
      </c>
    </row>
    <row r="50" spans="1:11" x14ac:dyDescent="0.25">
      <c r="A50" s="99"/>
      <c r="B50" s="180"/>
      <c r="C50" s="2" t="s">
        <v>63</v>
      </c>
      <c r="D50" s="19" t="s">
        <v>123</v>
      </c>
      <c r="E50" s="12">
        <f t="shared" si="4"/>
        <v>1666.6666666666665</v>
      </c>
      <c r="F50" s="12">
        <f t="shared" si="5"/>
        <v>3333.333333333333</v>
      </c>
      <c r="G50" s="12">
        <f t="shared" si="6"/>
        <v>5000</v>
      </c>
      <c r="H50" s="8" t="s">
        <v>140</v>
      </c>
      <c r="I50" s="21">
        <v>1</v>
      </c>
      <c r="J50" s="17">
        <v>10000</v>
      </c>
      <c r="K50" s="10">
        <f t="shared" si="0"/>
        <v>10000</v>
      </c>
    </row>
    <row r="51" spans="1:11" x14ac:dyDescent="0.25">
      <c r="A51" s="99"/>
      <c r="B51" s="180"/>
      <c r="C51" s="2" t="s">
        <v>64</v>
      </c>
      <c r="D51" s="19" t="s">
        <v>124</v>
      </c>
      <c r="E51" s="12">
        <f t="shared" si="4"/>
        <v>16666.666666666664</v>
      </c>
      <c r="F51" s="12">
        <f t="shared" si="5"/>
        <v>33333.333333333328</v>
      </c>
      <c r="G51" s="12">
        <f t="shared" si="6"/>
        <v>50000</v>
      </c>
      <c r="H51" s="8" t="s">
        <v>140</v>
      </c>
      <c r="I51" s="21">
        <v>1</v>
      </c>
      <c r="J51" s="17">
        <v>100000</v>
      </c>
      <c r="K51" s="10">
        <f t="shared" si="0"/>
        <v>100000</v>
      </c>
    </row>
    <row r="52" spans="1:11" x14ac:dyDescent="0.25">
      <c r="A52" s="99"/>
      <c r="B52" s="180"/>
      <c r="C52" s="2" t="s">
        <v>65</v>
      </c>
      <c r="D52" s="19" t="s">
        <v>125</v>
      </c>
      <c r="E52" s="12">
        <f t="shared" si="4"/>
        <v>95000</v>
      </c>
      <c r="F52" s="12">
        <f t="shared" si="5"/>
        <v>190000</v>
      </c>
      <c r="G52" s="12">
        <f>K52*$P$3</f>
        <v>285000</v>
      </c>
      <c r="H52" s="8" t="s">
        <v>140</v>
      </c>
      <c r="I52" s="21">
        <v>1</v>
      </c>
      <c r="J52" s="17">
        <v>570000</v>
      </c>
      <c r="K52" s="10">
        <f t="shared" si="0"/>
        <v>570000</v>
      </c>
    </row>
    <row r="53" spans="1:11" x14ac:dyDescent="0.25">
      <c r="A53" s="99"/>
      <c r="B53" s="180"/>
      <c r="C53" s="2" t="s">
        <v>69</v>
      </c>
      <c r="D53" s="4" t="s">
        <v>126</v>
      </c>
      <c r="G53" s="12"/>
      <c r="K53" s="10"/>
    </row>
    <row r="54" spans="1:11" x14ac:dyDescent="0.25">
      <c r="A54" s="3"/>
      <c r="B54" s="6"/>
      <c r="C54" s="2"/>
    </row>
    <row r="55" spans="1:11" x14ac:dyDescent="0.25">
      <c r="A55" s="2"/>
    </row>
    <row r="56" spans="1:11" x14ac:dyDescent="0.25">
      <c r="A56" s="2"/>
    </row>
    <row r="57" spans="1:11" x14ac:dyDescent="0.25">
      <c r="A57" s="2"/>
    </row>
    <row r="58" spans="1:11" x14ac:dyDescent="0.25">
      <c r="A58" s="2"/>
    </row>
    <row r="59" spans="1:11" x14ac:dyDescent="0.25">
      <c r="A59" s="2"/>
    </row>
    <row r="60" spans="1:11" x14ac:dyDescent="0.25">
      <c r="A60" s="2"/>
    </row>
    <row r="61" spans="1:11" x14ac:dyDescent="0.25">
      <c r="A61" s="2"/>
    </row>
    <row r="62" spans="1:11" x14ac:dyDescent="0.25">
      <c r="A62" s="2"/>
    </row>
    <row r="63" spans="1:11" x14ac:dyDescent="0.25">
      <c r="A63" s="2"/>
    </row>
    <row r="64" spans="1:1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</sheetData>
  <mergeCells count="22">
    <mergeCell ref="A35:A39"/>
    <mergeCell ref="K1:K2"/>
    <mergeCell ref="I1:I2"/>
    <mergeCell ref="B48:B53"/>
    <mergeCell ref="A3:A14"/>
    <mergeCell ref="B3:B14"/>
    <mergeCell ref="A1:B2"/>
    <mergeCell ref="B15:B27"/>
    <mergeCell ref="B28:B34"/>
    <mergeCell ref="B35:B39"/>
    <mergeCell ref="B40:B41"/>
    <mergeCell ref="B42:B43"/>
    <mergeCell ref="A48:A53"/>
    <mergeCell ref="A40:A41"/>
    <mergeCell ref="A42:A43"/>
    <mergeCell ref="A15:A27"/>
    <mergeCell ref="A28:A34"/>
    <mergeCell ref="C1:C2"/>
    <mergeCell ref="E1:G1"/>
    <mergeCell ref="D1:D2"/>
    <mergeCell ref="H1:H2"/>
    <mergeCell ref="J1:J2"/>
  </mergeCells>
  <phoneticPr fontId="2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97618-DD28-49E6-B633-3EAB5B1DA32D}">
  <dimension ref="A1:S135"/>
  <sheetViews>
    <sheetView zoomScaleNormal="100" workbookViewId="0">
      <selection activeCell="E31" sqref="E31:G31"/>
    </sheetView>
  </sheetViews>
  <sheetFormatPr defaultRowHeight="15" x14ac:dyDescent="0.25"/>
  <cols>
    <col min="1" max="1" width="5" bestFit="1" customWidth="1"/>
    <col min="2" max="2" width="14" style="4" customWidth="1"/>
    <col min="4" max="4" width="59.28515625" style="4" bestFit="1" customWidth="1"/>
    <col min="5" max="5" width="20" bestFit="1" customWidth="1"/>
    <col min="6" max="6" width="18.7109375" bestFit="1" customWidth="1"/>
    <col min="7" max="7" width="11" style="4" bestFit="1" customWidth="1"/>
    <col min="8" max="8" width="9.140625" style="8"/>
    <col min="9" max="9" width="14.28515625" style="17" bestFit="1" customWidth="1"/>
    <col min="10" max="10" width="11.140625" style="8" bestFit="1" customWidth="1"/>
    <col min="12" max="12" width="10.5703125" style="27" bestFit="1" customWidth="1"/>
    <col min="15" max="15" width="11.7109375" bestFit="1" customWidth="1"/>
  </cols>
  <sheetData>
    <row r="1" spans="1:19" x14ac:dyDescent="0.25">
      <c r="A1" s="167" t="s">
        <v>33</v>
      </c>
      <c r="B1" s="172"/>
      <c r="C1" s="167" t="s">
        <v>1</v>
      </c>
      <c r="D1" s="172" t="s">
        <v>0</v>
      </c>
      <c r="E1" s="186" t="s">
        <v>5</v>
      </c>
      <c r="F1" s="187"/>
      <c r="G1" s="188"/>
      <c r="H1" s="174" t="s">
        <v>6</v>
      </c>
      <c r="I1" s="176" t="s">
        <v>7</v>
      </c>
      <c r="J1" s="174" t="s">
        <v>8</v>
      </c>
    </row>
    <row r="2" spans="1:19" ht="15.75" thickBot="1" x14ac:dyDescent="0.3">
      <c r="A2" s="168"/>
      <c r="B2" s="173"/>
      <c r="C2" s="168"/>
      <c r="D2" s="173"/>
      <c r="E2" s="1" t="s">
        <v>2</v>
      </c>
      <c r="F2" s="1" t="s">
        <v>3</v>
      </c>
      <c r="G2" s="7" t="s">
        <v>4</v>
      </c>
      <c r="H2" s="175"/>
      <c r="I2" s="177"/>
      <c r="J2" s="175"/>
      <c r="L2" s="27" t="s">
        <v>142</v>
      </c>
      <c r="M2" s="1" t="s">
        <v>2</v>
      </c>
      <c r="N2" s="1" t="s">
        <v>3</v>
      </c>
      <c r="O2" s="7" t="s">
        <v>4</v>
      </c>
    </row>
    <row r="3" spans="1:19" x14ac:dyDescent="0.25">
      <c r="A3" s="104" t="s">
        <v>101</v>
      </c>
      <c r="B3" s="182" t="s">
        <v>102</v>
      </c>
      <c r="C3" s="2" t="s">
        <v>19</v>
      </c>
      <c r="D3" s="4" t="s">
        <v>9</v>
      </c>
      <c r="E3" s="12">
        <v>5000</v>
      </c>
      <c r="F3" s="12">
        <v>10000</v>
      </c>
      <c r="G3" s="12">
        <v>15000</v>
      </c>
      <c r="H3" s="8" t="s">
        <v>140</v>
      </c>
      <c r="I3" s="17">
        <v>30000</v>
      </c>
      <c r="J3" s="10">
        <v>30000</v>
      </c>
    </row>
    <row r="4" spans="1:19" x14ac:dyDescent="0.25">
      <c r="A4" s="185"/>
      <c r="B4" s="182"/>
      <c r="C4" s="2" t="s">
        <v>20</v>
      </c>
      <c r="D4" s="4" t="s">
        <v>10</v>
      </c>
      <c r="E4" s="9">
        <v>973.9</v>
      </c>
      <c r="F4" s="9">
        <v>3670.9</v>
      </c>
      <c r="G4" s="9"/>
      <c r="H4" s="8" t="s">
        <v>141</v>
      </c>
      <c r="I4" s="17">
        <v>6.2262199999999996</v>
      </c>
      <c r="J4" s="10">
        <v>48253.2</v>
      </c>
      <c r="L4" s="28">
        <f>E4+F4</f>
        <v>4644.8</v>
      </c>
      <c r="M4" s="11">
        <f>E4/L4</f>
        <v>0.20967533585945572</v>
      </c>
      <c r="N4" s="11">
        <f>F4/L4</f>
        <v>0.79032466414054425</v>
      </c>
    </row>
    <row r="5" spans="1:19" x14ac:dyDescent="0.25">
      <c r="A5" s="185"/>
      <c r="B5" s="182"/>
      <c r="C5" s="2" t="s">
        <v>21</v>
      </c>
      <c r="D5" s="4" t="s">
        <v>11</v>
      </c>
      <c r="E5" s="9">
        <f>96.9513+827.108</f>
        <v>924.05929999999989</v>
      </c>
      <c r="F5" s="9">
        <f>54.1807+1026.9803</f>
        <v>1081.1610000000001</v>
      </c>
      <c r="G5" s="9">
        <f>62.7755+91.8797+415.2983+10.7822</f>
        <v>580.73569999999995</v>
      </c>
      <c r="H5" s="8" t="s">
        <v>143</v>
      </c>
      <c r="I5" s="17">
        <v>19.078029999999998</v>
      </c>
      <c r="J5" s="10">
        <v>57234.09</v>
      </c>
      <c r="L5" s="28">
        <f>SUM(E5:G5)</f>
        <v>2585.9560000000001</v>
      </c>
      <c r="M5">
        <f>E5/$L$5</f>
        <v>0.35733759584463148</v>
      </c>
      <c r="N5">
        <f t="shared" ref="N5:O5" si="0">F5/$L$5</f>
        <v>0.41808948025411108</v>
      </c>
      <c r="O5">
        <f t="shared" si="0"/>
        <v>0.22457292390125738</v>
      </c>
      <c r="P5" t="s">
        <v>155</v>
      </c>
    </row>
    <row r="6" spans="1:19" x14ac:dyDescent="0.25">
      <c r="A6" s="185"/>
      <c r="B6" s="182"/>
      <c r="C6" s="2" t="s">
        <v>22</v>
      </c>
      <c r="D6" s="4" t="s">
        <v>12</v>
      </c>
      <c r="E6" s="9">
        <f>44.357+23.6102</f>
        <v>67.967199999999991</v>
      </c>
      <c r="F6" s="9">
        <f>1.1645+604.7826</f>
        <v>605.94709999999998</v>
      </c>
      <c r="G6" s="9">
        <f>1.1751+0.0431+1360.316+37.8701</f>
        <v>1399.4043000000001</v>
      </c>
      <c r="H6" s="8" t="s">
        <v>143</v>
      </c>
      <c r="I6" s="17">
        <v>15</v>
      </c>
      <c r="J6" s="10">
        <v>75000</v>
      </c>
      <c r="L6" s="28">
        <f>SUM(E6:G6)</f>
        <v>2073.3186000000001</v>
      </c>
      <c r="M6">
        <f>E6/$L$6</f>
        <v>3.2781840668385451E-2</v>
      </c>
      <c r="N6">
        <f t="shared" ref="N6:O6" si="1">F6/$L$6</f>
        <v>0.2922595205580078</v>
      </c>
      <c r="O6">
        <f t="shared" si="1"/>
        <v>0.67495863877360673</v>
      </c>
      <c r="P6" t="s">
        <v>156</v>
      </c>
    </row>
    <row r="7" spans="1:19" x14ac:dyDescent="0.25">
      <c r="A7" s="185"/>
      <c r="B7" s="182"/>
      <c r="C7" s="2" t="s">
        <v>23</v>
      </c>
      <c r="D7" s="4" t="s">
        <v>13</v>
      </c>
      <c r="E7" s="9">
        <f>E38*1.095</f>
        <v>10520.76</v>
      </c>
      <c r="F7">
        <f>F38*1.095</f>
        <v>10519.664999999999</v>
      </c>
      <c r="G7" s="9">
        <f>G38*1.095</f>
        <v>26286.57</v>
      </c>
      <c r="H7" s="8" t="s">
        <v>144</v>
      </c>
      <c r="I7" s="17">
        <v>2.4673799999999999</v>
      </c>
      <c r="J7" s="10">
        <v>57234.09</v>
      </c>
      <c r="L7" s="28">
        <f>SUM(E7:G7)</f>
        <v>47326.994999999995</v>
      </c>
      <c r="M7">
        <f>E7/L7</f>
        <v>0.2222993452257005</v>
      </c>
      <c r="N7">
        <f>F7/L7</f>
        <v>0.222276208324657</v>
      </c>
      <c r="O7">
        <f>G7/L7</f>
        <v>0.55542444644964262</v>
      </c>
    </row>
    <row r="8" spans="1:19" x14ac:dyDescent="0.25">
      <c r="A8" s="185"/>
      <c r="B8" s="182"/>
      <c r="C8" s="2" t="s">
        <v>24</v>
      </c>
      <c r="D8" s="4" t="s">
        <v>14</v>
      </c>
      <c r="E8" s="9"/>
      <c r="F8" s="9">
        <v>1</v>
      </c>
      <c r="G8" s="9">
        <v>1</v>
      </c>
      <c r="H8" s="8" t="s">
        <v>145</v>
      </c>
      <c r="I8" s="17">
        <v>204.26132000000001</v>
      </c>
      <c r="J8" s="10">
        <v>408.52</v>
      </c>
    </row>
    <row r="9" spans="1:19" x14ac:dyDescent="0.25">
      <c r="A9" s="185"/>
      <c r="B9" s="182"/>
      <c r="C9" s="2" t="s">
        <v>25</v>
      </c>
      <c r="D9" s="4" t="s">
        <v>15</v>
      </c>
      <c r="F9" s="9">
        <v>463.61099999999999</v>
      </c>
      <c r="G9" s="9">
        <v>117.782</v>
      </c>
      <c r="H9" s="8" t="s">
        <v>137</v>
      </c>
      <c r="I9" s="17">
        <v>80</v>
      </c>
      <c r="J9" s="10">
        <v>48000</v>
      </c>
      <c r="L9" s="27">
        <v>581.39300000000003</v>
      </c>
      <c r="N9" s="11">
        <f>F9/L9</f>
        <v>0.79741414155313184</v>
      </c>
      <c r="O9" s="11">
        <f>G9/L9</f>
        <v>0.20258585844686811</v>
      </c>
    </row>
    <row r="10" spans="1:19" x14ac:dyDescent="0.25">
      <c r="A10" s="185"/>
      <c r="B10" s="182"/>
      <c r="C10" s="2" t="s">
        <v>26</v>
      </c>
      <c r="D10" s="4" t="s">
        <v>16</v>
      </c>
      <c r="E10" s="9"/>
      <c r="F10" s="9"/>
      <c r="G10" s="9"/>
      <c r="H10" s="8" t="s">
        <v>141</v>
      </c>
      <c r="I10" s="17">
        <v>18.231919999999999</v>
      </c>
      <c r="J10" s="10">
        <v>3646.38</v>
      </c>
    </row>
    <row r="11" spans="1:19" x14ac:dyDescent="0.25">
      <c r="A11" s="185"/>
      <c r="B11" s="182"/>
      <c r="C11" s="2" t="s">
        <v>27</v>
      </c>
      <c r="D11" s="4" t="s">
        <v>17</v>
      </c>
      <c r="E11" s="9"/>
      <c r="F11" s="9"/>
      <c r="G11" s="9"/>
      <c r="H11" s="8" t="s">
        <v>137</v>
      </c>
      <c r="I11" s="17">
        <v>158.04363000000001</v>
      </c>
      <c r="J11" s="10">
        <v>2844.79</v>
      </c>
    </row>
    <row r="12" spans="1:19" x14ac:dyDescent="0.25">
      <c r="A12" s="185"/>
      <c r="B12" s="182"/>
      <c r="C12" s="2" t="s">
        <v>28</v>
      </c>
      <c r="D12" s="4" t="s">
        <v>18</v>
      </c>
      <c r="E12" s="9">
        <f>115+581+475</f>
        <v>1171</v>
      </c>
      <c r="F12" s="9">
        <f>747+390+282+270+508</f>
        <v>2197</v>
      </c>
      <c r="G12" s="9">
        <f>89+282+208+264+179</f>
        <v>1022</v>
      </c>
      <c r="H12" s="8" t="s">
        <v>141</v>
      </c>
      <c r="I12" s="17">
        <v>23.69</v>
      </c>
      <c r="J12" s="10">
        <v>94760</v>
      </c>
      <c r="L12" s="28">
        <f>SUM(E12:G12)</f>
        <v>4390</v>
      </c>
      <c r="M12">
        <f>E12/$L$12</f>
        <v>0.26674259681093393</v>
      </c>
      <c r="N12">
        <f t="shared" ref="N12:O12" si="2">F12/$L$12</f>
        <v>0.5004555808656036</v>
      </c>
      <c r="O12">
        <f t="shared" si="2"/>
        <v>0.23280182232346242</v>
      </c>
    </row>
    <row r="13" spans="1:19" x14ac:dyDescent="0.25">
      <c r="A13" s="185"/>
      <c r="B13" s="182"/>
      <c r="C13" s="2" t="s">
        <v>29</v>
      </c>
      <c r="D13" s="4" t="s">
        <v>138</v>
      </c>
      <c r="E13" s="9">
        <f>16.5+60+51.7</f>
        <v>128.19999999999999</v>
      </c>
      <c r="F13" s="9">
        <f>51.5+21.6+31.5+6.4+24+11.65+7.5+51.021</f>
        <v>205.17099999999999</v>
      </c>
      <c r="G13" s="9">
        <f>22+18+19.97+14.75</f>
        <v>74.72</v>
      </c>
      <c r="H13" s="8" t="s">
        <v>137</v>
      </c>
      <c r="I13" s="17">
        <v>25.027480000000001</v>
      </c>
      <c r="J13" s="10">
        <v>625.69000000000005</v>
      </c>
      <c r="L13" s="28">
        <f>SUM(E13:G13)</f>
        <v>408.09100000000001</v>
      </c>
      <c r="M13">
        <f>E13/$L$13</f>
        <v>0.31414561948192926</v>
      </c>
      <c r="N13">
        <f t="shared" ref="N13:O13" si="3">F13/$L$13</f>
        <v>0.50275796329740174</v>
      </c>
      <c r="O13">
        <f t="shared" si="3"/>
        <v>0.18309641722066891</v>
      </c>
    </row>
    <row r="14" spans="1:19" x14ac:dyDescent="0.25">
      <c r="A14" s="185"/>
      <c r="B14" s="182"/>
      <c r="C14" s="2" t="s">
        <v>68</v>
      </c>
      <c r="D14" s="4" t="s">
        <v>32</v>
      </c>
      <c r="E14" s="9">
        <f>16.42+60.01+40.86</f>
        <v>117.29</v>
      </c>
      <c r="F14" s="9">
        <f>61.7+10.7+37.2+23.6+18.9+51.3</f>
        <v>203.40000000000003</v>
      </c>
      <c r="G14" s="9">
        <f>22.2+18.2+18.3+13</f>
        <v>71.7</v>
      </c>
      <c r="H14" s="8" t="s">
        <v>137</v>
      </c>
      <c r="I14" s="17">
        <v>19.524889999999999</v>
      </c>
      <c r="J14" s="10">
        <v>7809.96</v>
      </c>
      <c r="L14" s="28">
        <f>SUM(E14:G14)</f>
        <v>392.39000000000004</v>
      </c>
      <c r="M14">
        <f>E14/$L$14</f>
        <v>0.2989117969367211</v>
      </c>
      <c r="N14">
        <f t="shared" ref="N14:O14" si="4">F14/$L$14</f>
        <v>0.51836183388975254</v>
      </c>
      <c r="O14">
        <f t="shared" si="4"/>
        <v>0.18272636917352633</v>
      </c>
    </row>
    <row r="15" spans="1:19" x14ac:dyDescent="0.25">
      <c r="A15" s="184" t="s">
        <v>40</v>
      </c>
      <c r="B15" s="182" t="s">
        <v>103</v>
      </c>
      <c r="C15" s="2" t="s">
        <v>30</v>
      </c>
      <c r="D15" s="4" t="s">
        <v>70</v>
      </c>
      <c r="E15" s="9"/>
      <c r="F15" s="9"/>
      <c r="G15" s="9"/>
      <c r="H15" s="8" t="s">
        <v>143</v>
      </c>
      <c r="I15" s="17">
        <v>355.05824999999999</v>
      </c>
      <c r="J15" s="10">
        <v>1065.17</v>
      </c>
      <c r="L15" s="28">
        <f t="shared" ref="L15:L37" si="5">SUM(E15:G15)</f>
        <v>0</v>
      </c>
      <c r="M15">
        <v>0</v>
      </c>
      <c r="N15">
        <v>0</v>
      </c>
      <c r="O15">
        <v>1</v>
      </c>
      <c r="P15" t="s">
        <v>160</v>
      </c>
    </row>
    <row r="16" spans="1:19" x14ac:dyDescent="0.25">
      <c r="A16" s="99"/>
      <c r="B16" s="182"/>
      <c r="C16" s="2" t="s">
        <v>31</v>
      </c>
      <c r="D16" s="4" t="s">
        <v>71</v>
      </c>
      <c r="E16" s="9">
        <v>2</v>
      </c>
      <c r="F16" s="9">
        <v>2.4569999999999999</v>
      </c>
      <c r="G16" s="9">
        <v>2</v>
      </c>
      <c r="H16" s="8" t="s">
        <v>146</v>
      </c>
      <c r="I16" s="17">
        <v>61.791969999999999</v>
      </c>
      <c r="J16" s="29">
        <v>123.58</v>
      </c>
      <c r="L16" s="28">
        <f>SUM(E16:G16)</f>
        <v>6.4569999999999999</v>
      </c>
      <c r="M16">
        <f>E16/$L$16</f>
        <v>0.30974136595942386</v>
      </c>
      <c r="N16">
        <f t="shared" ref="N16:O16" si="6">F16/$L$16</f>
        <v>0.38051726808115222</v>
      </c>
      <c r="O16">
        <f t="shared" si="6"/>
        <v>0.30974136595942386</v>
      </c>
      <c r="P16" s="26">
        <f>0.1*E18*9*(1/43560)</f>
        <v>0.42222146694214879</v>
      </c>
      <c r="Q16" s="26">
        <f>0.1*F18*9*(1/43560)</f>
        <v>2.4566633057851242</v>
      </c>
      <c r="R16" s="26">
        <f>0.1*G18*9*(1/43560)</f>
        <v>1.0311427066115701</v>
      </c>
      <c r="S16" s="20" t="s">
        <v>165</v>
      </c>
    </row>
    <row r="17" spans="1:18" x14ac:dyDescent="0.25">
      <c r="A17" s="99"/>
      <c r="B17" s="182"/>
      <c r="C17" s="2" t="s">
        <v>34</v>
      </c>
      <c r="D17" s="4" t="s">
        <v>72</v>
      </c>
      <c r="E17" s="9">
        <f>ROUNDUP(P17,0)</f>
        <v>2269</v>
      </c>
      <c r="F17" s="9">
        <f>ROUNDUP(Q17,0)</f>
        <v>13199</v>
      </c>
      <c r="G17" s="9">
        <f>ROUNDUP(R17,0)</f>
        <v>5540</v>
      </c>
      <c r="H17" s="8" t="s">
        <v>143</v>
      </c>
      <c r="I17" s="17">
        <v>25.593979999999998</v>
      </c>
      <c r="J17" s="10">
        <v>35831.57</v>
      </c>
      <c r="L17" s="28">
        <f t="shared" si="5"/>
        <v>21008</v>
      </c>
      <c r="M17">
        <f>E17/$L$17</f>
        <v>0.1080064737242955</v>
      </c>
      <c r="N17">
        <f t="shared" ref="N17:O17" si="7">F17/$L$17</f>
        <v>0.62828446306169083</v>
      </c>
      <c r="O17">
        <f t="shared" si="7"/>
        <v>0.26370906321401372</v>
      </c>
      <c r="P17" s="20">
        <f>E18*111/1000</f>
        <v>2268.3426090000003</v>
      </c>
      <c r="Q17" s="20">
        <f>F18*111/1000</f>
        <v>13198.177944000001</v>
      </c>
      <c r="R17" s="20">
        <f>G18*111/1000</f>
        <v>5539.7110770000008</v>
      </c>
    </row>
    <row r="18" spans="1:18" x14ac:dyDescent="0.25">
      <c r="A18" s="99"/>
      <c r="B18" s="182"/>
      <c r="C18" s="2" t="s">
        <v>35</v>
      </c>
      <c r="D18" s="18" t="s">
        <v>73</v>
      </c>
      <c r="E18" s="9">
        <f>30043.519-E38</f>
        <v>20435.519</v>
      </c>
      <c r="F18" s="9">
        <f>(1416.304+127093.2)-F38</f>
        <v>118902.504</v>
      </c>
      <c r="G18" s="9">
        <f>(73913.307-G38)</f>
        <v>49907.307000000001</v>
      </c>
      <c r="H18" s="8" t="s">
        <v>144</v>
      </c>
      <c r="I18" s="17">
        <v>2</v>
      </c>
      <c r="J18" s="10">
        <v>26000</v>
      </c>
      <c r="L18" s="28">
        <f>SUM(E18:G18)</f>
        <v>189245.33</v>
      </c>
      <c r="M18" s="22">
        <f>E18/$L$18</f>
        <v>0.10798427099891977</v>
      </c>
      <c r="N18" s="22">
        <f t="shared" ref="N18:O18" si="8">F18/$L$18</f>
        <v>0.62829822009346281</v>
      </c>
      <c r="O18" s="22">
        <f t="shared" si="8"/>
        <v>0.26371750890761747</v>
      </c>
      <c r="P18" s="2" t="s">
        <v>157</v>
      </c>
    </row>
    <row r="19" spans="1:18" x14ac:dyDescent="0.25">
      <c r="A19" s="99"/>
      <c r="B19" s="182"/>
      <c r="C19" s="2" t="s">
        <v>36</v>
      </c>
      <c r="D19" s="18" t="s">
        <v>74</v>
      </c>
      <c r="E19" s="9"/>
      <c r="F19" s="9"/>
      <c r="G19" s="9"/>
      <c r="H19" s="8" t="s">
        <v>144</v>
      </c>
      <c r="I19" s="17">
        <v>3</v>
      </c>
      <c r="J19" s="10">
        <v>1950</v>
      </c>
      <c r="L19" s="28">
        <f t="shared" si="5"/>
        <v>0</v>
      </c>
      <c r="M19" s="22">
        <v>0.10798427099891977</v>
      </c>
      <c r="N19" s="22">
        <v>0.62829822009346281</v>
      </c>
      <c r="O19" s="22">
        <v>0.26371750890761747</v>
      </c>
    </row>
    <row r="20" spans="1:18" x14ac:dyDescent="0.25">
      <c r="A20" s="99"/>
      <c r="B20" s="182"/>
      <c r="C20" s="2" t="s">
        <v>37</v>
      </c>
      <c r="D20" s="18" t="s">
        <v>75</v>
      </c>
      <c r="E20" s="9"/>
      <c r="F20" s="9"/>
      <c r="G20" s="9"/>
      <c r="H20" s="8" t="s">
        <v>150</v>
      </c>
      <c r="I20" s="17">
        <v>620.55002000000002</v>
      </c>
      <c r="J20" s="10">
        <v>1085.9625350000001</v>
      </c>
      <c r="L20" s="28">
        <f t="shared" si="5"/>
        <v>0</v>
      </c>
      <c r="M20" s="22">
        <v>0.10798427099891977</v>
      </c>
      <c r="N20" s="22">
        <v>0.62829822009346281</v>
      </c>
      <c r="O20" s="22">
        <v>0.26371750890761747</v>
      </c>
    </row>
    <row r="21" spans="1:18" x14ac:dyDescent="0.25">
      <c r="A21" s="99"/>
      <c r="B21" s="182"/>
      <c r="C21" s="2" t="s">
        <v>38</v>
      </c>
      <c r="D21" s="18" t="s">
        <v>76</v>
      </c>
      <c r="E21" s="9"/>
      <c r="F21" s="9"/>
      <c r="G21" s="9"/>
      <c r="H21" s="8" t="s">
        <v>151</v>
      </c>
      <c r="I21" s="17">
        <v>100</v>
      </c>
      <c r="J21" s="10">
        <v>275</v>
      </c>
      <c r="L21" s="28">
        <f t="shared" si="5"/>
        <v>0</v>
      </c>
      <c r="M21" s="22">
        <v>0.10798427099891977</v>
      </c>
      <c r="N21" s="22">
        <v>0.62829822009346281</v>
      </c>
      <c r="O21" s="22">
        <v>0.26371750890761747</v>
      </c>
    </row>
    <row r="22" spans="1:18" x14ac:dyDescent="0.25">
      <c r="A22" s="99"/>
      <c r="B22" s="182"/>
      <c r="C22" s="2" t="s">
        <v>39</v>
      </c>
      <c r="D22" s="18" t="s">
        <v>77</v>
      </c>
      <c r="E22" s="9"/>
      <c r="F22" s="9"/>
      <c r="G22" s="9"/>
      <c r="H22" s="8" t="s">
        <v>152</v>
      </c>
      <c r="I22" s="17">
        <v>5</v>
      </c>
      <c r="J22" s="10">
        <v>375</v>
      </c>
      <c r="L22" s="28">
        <f t="shared" si="5"/>
        <v>0</v>
      </c>
      <c r="M22" s="22">
        <v>0.10798427099891977</v>
      </c>
      <c r="N22" s="22">
        <v>0.62829822009346281</v>
      </c>
      <c r="O22" s="22">
        <v>0.26371750890761747</v>
      </c>
    </row>
    <row r="23" spans="1:18" x14ac:dyDescent="0.25">
      <c r="A23" s="99"/>
      <c r="B23" s="182"/>
      <c r="C23" s="2" t="s">
        <v>40</v>
      </c>
      <c r="D23" s="4" t="s">
        <v>78</v>
      </c>
      <c r="E23" s="9">
        <v>1</v>
      </c>
      <c r="F23" s="9">
        <v>1</v>
      </c>
      <c r="G23" s="9">
        <v>1</v>
      </c>
      <c r="H23" s="8" t="s">
        <v>144</v>
      </c>
      <c r="I23" s="17">
        <v>2.2282199999999999</v>
      </c>
      <c r="J23" s="10">
        <v>4456.4399999999996</v>
      </c>
      <c r="L23" s="28">
        <f t="shared" si="5"/>
        <v>3</v>
      </c>
      <c r="M23">
        <v>1</v>
      </c>
      <c r="N23">
        <v>1</v>
      </c>
      <c r="O23">
        <v>1</v>
      </c>
    </row>
    <row r="24" spans="1:18" x14ac:dyDescent="0.25">
      <c r="A24" s="99"/>
      <c r="B24" s="182"/>
      <c r="C24" s="2" t="s">
        <v>41</v>
      </c>
      <c r="D24" s="4" t="s">
        <v>79</v>
      </c>
      <c r="E24" s="9"/>
      <c r="F24" s="9"/>
      <c r="G24" s="9"/>
      <c r="H24" s="8" t="s">
        <v>140</v>
      </c>
      <c r="I24" s="17">
        <v>3000</v>
      </c>
      <c r="J24" s="10">
        <v>3000</v>
      </c>
      <c r="L24" s="28">
        <f t="shared" si="5"/>
        <v>0</v>
      </c>
    </row>
    <row r="25" spans="1:18" x14ac:dyDescent="0.25">
      <c r="A25" s="99"/>
      <c r="B25" s="182"/>
      <c r="C25" s="2" t="s">
        <v>42</v>
      </c>
      <c r="D25" s="4" t="s">
        <v>80</v>
      </c>
      <c r="E25" s="9"/>
      <c r="F25" s="9"/>
      <c r="G25" s="9"/>
      <c r="H25" s="8" t="s">
        <v>140</v>
      </c>
      <c r="I25" s="17">
        <v>7000</v>
      </c>
      <c r="J25" s="10">
        <v>7000</v>
      </c>
      <c r="L25" s="28">
        <f t="shared" si="5"/>
        <v>0</v>
      </c>
    </row>
    <row r="26" spans="1:18" x14ac:dyDescent="0.25">
      <c r="A26" s="99"/>
      <c r="B26" s="182"/>
      <c r="C26" s="2" t="s">
        <v>43</v>
      </c>
      <c r="D26" s="4" t="s">
        <v>81</v>
      </c>
      <c r="E26" s="9"/>
      <c r="F26" s="9"/>
      <c r="G26" s="9"/>
      <c r="H26" s="8" t="s">
        <v>140</v>
      </c>
      <c r="I26" s="17">
        <v>7500</v>
      </c>
      <c r="J26" s="10">
        <v>7500</v>
      </c>
      <c r="L26" s="28">
        <f t="shared" si="5"/>
        <v>0</v>
      </c>
    </row>
    <row r="27" spans="1:18" x14ac:dyDescent="0.25">
      <c r="A27" s="99"/>
      <c r="B27" s="182"/>
      <c r="C27" s="2" t="s">
        <v>44</v>
      </c>
      <c r="D27" s="4" t="s">
        <v>82</v>
      </c>
      <c r="E27" s="9"/>
      <c r="F27" s="9"/>
      <c r="G27" s="9"/>
      <c r="H27" s="8" t="s">
        <v>146</v>
      </c>
      <c r="I27" s="17">
        <v>80000</v>
      </c>
      <c r="J27" s="10">
        <v>80000</v>
      </c>
      <c r="L27" s="28">
        <f t="shared" si="5"/>
        <v>0</v>
      </c>
    </row>
    <row r="28" spans="1:18" x14ac:dyDescent="0.25">
      <c r="A28" s="184" t="s">
        <v>60</v>
      </c>
      <c r="B28" s="183" t="s">
        <v>88</v>
      </c>
      <c r="C28" s="2" t="s">
        <v>45</v>
      </c>
      <c r="D28" s="4" t="s">
        <v>83</v>
      </c>
      <c r="E28" s="9">
        <v>0.21</v>
      </c>
      <c r="F28" s="9">
        <v>0</v>
      </c>
      <c r="G28" s="9">
        <v>0.79</v>
      </c>
      <c r="H28" s="8" t="s">
        <v>143</v>
      </c>
      <c r="I28" s="17">
        <v>2572.85005</v>
      </c>
      <c r="J28" s="10">
        <v>2572.85005</v>
      </c>
      <c r="L28" s="28">
        <f t="shared" si="5"/>
        <v>1</v>
      </c>
      <c r="M28" t="s">
        <v>161</v>
      </c>
      <c r="Q28" t="s">
        <v>162</v>
      </c>
    </row>
    <row r="29" spans="1:18" x14ac:dyDescent="0.25">
      <c r="A29" s="99"/>
      <c r="B29" s="183"/>
      <c r="C29" s="2" t="s">
        <v>46</v>
      </c>
      <c r="D29" s="31" t="s">
        <v>84</v>
      </c>
      <c r="E29" s="32"/>
      <c r="F29" s="32"/>
      <c r="G29" s="32"/>
      <c r="H29" s="8" t="s">
        <v>137</v>
      </c>
      <c r="I29" s="17">
        <v>110</v>
      </c>
      <c r="J29" s="10">
        <v>11000</v>
      </c>
      <c r="L29" s="28">
        <f t="shared" si="5"/>
        <v>0</v>
      </c>
      <c r="Q29" s="25" t="s">
        <v>163</v>
      </c>
    </row>
    <row r="30" spans="1:18" x14ac:dyDescent="0.25">
      <c r="A30" s="99"/>
      <c r="B30" s="183"/>
      <c r="C30" s="2" t="s">
        <v>47</v>
      </c>
      <c r="D30" s="4" t="s">
        <v>85</v>
      </c>
      <c r="E30" s="9">
        <v>0</v>
      </c>
      <c r="F30" s="9">
        <v>0</v>
      </c>
      <c r="G30" s="9">
        <v>40.885899999999999</v>
      </c>
      <c r="H30" s="8" t="s">
        <v>137</v>
      </c>
      <c r="I30" s="17">
        <v>269.31587000000002</v>
      </c>
      <c r="J30" s="10">
        <v>13465.793500000002</v>
      </c>
      <c r="L30" s="28">
        <f t="shared" si="5"/>
        <v>40.885899999999999</v>
      </c>
      <c r="M30">
        <v>0</v>
      </c>
      <c r="N30">
        <v>0</v>
      </c>
      <c r="O30">
        <v>1</v>
      </c>
    </row>
    <row r="31" spans="1:18" x14ac:dyDescent="0.25">
      <c r="A31" s="99"/>
      <c r="B31" s="183"/>
      <c r="C31" s="2"/>
      <c r="D31" s="4" t="s">
        <v>168</v>
      </c>
      <c r="E31" s="9">
        <v>29.975999999999999</v>
      </c>
      <c r="F31" s="9">
        <v>0</v>
      </c>
      <c r="G31" s="9">
        <v>34.534950000000002</v>
      </c>
      <c r="H31" s="8" t="s">
        <v>137</v>
      </c>
      <c r="J31" s="10"/>
      <c r="L31" s="28">
        <f>SUM(E31:G31)</f>
        <v>64.510950000000008</v>
      </c>
      <c r="M31">
        <f>E31/$L$31</f>
        <v>0.46466530100703829</v>
      </c>
      <c r="N31">
        <f t="shared" ref="N31:O31" si="9">F31/$L$31</f>
        <v>0</v>
      </c>
      <c r="O31">
        <f t="shared" si="9"/>
        <v>0.5353346989929616</v>
      </c>
    </row>
    <row r="32" spans="1:18" x14ac:dyDescent="0.25">
      <c r="A32" s="99"/>
      <c r="B32" s="183"/>
      <c r="C32" s="2"/>
      <c r="D32" s="4" t="s">
        <v>169</v>
      </c>
      <c r="E32" s="9">
        <v>0</v>
      </c>
      <c r="F32" s="9">
        <v>0</v>
      </c>
      <c r="G32" s="9">
        <v>59.136000000000003</v>
      </c>
      <c r="H32" s="8" t="s">
        <v>137</v>
      </c>
      <c r="J32" s="10"/>
      <c r="L32" s="28">
        <f>SUM(E32:G32)</f>
        <v>59.136000000000003</v>
      </c>
      <c r="M32">
        <v>0</v>
      </c>
      <c r="N32">
        <v>0</v>
      </c>
      <c r="O32">
        <v>1</v>
      </c>
    </row>
    <row r="33" spans="1:15" x14ac:dyDescent="0.25">
      <c r="A33" s="99"/>
      <c r="B33" s="183"/>
      <c r="C33" s="2" t="s">
        <v>48</v>
      </c>
      <c r="D33" s="4" t="s">
        <v>86</v>
      </c>
      <c r="E33" s="9"/>
      <c r="F33" s="9"/>
      <c r="G33" s="9"/>
      <c r="H33" s="8" t="s">
        <v>146</v>
      </c>
      <c r="I33" s="17">
        <v>2867.4295499999998</v>
      </c>
      <c r="J33" s="10">
        <v>2867.4295499999998</v>
      </c>
      <c r="L33" s="28">
        <f t="shared" si="5"/>
        <v>0</v>
      </c>
    </row>
    <row r="34" spans="1:15" x14ac:dyDescent="0.25">
      <c r="A34" s="99"/>
      <c r="B34" s="183"/>
      <c r="C34" s="2" t="s">
        <v>49</v>
      </c>
      <c r="D34" s="4" t="s">
        <v>87</v>
      </c>
      <c r="E34" s="9"/>
      <c r="F34" s="9"/>
      <c r="G34" s="9"/>
      <c r="H34" s="8" t="s">
        <v>146</v>
      </c>
      <c r="I34" s="17">
        <v>4902.5636599999998</v>
      </c>
      <c r="J34" s="10">
        <v>4902.5636599999998</v>
      </c>
      <c r="L34" s="28">
        <f t="shared" si="5"/>
        <v>0</v>
      </c>
    </row>
    <row r="35" spans="1:15" x14ac:dyDescent="0.25">
      <c r="A35" s="184" t="s">
        <v>94</v>
      </c>
      <c r="B35" s="183" t="s">
        <v>104</v>
      </c>
      <c r="C35" s="2" t="s">
        <v>50</v>
      </c>
      <c r="D35" s="4" t="s">
        <v>89</v>
      </c>
      <c r="E35" s="9"/>
      <c r="F35" s="9"/>
      <c r="G35" s="9"/>
      <c r="H35" s="8" t="s">
        <v>143</v>
      </c>
      <c r="I35" s="17">
        <v>500</v>
      </c>
      <c r="J35" s="10">
        <v>12500</v>
      </c>
      <c r="L35" s="28">
        <v>11</v>
      </c>
      <c r="M35">
        <v>3</v>
      </c>
      <c r="N35">
        <v>5</v>
      </c>
      <c r="O35">
        <v>3</v>
      </c>
    </row>
    <row r="36" spans="1:15" x14ac:dyDescent="0.25">
      <c r="A36" s="99"/>
      <c r="B36" s="183"/>
      <c r="C36" s="2" t="s">
        <v>51</v>
      </c>
      <c r="D36" s="4" t="s">
        <v>90</v>
      </c>
      <c r="E36" s="9"/>
      <c r="F36" s="9"/>
      <c r="G36" s="9"/>
      <c r="H36" s="8" t="s">
        <v>143</v>
      </c>
      <c r="I36" s="17">
        <v>69.832319999999996</v>
      </c>
      <c r="J36" s="10">
        <v>87290.4</v>
      </c>
      <c r="L36" s="28">
        <f t="shared" si="5"/>
        <v>0</v>
      </c>
      <c r="M36">
        <v>0.22229934522570047</v>
      </c>
      <c r="N36">
        <v>0.222276208324657</v>
      </c>
      <c r="O36">
        <v>0.55542444644964251</v>
      </c>
    </row>
    <row r="37" spans="1:15" x14ac:dyDescent="0.25">
      <c r="A37" s="99"/>
      <c r="B37" s="183"/>
      <c r="C37" s="2" t="s">
        <v>52</v>
      </c>
      <c r="D37" s="4" t="s">
        <v>91</v>
      </c>
      <c r="E37" s="9"/>
      <c r="F37" s="9"/>
      <c r="G37" s="9"/>
      <c r="H37" s="8" t="s">
        <v>153</v>
      </c>
      <c r="I37" s="17">
        <v>4.0688399999999998</v>
      </c>
      <c r="J37" s="10">
        <v>976.52159999999992</v>
      </c>
      <c r="L37" s="28">
        <f t="shared" si="5"/>
        <v>0</v>
      </c>
      <c r="M37">
        <v>0.22229934522570047</v>
      </c>
      <c r="N37">
        <v>0.222276208324657</v>
      </c>
      <c r="O37">
        <v>0.55542444644964251</v>
      </c>
    </row>
    <row r="38" spans="1:15" x14ac:dyDescent="0.25">
      <c r="A38" s="99"/>
      <c r="B38" s="183"/>
      <c r="C38" s="2" t="s">
        <v>53</v>
      </c>
      <c r="D38" s="4" t="s">
        <v>92</v>
      </c>
      <c r="E38" s="9">
        <f>3612-441-47+6189+295</f>
        <v>9608</v>
      </c>
      <c r="F38" s="9">
        <f>3533+6074</f>
        <v>9607</v>
      </c>
      <c r="G38" s="9">
        <f>1140+1086+21896+906-89-282-208-264-179</f>
        <v>24006</v>
      </c>
      <c r="H38" s="8" t="s">
        <v>143</v>
      </c>
      <c r="I38" s="17">
        <v>300</v>
      </c>
      <c r="J38" s="10">
        <v>67500</v>
      </c>
      <c r="L38" s="28">
        <f>SUM(E38:G38)</f>
        <v>43221</v>
      </c>
      <c r="M38" s="20">
        <f>E38/L38</f>
        <v>0.22229934522570047</v>
      </c>
      <c r="N38" s="20">
        <f>F38/L38</f>
        <v>0.222276208324657</v>
      </c>
      <c r="O38" s="20">
        <f>G38/L38</f>
        <v>0.55542444644964251</v>
      </c>
    </row>
    <row r="39" spans="1:15" x14ac:dyDescent="0.25">
      <c r="A39" s="99"/>
      <c r="B39" s="183"/>
      <c r="C39" s="2" t="s">
        <v>54</v>
      </c>
      <c r="D39" s="4" t="s">
        <v>93</v>
      </c>
      <c r="E39" s="9"/>
      <c r="F39" s="9"/>
      <c r="G39" s="9"/>
      <c r="H39" s="8" t="s">
        <v>143</v>
      </c>
      <c r="I39" s="17">
        <v>300</v>
      </c>
      <c r="J39" s="10">
        <v>112500</v>
      </c>
    </row>
    <row r="40" spans="1:15" x14ac:dyDescent="0.25">
      <c r="A40" s="184" t="s">
        <v>110</v>
      </c>
      <c r="B40" s="182" t="s">
        <v>105</v>
      </c>
      <c r="C40" s="2" t="s">
        <v>55</v>
      </c>
      <c r="D40" s="4" t="s">
        <v>95</v>
      </c>
      <c r="E40" s="9"/>
      <c r="F40" s="9"/>
      <c r="G40" s="9"/>
      <c r="H40" s="8" t="s">
        <v>140</v>
      </c>
      <c r="I40" s="17">
        <v>10000</v>
      </c>
      <c r="J40" s="10">
        <v>10000</v>
      </c>
    </row>
    <row r="41" spans="1:15" x14ac:dyDescent="0.25">
      <c r="A41" s="99"/>
      <c r="B41" s="182"/>
      <c r="C41" s="2" t="s">
        <v>56</v>
      </c>
      <c r="D41" s="4" t="s">
        <v>96</v>
      </c>
      <c r="E41" s="9"/>
      <c r="F41" s="9"/>
      <c r="G41" s="9"/>
      <c r="H41" s="8" t="s">
        <v>140</v>
      </c>
      <c r="I41" s="17">
        <v>20000</v>
      </c>
      <c r="J41" s="10">
        <v>20000</v>
      </c>
    </row>
    <row r="42" spans="1:15" x14ac:dyDescent="0.25">
      <c r="A42" s="184" t="s">
        <v>107</v>
      </c>
      <c r="B42" s="183" t="s">
        <v>106</v>
      </c>
      <c r="C42" s="2" t="s">
        <v>57</v>
      </c>
      <c r="D42" s="4" t="s">
        <v>97</v>
      </c>
      <c r="E42" s="9"/>
      <c r="F42" s="9"/>
      <c r="G42" s="9"/>
      <c r="H42" s="8" t="s">
        <v>140</v>
      </c>
      <c r="I42" s="17">
        <v>20000</v>
      </c>
      <c r="J42" s="10">
        <v>20000</v>
      </c>
    </row>
    <row r="43" spans="1:15" x14ac:dyDescent="0.25">
      <c r="A43" s="99"/>
      <c r="B43" s="183"/>
      <c r="C43" s="2" t="s">
        <v>58</v>
      </c>
      <c r="D43" s="4" t="s">
        <v>98</v>
      </c>
      <c r="E43" s="9"/>
      <c r="F43" s="9"/>
      <c r="G43" s="9"/>
      <c r="H43" s="8" t="s">
        <v>140</v>
      </c>
      <c r="I43" s="17">
        <v>50000</v>
      </c>
      <c r="J43" s="10">
        <v>50000</v>
      </c>
    </row>
    <row r="44" spans="1:15" x14ac:dyDescent="0.25">
      <c r="A44" s="2" t="s">
        <v>109</v>
      </c>
      <c r="B44" s="4" t="s">
        <v>108</v>
      </c>
      <c r="C44" s="2" t="s">
        <v>59</v>
      </c>
      <c r="D44" s="4" t="s">
        <v>99</v>
      </c>
      <c r="E44" s="9"/>
      <c r="F44" s="9"/>
      <c r="G44" s="9"/>
      <c r="H44" s="8" t="s">
        <v>146</v>
      </c>
      <c r="I44" s="17">
        <v>350</v>
      </c>
      <c r="J44" s="10">
        <v>122500</v>
      </c>
    </row>
    <row r="45" spans="1:15" x14ac:dyDescent="0.25">
      <c r="A45" s="3" t="s">
        <v>111</v>
      </c>
      <c r="B45" s="5" t="s">
        <v>112</v>
      </c>
      <c r="C45" s="2" t="s">
        <v>60</v>
      </c>
      <c r="D45" s="4" t="s">
        <v>100</v>
      </c>
      <c r="E45" s="9"/>
      <c r="F45" s="9"/>
      <c r="G45" s="9"/>
      <c r="H45" s="8" t="s">
        <v>140</v>
      </c>
      <c r="I45" s="17">
        <v>400000</v>
      </c>
      <c r="J45" s="10">
        <v>400000</v>
      </c>
    </row>
    <row r="46" spans="1:15" x14ac:dyDescent="0.25">
      <c r="A46" s="3" t="s">
        <v>113</v>
      </c>
      <c r="B46" s="5" t="s">
        <v>114</v>
      </c>
      <c r="C46" s="2" t="s">
        <v>66</v>
      </c>
      <c r="D46" s="4" t="s">
        <v>115</v>
      </c>
      <c r="E46" s="9"/>
      <c r="F46" s="9"/>
      <c r="G46" s="9"/>
      <c r="H46" s="8" t="s">
        <v>140</v>
      </c>
      <c r="I46" s="17">
        <v>150000</v>
      </c>
      <c r="J46" s="10">
        <v>150000</v>
      </c>
    </row>
    <row r="47" spans="1:15" x14ac:dyDescent="0.25">
      <c r="A47" s="3" t="s">
        <v>116</v>
      </c>
      <c r="B47" s="6" t="s">
        <v>117</v>
      </c>
      <c r="C47" s="2" t="s">
        <v>67</v>
      </c>
      <c r="D47" s="4" t="s">
        <v>118</v>
      </c>
      <c r="E47" s="9"/>
      <c r="F47" s="9"/>
      <c r="G47" s="9"/>
      <c r="H47" s="8" t="s">
        <v>140</v>
      </c>
      <c r="I47" s="17">
        <v>100000</v>
      </c>
      <c r="J47" s="10">
        <v>100000</v>
      </c>
      <c r="M47">
        <v>1</v>
      </c>
      <c r="N47">
        <v>1</v>
      </c>
      <c r="O47">
        <v>1</v>
      </c>
    </row>
    <row r="48" spans="1:15" x14ac:dyDescent="0.25">
      <c r="A48" s="99" t="s">
        <v>119</v>
      </c>
      <c r="B48" s="180" t="s">
        <v>120</v>
      </c>
      <c r="C48" s="2" t="s">
        <v>61</v>
      </c>
      <c r="D48" s="4" t="s">
        <v>122</v>
      </c>
      <c r="E48" s="9"/>
      <c r="F48" s="9"/>
      <c r="G48" s="9"/>
      <c r="H48" s="8" t="s">
        <v>140</v>
      </c>
      <c r="I48" s="17">
        <v>50000</v>
      </c>
      <c r="J48" s="10">
        <v>50000</v>
      </c>
    </row>
    <row r="49" spans="1:10" x14ac:dyDescent="0.25">
      <c r="A49" s="99"/>
      <c r="B49" s="180"/>
      <c r="C49" s="2" t="s">
        <v>62</v>
      </c>
      <c r="D49" s="4" t="s">
        <v>121</v>
      </c>
      <c r="E49" s="9"/>
      <c r="F49" s="9"/>
      <c r="G49" s="9"/>
      <c r="H49" s="8" t="s">
        <v>154</v>
      </c>
      <c r="I49" s="17">
        <v>2000</v>
      </c>
      <c r="J49" s="10">
        <v>36000</v>
      </c>
    </row>
    <row r="50" spans="1:10" x14ac:dyDescent="0.25">
      <c r="A50" s="99"/>
      <c r="B50" s="180"/>
      <c r="C50" s="2" t="s">
        <v>63</v>
      </c>
      <c r="D50" s="4" t="s">
        <v>123</v>
      </c>
      <c r="E50" s="9"/>
      <c r="F50" s="9"/>
      <c r="G50" s="9"/>
      <c r="H50" s="8" t="s">
        <v>140</v>
      </c>
      <c r="I50" s="17">
        <v>10000</v>
      </c>
      <c r="J50" s="10">
        <v>10000</v>
      </c>
    </row>
    <row r="51" spans="1:10" x14ac:dyDescent="0.25">
      <c r="A51" s="99"/>
      <c r="B51" s="180"/>
      <c r="C51" s="2" t="s">
        <v>64</v>
      </c>
      <c r="D51" s="4" t="s">
        <v>124</v>
      </c>
      <c r="E51" s="9"/>
      <c r="F51" s="9"/>
      <c r="G51" s="9"/>
      <c r="H51" s="8" t="s">
        <v>140</v>
      </c>
      <c r="I51" s="17">
        <v>100000</v>
      </c>
      <c r="J51" s="10">
        <v>100000</v>
      </c>
    </row>
    <row r="52" spans="1:10" x14ac:dyDescent="0.25">
      <c r="A52" s="99"/>
      <c r="B52" s="180"/>
      <c r="C52" s="2" t="s">
        <v>65</v>
      </c>
      <c r="D52" s="4" t="s">
        <v>125</v>
      </c>
      <c r="E52" s="9"/>
      <c r="F52" s="9"/>
      <c r="G52" s="9"/>
      <c r="H52" s="8" t="s">
        <v>140</v>
      </c>
      <c r="I52" s="17">
        <v>570000</v>
      </c>
      <c r="J52" s="10">
        <v>570000</v>
      </c>
    </row>
    <row r="53" spans="1:10" x14ac:dyDescent="0.25">
      <c r="A53" s="99"/>
      <c r="B53" s="180"/>
      <c r="C53" s="2" t="s">
        <v>69</v>
      </c>
      <c r="D53" s="4" t="s">
        <v>126</v>
      </c>
      <c r="E53" s="9"/>
      <c r="F53" s="9"/>
      <c r="G53" s="9"/>
      <c r="J53" s="10"/>
    </row>
    <row r="54" spans="1:10" x14ac:dyDescent="0.25">
      <c r="A54" s="3"/>
      <c r="B54" s="6"/>
      <c r="C54" s="2"/>
    </row>
    <row r="55" spans="1:10" x14ac:dyDescent="0.25">
      <c r="A55" s="2"/>
    </row>
    <row r="56" spans="1:10" x14ac:dyDescent="0.25">
      <c r="A56" s="2"/>
    </row>
    <row r="57" spans="1:10" x14ac:dyDescent="0.25">
      <c r="A57" s="2"/>
    </row>
    <row r="58" spans="1:10" x14ac:dyDescent="0.25">
      <c r="A58" s="2"/>
    </row>
    <row r="59" spans="1:10" x14ac:dyDescent="0.25">
      <c r="A59" s="2"/>
    </row>
    <row r="60" spans="1:10" x14ac:dyDescent="0.25">
      <c r="A60" s="2"/>
    </row>
    <row r="61" spans="1:10" x14ac:dyDescent="0.25">
      <c r="A61" s="2"/>
    </row>
    <row r="62" spans="1:10" x14ac:dyDescent="0.25">
      <c r="A62" s="2"/>
    </row>
    <row r="63" spans="1:10" x14ac:dyDescent="0.25">
      <c r="A63" s="2"/>
    </row>
    <row r="64" spans="1:10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</sheetData>
  <mergeCells count="21">
    <mergeCell ref="A48:A53"/>
    <mergeCell ref="B48:B53"/>
    <mergeCell ref="A35:A39"/>
    <mergeCell ref="B35:B39"/>
    <mergeCell ref="A40:A41"/>
    <mergeCell ref="B40:B41"/>
    <mergeCell ref="A42:A43"/>
    <mergeCell ref="B42:B43"/>
    <mergeCell ref="J1:J2"/>
    <mergeCell ref="A3:A14"/>
    <mergeCell ref="B3:B14"/>
    <mergeCell ref="A15:A27"/>
    <mergeCell ref="B15:B27"/>
    <mergeCell ref="E1:G1"/>
    <mergeCell ref="H1:H2"/>
    <mergeCell ref="I1:I2"/>
    <mergeCell ref="A28:A34"/>
    <mergeCell ref="B28:B34"/>
    <mergeCell ref="A1:B2"/>
    <mergeCell ref="C1:C2"/>
    <mergeCell ref="D1:D2"/>
  </mergeCells>
  <hyperlinks>
    <hyperlink ref="Q29" r:id="rId1" display="https://www.dot.state.oh.us/SCDs/Structural/HW-2.2.pdf" xr:uid="{C7332D00-67FB-4190-90E1-ED8DB46D8698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Clean</vt:lpstr>
      <vt:lpstr>Sheet1</vt:lpstr>
      <vt:lpstr>Calcs.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Qiaochu</dc:creator>
  <cp:lastModifiedBy>Chen, Qiaochu</cp:lastModifiedBy>
  <cp:lastPrinted>2024-02-22T16:43:56Z</cp:lastPrinted>
  <dcterms:created xsi:type="dcterms:W3CDTF">2024-02-01T14:13:51Z</dcterms:created>
  <dcterms:modified xsi:type="dcterms:W3CDTF">2024-02-28T15:56:59Z</dcterms:modified>
</cp:coreProperties>
</file>