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736\active\173620147\engineering\114496\400-Engineering\Roadway\EngData\Quantities\"/>
    </mc:Choice>
  </mc:AlternateContent>
  <xr:revisionPtr revIDLastSave="0" documentId="13_ncr:1_{C6ACB9AC-04BA-40D1-B28C-3A0C6AC07707}" xr6:coauthVersionLast="47" xr6:coauthVersionMax="47" xr10:uidLastSave="{00000000-0000-0000-0000-000000000000}"/>
  <bookViews>
    <workbookView xWindow="-120" yWindow="-120" windowWidth="38640" windowHeight="21120" xr2:uid="{FEDAC414-A561-4FB1-AB86-BBC4B96DEDD3}"/>
  </bookViews>
  <sheets>
    <sheet name="Autotable" sheetId="1" r:id="rId1"/>
    <sheet name="Mainline CUT FILL S&amp;M Calcs" sheetId="4" r:id="rId2"/>
    <sheet name="Seeding calcs" sheetId="5" r:id="rId3"/>
    <sheet name="Earthwork and Sding Calcs(VOID)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  <c r="H16" i="1"/>
  <c r="H17" i="1"/>
  <c r="Q8" i="5"/>
  <c r="Q9" i="5"/>
  <c r="Q7" i="5"/>
  <c r="P8" i="5"/>
  <c r="P9" i="5"/>
  <c r="P7" i="5"/>
  <c r="O8" i="5"/>
  <c r="O9" i="5"/>
  <c r="O7" i="5"/>
  <c r="O10" i="5" s="1"/>
  <c r="N8" i="5"/>
  <c r="N9" i="5"/>
  <c r="N7" i="5"/>
  <c r="N10" i="5" s="1"/>
  <c r="M10" i="5"/>
  <c r="P10" i="5"/>
  <c r="Q10" i="5"/>
  <c r="M8" i="5"/>
  <c r="M9" i="5"/>
  <c r="M7" i="5"/>
  <c r="L10" i="5"/>
  <c r="L8" i="5"/>
  <c r="L9" i="5"/>
  <c r="L7" i="5"/>
  <c r="K10" i="5"/>
  <c r="K9" i="5"/>
  <c r="B9" i="5"/>
  <c r="B3" i="5"/>
  <c r="B2" i="5"/>
  <c r="F18" i="1"/>
  <c r="C18" i="1"/>
  <c r="D15" i="1"/>
  <c r="H15" i="1" s="1"/>
  <c r="I17" i="1" s="1"/>
  <c r="G83" i="4"/>
  <c r="H83" i="4"/>
  <c r="F83" i="4"/>
  <c r="D82" i="4"/>
  <c r="E82" i="4"/>
  <c r="F82" i="4"/>
  <c r="G82" i="4"/>
  <c r="H82" i="4"/>
  <c r="C82" i="4"/>
  <c r="G23" i="4"/>
  <c r="F23" i="4"/>
  <c r="F6" i="4"/>
  <c r="E80" i="4"/>
  <c r="E79" i="4"/>
  <c r="E78" i="4"/>
  <c r="E77" i="4"/>
  <c r="D77" i="4"/>
  <c r="E76" i="4"/>
  <c r="D76" i="4"/>
  <c r="E75" i="4"/>
  <c r="D75" i="4"/>
  <c r="E74" i="4"/>
  <c r="E73" i="4"/>
  <c r="D73" i="4"/>
  <c r="E72" i="4"/>
  <c r="E71" i="4"/>
  <c r="D71" i="4"/>
  <c r="E70" i="4"/>
  <c r="D70" i="4"/>
  <c r="E69" i="4"/>
  <c r="E68" i="4"/>
  <c r="D68" i="4"/>
  <c r="E66" i="4"/>
  <c r="E65" i="4"/>
  <c r="E64" i="4"/>
  <c r="E63" i="4"/>
  <c r="E62" i="4"/>
  <c r="E61" i="4"/>
  <c r="E60" i="4"/>
  <c r="E59" i="4"/>
  <c r="D59" i="4"/>
  <c r="E58" i="4"/>
  <c r="D58" i="4"/>
  <c r="E57" i="4"/>
  <c r="D57" i="4"/>
  <c r="E56" i="4"/>
  <c r="D56" i="4"/>
  <c r="E55" i="4"/>
  <c r="E54" i="4"/>
  <c r="E53" i="4"/>
  <c r="E52" i="4"/>
  <c r="D52" i="4"/>
  <c r="E51" i="4"/>
  <c r="D51" i="4"/>
  <c r="E50" i="4"/>
  <c r="E48" i="4"/>
  <c r="C46" i="4"/>
  <c r="D18" i="1" l="1"/>
  <c r="I16" i="1"/>
  <c r="I15" i="1"/>
  <c r="E43" i="4"/>
  <c r="D43" i="4"/>
  <c r="E42" i="4"/>
  <c r="D42" i="4"/>
  <c r="F42" i="4"/>
  <c r="G42" i="4"/>
  <c r="F43" i="4"/>
  <c r="G43" i="4"/>
  <c r="H43" i="4" l="1"/>
  <c r="E41" i="4"/>
  <c r="H42" i="4" s="1"/>
  <c r="E40" i="4"/>
  <c r="E39" i="4"/>
  <c r="E38" i="4"/>
  <c r="E37" i="4"/>
  <c r="E36" i="4"/>
  <c r="E35" i="4"/>
  <c r="D35" i="4"/>
  <c r="G36" i="4" s="1"/>
  <c r="C35" i="4"/>
  <c r="E34" i="4"/>
  <c r="C34" i="4"/>
  <c r="F34" i="4" s="1"/>
  <c r="D34" i="4"/>
  <c r="E33" i="4"/>
  <c r="E32" i="4"/>
  <c r="D32" i="4"/>
  <c r="D44" i="4" s="1"/>
  <c r="C32" i="4"/>
  <c r="E31" i="4"/>
  <c r="C31" i="4"/>
  <c r="F31" i="4"/>
  <c r="G31" i="4"/>
  <c r="H31" i="4"/>
  <c r="G32" i="4"/>
  <c r="F33" i="4"/>
  <c r="G33" i="4"/>
  <c r="G34" i="4"/>
  <c r="G35" i="4"/>
  <c r="F36" i="4"/>
  <c r="F37" i="4"/>
  <c r="G37" i="4"/>
  <c r="F38" i="4"/>
  <c r="G38" i="4"/>
  <c r="F39" i="4"/>
  <c r="G39" i="4"/>
  <c r="F40" i="4"/>
  <c r="G40" i="4"/>
  <c r="F41" i="4"/>
  <c r="G41" i="4"/>
  <c r="E30" i="4"/>
  <c r="G29" i="4"/>
  <c r="E29" i="4"/>
  <c r="H30" i="4" s="1"/>
  <c r="E28" i="4"/>
  <c r="E27" i="4"/>
  <c r="E26" i="4"/>
  <c r="H46" i="4"/>
  <c r="H47" i="4"/>
  <c r="G26" i="4"/>
  <c r="G27" i="4"/>
  <c r="G28" i="4"/>
  <c r="G46" i="4"/>
  <c r="G47" i="4"/>
  <c r="F27" i="4"/>
  <c r="F28" i="4"/>
  <c r="F29" i="4"/>
  <c r="F30" i="4"/>
  <c r="F46" i="4"/>
  <c r="F47" i="4"/>
  <c r="E25" i="4"/>
  <c r="C25" i="4"/>
  <c r="D6" i="3"/>
  <c r="F17" i="3"/>
  <c r="E19" i="3"/>
  <c r="D20" i="3" s="1"/>
  <c r="E20" i="3"/>
  <c r="D21" i="3"/>
  <c r="E21" i="3"/>
  <c r="D22" i="3" s="1"/>
  <c r="E22" i="3"/>
  <c r="D23" i="3"/>
  <c r="E23" i="3"/>
  <c r="E17" i="3"/>
  <c r="D18" i="3"/>
  <c r="E18" i="3"/>
  <c r="D19" i="3" s="1"/>
  <c r="E8" i="3"/>
  <c r="D9" i="3" s="1"/>
  <c r="E9" i="3"/>
  <c r="D10" i="3"/>
  <c r="E10" i="3"/>
  <c r="D11" i="3"/>
  <c r="E11" i="3"/>
  <c r="D12" i="3" s="1"/>
  <c r="E12" i="3"/>
  <c r="D13" i="3" s="1"/>
  <c r="E13" i="3"/>
  <c r="D14" i="3" s="1"/>
  <c r="E14" i="3"/>
  <c r="D15" i="3" s="1"/>
  <c r="E15" i="3"/>
  <c r="D16" i="3" s="1"/>
  <c r="E16" i="3"/>
  <c r="D17" i="3" s="1"/>
  <c r="E7" i="3"/>
  <c r="D8" i="3" s="1"/>
  <c r="E6" i="3"/>
  <c r="E23" i="4"/>
  <c r="E22" i="4"/>
  <c r="E21" i="4"/>
  <c r="E20" i="4"/>
  <c r="E19" i="4"/>
  <c r="E18" i="4"/>
  <c r="E17" i="4"/>
  <c r="E16" i="4"/>
  <c r="H17" i="4" s="1"/>
  <c r="H17" i="3" s="1"/>
  <c r="E15" i="4"/>
  <c r="H16" i="4" s="1"/>
  <c r="H16" i="3" s="1"/>
  <c r="E14" i="4"/>
  <c r="F23" i="3"/>
  <c r="F22" i="4"/>
  <c r="F22" i="3" s="1"/>
  <c r="F21" i="4"/>
  <c r="F21" i="3" s="1"/>
  <c r="G22" i="4"/>
  <c r="G22" i="3" s="1"/>
  <c r="G23" i="3"/>
  <c r="E13" i="4"/>
  <c r="E12" i="4"/>
  <c r="C12" i="4"/>
  <c r="H12" i="4"/>
  <c r="H12" i="3" s="1"/>
  <c r="E10" i="4"/>
  <c r="H11" i="4" s="1"/>
  <c r="H11" i="3" s="1"/>
  <c r="D10" i="4"/>
  <c r="G11" i="4" s="1"/>
  <c r="G11" i="3" s="1"/>
  <c r="F9" i="4"/>
  <c r="F9" i="3" s="1"/>
  <c r="E9" i="4"/>
  <c r="H10" i="4" s="1"/>
  <c r="H10" i="3" s="1"/>
  <c r="E8" i="4"/>
  <c r="D8" i="4"/>
  <c r="G9" i="4" s="1"/>
  <c r="G9" i="3" s="1"/>
  <c r="E7" i="4"/>
  <c r="E24" i="4" s="1"/>
  <c r="D7" i="4"/>
  <c r="H6" i="4"/>
  <c r="F6" i="3"/>
  <c r="D6" i="4"/>
  <c r="B48" i="4"/>
  <c r="B13" i="5"/>
  <c r="G21" i="4"/>
  <c r="G21" i="3" s="1"/>
  <c r="G20" i="4"/>
  <c r="G20" i="3" s="1"/>
  <c r="F20" i="4"/>
  <c r="F20" i="3" s="1"/>
  <c r="G19" i="4"/>
  <c r="G19" i="3" s="1"/>
  <c r="F19" i="4"/>
  <c r="F19" i="3" s="1"/>
  <c r="G18" i="4"/>
  <c r="G18" i="3" s="1"/>
  <c r="F18" i="4"/>
  <c r="F18" i="3" s="1"/>
  <c r="G17" i="4"/>
  <c r="G17" i="3" s="1"/>
  <c r="G16" i="4"/>
  <c r="G16" i="3" s="1"/>
  <c r="F16" i="4"/>
  <c r="F16" i="3" s="1"/>
  <c r="G15" i="4"/>
  <c r="G15" i="3" s="1"/>
  <c r="F15" i="4"/>
  <c r="F15" i="3" s="1"/>
  <c r="G14" i="4"/>
  <c r="G14" i="3" s="1"/>
  <c r="F14" i="4"/>
  <c r="F14" i="3" s="1"/>
  <c r="G13" i="4"/>
  <c r="G13" i="3" s="1"/>
  <c r="G12" i="4"/>
  <c r="G12" i="3" s="1"/>
  <c r="F11" i="4"/>
  <c r="F11" i="3" s="1"/>
  <c r="F10" i="4"/>
  <c r="F10" i="3" s="1"/>
  <c r="F8" i="4"/>
  <c r="F8" i="3" s="1"/>
  <c r="F7" i="4"/>
  <c r="E44" i="4" l="1"/>
  <c r="F26" i="4"/>
  <c r="C44" i="4"/>
  <c r="H6" i="3"/>
  <c r="F13" i="4"/>
  <c r="F13" i="3" s="1"/>
  <c r="C24" i="4"/>
  <c r="D24" i="4"/>
  <c r="G7" i="4"/>
  <c r="G7" i="3" s="1"/>
  <c r="H13" i="4"/>
  <c r="H13" i="3" s="1"/>
  <c r="B49" i="4"/>
  <c r="G49" i="4" s="1"/>
  <c r="F48" i="4"/>
  <c r="F7" i="3"/>
  <c r="H23" i="4"/>
  <c r="H20" i="4"/>
  <c r="H20" i="3" s="1"/>
  <c r="H32" i="4"/>
  <c r="H23" i="3"/>
  <c r="H35" i="4"/>
  <c r="H15" i="4"/>
  <c r="H15" i="3" s="1"/>
  <c r="H21" i="4"/>
  <c r="H21" i="3" s="1"/>
  <c r="H22" i="4"/>
  <c r="H22" i="3" s="1"/>
  <c r="F32" i="4"/>
  <c r="H19" i="4"/>
  <c r="H19" i="3" s="1"/>
  <c r="H41" i="4"/>
  <c r="H40" i="4"/>
  <c r="H39" i="4"/>
  <c r="H38" i="4"/>
  <c r="H37" i="4"/>
  <c r="H36" i="4"/>
  <c r="H34" i="4"/>
  <c r="F35" i="4"/>
  <c r="H33" i="4"/>
  <c r="G6" i="4"/>
  <c r="G48" i="4"/>
  <c r="H8" i="4"/>
  <c r="H8" i="3" s="1"/>
  <c r="H48" i="4"/>
  <c r="H26" i="4"/>
  <c r="H18" i="4"/>
  <c r="H18" i="3" s="1"/>
  <c r="H49" i="4"/>
  <c r="G30" i="4"/>
  <c r="G44" i="4" s="1"/>
  <c r="H29" i="4"/>
  <c r="H28" i="4"/>
  <c r="H27" i="4"/>
  <c r="H14" i="4"/>
  <c r="H14" i="3" s="1"/>
  <c r="F12" i="4"/>
  <c r="F12" i="3" s="1"/>
  <c r="G10" i="4"/>
  <c r="G10" i="3" s="1"/>
  <c r="H9" i="4"/>
  <c r="G8" i="4"/>
  <c r="H7" i="4"/>
  <c r="H7" i="3" s="1"/>
  <c r="B4" i="5"/>
  <c r="B5" i="5"/>
  <c r="B6" i="5"/>
  <c r="B8" i="5" s="1"/>
  <c r="G8" i="5" s="1"/>
  <c r="G9" i="5"/>
  <c r="B10" i="5"/>
  <c r="H44" i="4" l="1"/>
  <c r="F44" i="4"/>
  <c r="F24" i="4"/>
  <c r="G24" i="4"/>
  <c r="H24" i="4"/>
  <c r="B50" i="4"/>
  <c r="F49" i="4"/>
  <c r="G6" i="3"/>
  <c r="G8" i="3"/>
  <c r="H9" i="3"/>
  <c r="B12" i="5"/>
  <c r="G10" i="5"/>
  <c r="B51" i="4" l="1"/>
  <c r="H50" i="4"/>
  <c r="G50" i="4"/>
  <c r="F50" i="4"/>
  <c r="D7" i="3"/>
  <c r="B52" i="4" l="1"/>
  <c r="F51" i="4"/>
  <c r="H51" i="4"/>
  <c r="G51" i="4"/>
  <c r="F26" i="3"/>
  <c r="G26" i="3"/>
  <c r="H26" i="3"/>
  <c r="Q44" i="1"/>
  <c r="P42" i="1"/>
  <c r="N41" i="1"/>
  <c r="N40" i="1"/>
  <c r="P41" i="1"/>
  <c r="N39" i="1"/>
  <c r="P43" i="1"/>
  <c r="N38" i="1"/>
  <c r="N37" i="1"/>
  <c r="N36" i="1"/>
  <c r="P36" i="1"/>
  <c r="N35" i="1"/>
  <c r="N34" i="1"/>
  <c r="N33" i="1"/>
  <c r="G43" i="1"/>
  <c r="C42" i="1"/>
  <c r="F43" i="1" s="1"/>
  <c r="J43" i="1" s="1"/>
  <c r="D41" i="1"/>
  <c r="G41" i="1" s="1"/>
  <c r="C41" i="1"/>
  <c r="F42" i="1" s="1"/>
  <c r="J42" i="1" s="1"/>
  <c r="H40" i="1"/>
  <c r="F40" i="1" s="1"/>
  <c r="J40" i="1" s="1"/>
  <c r="D38" i="1"/>
  <c r="D37" i="1"/>
  <c r="H38" i="1"/>
  <c r="F38" i="1" s="1"/>
  <c r="J38" i="1" s="1"/>
  <c r="H37" i="1"/>
  <c r="P37" i="1" s="1"/>
  <c r="H35" i="1"/>
  <c r="F35" i="1" s="1"/>
  <c r="J35" i="1" s="1"/>
  <c r="H34" i="1"/>
  <c r="P34" i="1" s="1"/>
  <c r="D36" i="1"/>
  <c r="G36" i="1" s="1"/>
  <c r="C36" i="1"/>
  <c r="D33" i="1"/>
  <c r="C33" i="1"/>
  <c r="D28" i="1"/>
  <c r="C28" i="1"/>
  <c r="K41" i="1" l="1"/>
  <c r="E41" i="1"/>
  <c r="K43" i="1"/>
  <c r="E43" i="1"/>
  <c r="K36" i="1"/>
  <c r="E36" i="1"/>
  <c r="B53" i="4"/>
  <c r="F52" i="4"/>
  <c r="G52" i="4"/>
  <c r="H52" i="4"/>
  <c r="P40" i="1"/>
  <c r="G42" i="1"/>
  <c r="P38" i="1"/>
  <c r="G40" i="1"/>
  <c r="G38" i="1"/>
  <c r="F34" i="1"/>
  <c r="G34" i="1"/>
  <c r="F37" i="1"/>
  <c r="J37" i="1" s="1"/>
  <c r="P35" i="1"/>
  <c r="J34" i="1"/>
  <c r="F36" i="1"/>
  <c r="J36" i="1" s="1"/>
  <c r="F41" i="1"/>
  <c r="J41" i="1" s="1"/>
  <c r="G35" i="1"/>
  <c r="G37" i="1"/>
  <c r="K37" i="1" l="1"/>
  <c r="E37" i="1"/>
  <c r="K35" i="1"/>
  <c r="E35" i="1"/>
  <c r="K34" i="1"/>
  <c r="E34" i="1"/>
  <c r="K38" i="1"/>
  <c r="E38" i="1"/>
  <c r="K40" i="1"/>
  <c r="E40" i="1"/>
  <c r="K42" i="1"/>
  <c r="E42" i="1"/>
  <c r="F53" i="4"/>
  <c r="G53" i="4"/>
  <c r="B54" i="4"/>
  <c r="H53" i="4"/>
  <c r="G44" i="1"/>
  <c r="K44" i="1"/>
  <c r="J44" i="1"/>
  <c r="F44" i="1"/>
  <c r="E44" i="1" l="1"/>
  <c r="B55" i="4"/>
  <c r="F54" i="4"/>
  <c r="G54" i="4"/>
  <c r="H54" i="4"/>
  <c r="H55" i="4" l="1"/>
  <c r="G55" i="4"/>
  <c r="B56" i="4"/>
  <c r="F55" i="4"/>
  <c r="H56" i="4" l="1"/>
  <c r="B57" i="4"/>
  <c r="G56" i="4"/>
  <c r="B58" i="4" l="1"/>
  <c r="F57" i="4"/>
  <c r="G57" i="4"/>
  <c r="H57" i="4"/>
  <c r="B59" i="4" l="1"/>
  <c r="G58" i="4"/>
  <c r="H58" i="4"/>
  <c r="F58" i="4"/>
  <c r="B60" i="4" l="1"/>
  <c r="G59" i="4"/>
  <c r="F59" i="4"/>
  <c r="H59" i="4"/>
  <c r="H60" i="4" l="1"/>
  <c r="G60" i="4"/>
  <c r="F60" i="4"/>
  <c r="B61" i="4"/>
  <c r="G61" i="4" l="1"/>
  <c r="F61" i="4"/>
  <c r="B62" i="4"/>
  <c r="H61" i="4"/>
  <c r="B63" i="4" l="1"/>
  <c r="G62" i="4"/>
  <c r="H62" i="4"/>
  <c r="F62" i="4"/>
  <c r="H63" i="4" l="1"/>
  <c r="G63" i="4"/>
  <c r="F63" i="4"/>
  <c r="B64" i="4"/>
  <c r="B65" i="4" l="1"/>
  <c r="G64" i="4"/>
  <c r="F64" i="4"/>
  <c r="H64" i="4"/>
  <c r="B66" i="4" l="1"/>
  <c r="G65" i="4"/>
  <c r="H65" i="4"/>
  <c r="F65" i="4"/>
  <c r="B67" i="4" l="1"/>
  <c r="G66" i="4"/>
  <c r="H66" i="4"/>
  <c r="F66" i="4"/>
  <c r="H67" i="4" l="1"/>
  <c r="F67" i="4"/>
  <c r="G67" i="4"/>
  <c r="B68" i="4"/>
  <c r="B69" i="4" l="1"/>
  <c r="H68" i="4"/>
  <c r="F68" i="4"/>
  <c r="G68" i="4"/>
  <c r="F69" i="4" l="1"/>
  <c r="H69" i="4"/>
  <c r="B70" i="4"/>
  <c r="G69" i="4"/>
  <c r="H70" i="4" l="1"/>
  <c r="G70" i="4"/>
  <c r="F70" i="4"/>
  <c r="B71" i="4"/>
  <c r="F71" i="4" l="1"/>
  <c r="H71" i="4"/>
  <c r="G71" i="4"/>
  <c r="B72" i="4"/>
  <c r="F72" i="4" l="1"/>
  <c r="H72" i="4"/>
  <c r="G72" i="4"/>
  <c r="B73" i="4"/>
  <c r="F73" i="4" l="1"/>
  <c r="G73" i="4"/>
  <c r="H73" i="4"/>
  <c r="B74" i="4"/>
  <c r="G74" i="4" l="1"/>
  <c r="F74" i="4"/>
  <c r="H74" i="4"/>
  <c r="B75" i="4"/>
  <c r="F75" i="4" l="1"/>
  <c r="G75" i="4"/>
  <c r="H75" i="4"/>
  <c r="B76" i="4"/>
  <c r="F76" i="4" l="1"/>
  <c r="H76" i="4"/>
  <c r="G76" i="4"/>
  <c r="B77" i="4"/>
  <c r="F77" i="4" l="1"/>
  <c r="G77" i="4"/>
  <c r="H77" i="4"/>
  <c r="B78" i="4"/>
  <c r="G78" i="4" l="1"/>
  <c r="F78" i="4"/>
  <c r="H78" i="4"/>
  <c r="B79" i="4"/>
  <c r="F79" i="4" l="1"/>
  <c r="G79" i="4"/>
  <c r="H79" i="4"/>
  <c r="B80" i="4"/>
  <c r="F80" i="4" l="1"/>
  <c r="H80" i="4"/>
  <c r="G81" i="4"/>
  <c r="H81" i="4"/>
  <c r="G80" i="4"/>
  <c r="F81" i="4"/>
</calcChain>
</file>

<file path=xl/sharedStrings.xml><?xml version="1.0" encoding="utf-8"?>
<sst xmlns="http://schemas.openxmlformats.org/spreadsheetml/2006/main" count="171" uniqueCount="103">
  <si>
    <t>TOTALS CARRIED TO GENERAL SUMMARY</t>
  </si>
  <si>
    <t>FT</t>
  </si>
  <si>
    <t>STATION</t>
  </si>
  <si>
    <t>EXCAVATION</t>
  </si>
  <si>
    <t>EMBANKMENT</t>
  </si>
  <si>
    <t>CU YD</t>
  </si>
  <si>
    <t>EARTHWORK QUANTITIES</t>
  </si>
  <si>
    <t>SQ YD</t>
  </si>
  <si>
    <t>SEEDING &amp; MULCHING</t>
  </si>
  <si>
    <t xml:space="preserve">Cut </t>
  </si>
  <si>
    <t>Fill</t>
  </si>
  <si>
    <t>TOTAL</t>
  </si>
  <si>
    <t>From KM</t>
  </si>
  <si>
    <t>From XS</t>
  </si>
  <si>
    <t>Station</t>
  </si>
  <si>
    <t>9+15</t>
  </si>
  <si>
    <t>9+50</t>
  </si>
  <si>
    <t>Cut (SF)</t>
  </si>
  <si>
    <t>Fill(SF)</t>
  </si>
  <si>
    <t>-</t>
  </si>
  <si>
    <t>Cut Vol (CY)</t>
  </si>
  <si>
    <t>Fill Vol (CY)</t>
  </si>
  <si>
    <t>10+00</t>
  </si>
  <si>
    <t>10+13</t>
  </si>
  <si>
    <t>10+50</t>
  </si>
  <si>
    <t>10+81.73</t>
  </si>
  <si>
    <t>Length(FT)</t>
  </si>
  <si>
    <t>12+25.33</t>
  </si>
  <si>
    <t>12+50</t>
  </si>
  <si>
    <t>13+00</t>
  </si>
  <si>
    <t>13+50</t>
  </si>
  <si>
    <t>14+00</t>
  </si>
  <si>
    <t>Cut Vol</t>
  </si>
  <si>
    <t>Fill Vol</t>
  </si>
  <si>
    <t>Round up</t>
  </si>
  <si>
    <t>Cut &amp; Fill</t>
  </si>
  <si>
    <t>Seed Area (SY)</t>
  </si>
  <si>
    <t>Seeding Width (FT)</t>
  </si>
  <si>
    <t>to the nearest upper 5ft</t>
  </si>
  <si>
    <t>nearest upper 5ft</t>
  </si>
  <si>
    <t>Seeding and Mulching</t>
  </si>
  <si>
    <t>Total</t>
  </si>
  <si>
    <t>ITEM 203 EXCAVATION</t>
  </si>
  <si>
    <t>ITEM 203 EMBANKMENT</t>
  </si>
  <si>
    <t>ITEM 659 SEEDING AND MULCHING</t>
  </si>
  <si>
    <t>EARTHWORK TOTALS</t>
  </si>
  <si>
    <t>435 CY</t>
  </si>
  <si>
    <t>97 CY</t>
  </si>
  <si>
    <t>565 CY</t>
  </si>
  <si>
    <t>EARTHWORK AND SEEDING TABLE</t>
  </si>
  <si>
    <t>SEEDING AND MULCHING</t>
  </si>
  <si>
    <t>FROM</t>
  </si>
  <si>
    <t>TO</t>
  </si>
  <si>
    <t>CY</t>
  </si>
  <si>
    <t>SY</t>
  </si>
  <si>
    <t>CALCULATIONS</t>
  </si>
  <si>
    <t>STA</t>
  </si>
  <si>
    <t>EXCAVATION
PROP ROADWAY</t>
  </si>
  <si>
    <t>EMBANKMENT
PROP ROADWAY</t>
  </si>
  <si>
    <t>S&amp;M
PROP
ROAD</t>
  </si>
  <si>
    <t>SF</t>
  </si>
  <si>
    <t xml:space="preserve"> </t>
  </si>
  <si>
    <t>A</t>
  </si>
  <si>
    <t>SOIL ANALYSIS TEST</t>
  </si>
  <si>
    <t>EACH</t>
  </si>
  <si>
    <t>2 MIN</t>
  </si>
  <si>
    <t>TOPSOIL</t>
  </si>
  <si>
    <t>REPAIR SEEDING AND MULCHING</t>
  </si>
  <si>
    <t>INTER-SEEDING</t>
  </si>
  <si>
    <t>COMMERCIAL FERTILIZER</t>
  </si>
  <si>
    <t>TON</t>
  </si>
  <si>
    <t>FOR INTERSEEDING</t>
  </si>
  <si>
    <t>com fert =</t>
  </si>
  <si>
    <t>LIME</t>
  </si>
  <si>
    <t>ACRE</t>
  </si>
  <si>
    <t xml:space="preserve">lime = </t>
  </si>
  <si>
    <t>WATER</t>
  </si>
  <si>
    <t>MGAL</t>
  </si>
  <si>
    <t xml:space="preserve">water = </t>
  </si>
  <si>
    <t>MOWING</t>
  </si>
  <si>
    <t>M SQ FT</t>
  </si>
  <si>
    <t>B</t>
  </si>
  <si>
    <t>C</t>
  </si>
  <si>
    <t>20' RT</t>
  </si>
  <si>
    <t>38.283' RT</t>
  </si>
  <si>
    <t>28.129' RT</t>
  </si>
  <si>
    <t>10.043' RT</t>
  </si>
  <si>
    <t>scratch 1 in GP001</t>
  </si>
  <si>
    <t>RT</t>
  </si>
  <si>
    <t>LT</t>
  </si>
  <si>
    <t>27' LT</t>
  </si>
  <si>
    <t>27' LT (radius of the curve)</t>
  </si>
  <si>
    <t>33.254' LT</t>
  </si>
  <si>
    <t>STA. 41+00.00 to STA. 50+20.00</t>
  </si>
  <si>
    <t>STA. 70+92.50 to STA. 89+00.00</t>
  </si>
  <si>
    <t>SUBTOTAL</t>
  </si>
  <si>
    <t>t</t>
  </si>
  <si>
    <t>%</t>
  </si>
  <si>
    <t>Corp Split</t>
  </si>
  <si>
    <t>MOT Water Split</t>
  </si>
  <si>
    <t>Water: 9 gal total</t>
  </si>
  <si>
    <t>STA.10+35.00 to STA. 20+00.00</t>
  </si>
  <si>
    <t>AGGREGATE BACKFILL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</si>
</sst>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+00.00"/>
    <numFmt numFmtId="165" formatCode="###\+##.00"/>
    <numFmt numFmtId="166" formatCode="0.000000"/>
  </numFmts>
  <fonts count="13" x14ac:knownFonts="1">
    <font>
      <sz val="11"/>
      <color theme="1"/>
      <name val="Calibri"/>
      <family val="2"/>
      <scheme val="minor"/>
    </font>
    <font>
      <sz val="14"/>
      <name val="Verdana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Verdana"/>
      <family val="2"/>
    </font>
    <font>
      <i/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89">
    <xf numFmtId="0" fontId="0" fillId="0" borderId="0" xfId="0"/>
    <xf numFmtId="0" fontId="2" fillId="0" borderId="9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9" xfId="0" applyBorder="1"/>
    <xf numFmtId="164" fontId="2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6" fillId="0" borderId="0" xfId="0" applyFont="1" applyAlignment="1">
      <alignment horizontal="center"/>
    </xf>
    <xf numFmtId="1" fontId="2" fillId="0" borderId="10" xfId="0" applyNumberFormat="1" applyFont="1" applyBorder="1" applyAlignment="1">
      <alignment horizontal="center" vertical="center"/>
    </xf>
    <xf numFmtId="1" fontId="0" fillId="0" borderId="0" xfId="0" applyNumberFormat="1"/>
    <xf numFmtId="1" fontId="2" fillId="0" borderId="8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6" fillId="0" borderId="11" xfId="0" applyNumberFormat="1" applyFont="1" applyBorder="1"/>
    <xf numFmtId="1" fontId="6" fillId="0" borderId="13" xfId="0" applyNumberFormat="1" applyFont="1" applyBorder="1"/>
    <xf numFmtId="0" fontId="0" fillId="0" borderId="21" xfId="0" applyBorder="1"/>
    <xf numFmtId="0" fontId="0" fillId="2" borderId="0" xfId="0" applyFill="1"/>
    <xf numFmtId="1" fontId="6" fillId="0" borderId="0" xfId="0" applyNumberFormat="1" applyFont="1"/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28" xfId="0" applyFont="1" applyBorder="1"/>
    <xf numFmtId="0" fontId="8" fillId="0" borderId="29" xfId="0" applyFont="1" applyBorder="1" applyAlignment="1">
      <alignment horizontal="center"/>
    </xf>
    <xf numFmtId="0" fontId="8" fillId="0" borderId="24" xfId="0" applyFont="1" applyBorder="1"/>
    <xf numFmtId="0" fontId="8" fillId="0" borderId="25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15" xfId="0" applyFont="1" applyBorder="1" applyAlignment="1">
      <alignment horizontal="center" textRotation="90" wrapText="1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5" fontId="8" fillId="0" borderId="32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165" fontId="0" fillId="0" borderId="0" xfId="0" applyNumberFormat="1"/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8" xfId="0" applyBorder="1"/>
    <xf numFmtId="14" fontId="0" fillId="0" borderId="0" xfId="0" applyNumberFormat="1"/>
    <xf numFmtId="165" fontId="0" fillId="0" borderId="9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44" xfId="0" applyBorder="1" applyAlignment="1">
      <alignment horizontal="center"/>
    </xf>
    <xf numFmtId="1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3" xfId="0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9" xfId="0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55" xfId="0" applyBorder="1" applyAlignment="1">
      <alignment horizontal="center"/>
    </xf>
    <xf numFmtId="1" fontId="0" fillId="0" borderId="22" xfId="0" applyNumberForma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0" fillId="0" borderId="56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57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3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0" fillId="0" borderId="43" xfId="0" applyNumberFormat="1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" fontId="0" fillId="0" borderId="29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165" fontId="11" fillId="0" borderId="32" xfId="0" applyNumberFormat="1" applyFont="1" applyBorder="1" applyAlignment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165" fontId="12" fillId="0" borderId="32" xfId="0" applyNumberFormat="1" applyFont="1" applyBorder="1" applyAlignment="1">
      <alignment horizontal="center" vertical="center"/>
    </xf>
    <xf numFmtId="165" fontId="11" fillId="0" borderId="34" xfId="0" applyNumberFormat="1" applyFont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 vertical="center"/>
    </xf>
    <xf numFmtId="1" fontId="0" fillId="3" borderId="12" xfId="0" applyNumberFormat="1" applyFill="1" applyBorder="1" applyAlignment="1">
      <alignment horizontal="center" vertical="center"/>
    </xf>
    <xf numFmtId="1" fontId="0" fillId="3" borderId="13" xfId="0" applyNumberFormat="1" applyFill="1" applyBorder="1" applyAlignment="1">
      <alignment horizontal="center" vertical="center"/>
    </xf>
    <xf numFmtId="1" fontId="0" fillId="3" borderId="38" xfId="0" applyNumberFormat="1" applyFill="1" applyBorder="1" applyAlignment="1">
      <alignment horizontal="center" vertical="center"/>
    </xf>
    <xf numFmtId="1" fontId="6" fillId="4" borderId="40" xfId="0" applyNumberFormat="1" applyFont="1" applyFill="1" applyBorder="1" applyAlignment="1">
      <alignment horizontal="center" vertical="center"/>
    </xf>
    <xf numFmtId="1" fontId="2" fillId="0" borderId="17" xfId="1" applyNumberFormat="1" applyFont="1" applyBorder="1" applyAlignment="1">
      <alignment horizontal="center" vertical="center"/>
    </xf>
    <xf numFmtId="1" fontId="2" fillId="0" borderId="15" xfId="1" applyNumberFormat="1" applyFont="1" applyBorder="1" applyAlignment="1">
      <alignment horizontal="center" vertical="center"/>
    </xf>
    <xf numFmtId="1" fontId="2" fillId="0" borderId="32" xfId="1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166" fontId="0" fillId="0" borderId="0" xfId="0" applyNumberFormat="1"/>
    <xf numFmtId="0" fontId="0" fillId="0" borderId="33" xfId="0" applyBorder="1"/>
    <xf numFmtId="0" fontId="0" fillId="0" borderId="8" xfId="0" applyBorder="1"/>
    <xf numFmtId="0" fontId="0" fillId="0" borderId="17" xfId="0" applyBorder="1"/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0" fillId="0" borderId="13" xfId="0" applyBorder="1"/>
    <xf numFmtId="0" fontId="5" fillId="0" borderId="8" xfId="0" applyFont="1" applyBorder="1" applyAlignment="1">
      <alignment horizontal="center" vertical="center" textRotation="90"/>
    </xf>
    <xf numFmtId="0" fontId="2" fillId="0" borderId="1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textRotation="90" wrapText="1"/>
    </xf>
    <xf numFmtId="0" fontId="2" fillId="0" borderId="10" xfId="1" applyFont="1" applyBorder="1" applyAlignment="1">
      <alignment horizontal="center" vertical="center" textRotation="90" wrapText="1"/>
    </xf>
    <xf numFmtId="0" fontId="1" fillId="0" borderId="6" xfId="1" applyFont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6" xfId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42" xfId="1" applyBorder="1" applyAlignment="1">
      <alignment horizontal="center" vertical="center"/>
    </xf>
    <xf numFmtId="0" fontId="2" fillId="0" borderId="60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165" fontId="6" fillId="4" borderId="18" xfId="0" applyNumberFormat="1" applyFont="1" applyFill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33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294829B8-A389-4904-826D-C6B3F0BCB410}"/>
    <cellStyle name="Normal 3" xfId="1" xr:uid="{C45127B5-1FCC-442B-B624-A9C5147F78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435928</xdr:colOff>
      <xdr:row>5</xdr:row>
      <xdr:rowOff>134471</xdr:rowOff>
    </xdr:from>
    <xdr:to>
      <xdr:col>25</xdr:col>
      <xdr:colOff>468670</xdr:colOff>
      <xdr:row>24</xdr:row>
      <xdr:rowOff>112030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7DE02B-4399-45BA-F30E-A9D920D33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50222" y="1501589"/>
          <a:ext cx="7294154" cy="3633077"/>
        </a:xfrm>
        <a:prstGeom prst="rect">
          <a:avLst/>
        </a:prstGeom>
      </xdr:spPr>
    </xdr:pic>
    <xdr:clientData/>
  </xdr:twoCellAnchor>
  <xdr:twoCellAnchor editAs="oneCell">
    <xdr:from>
      <xdr:col>13</xdr:col>
      <xdr:colOff>390225</xdr:colOff>
      <xdr:row>26</xdr:row>
      <xdr:rowOff>112059</xdr:rowOff>
    </xdr:from>
    <xdr:to>
      <xdr:col>23</xdr:col>
      <xdr:colOff>584451</xdr:colOff>
      <xdr:row>50</xdr:row>
      <xdr:rowOff>33197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F4F2F9-6D43-630D-202D-6FD51485F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04519" y="5311588"/>
          <a:ext cx="6245403" cy="4517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6FD6-1248-4328-87F2-8DB242A65D0E}">
  <dimension ref="A1:R44"/>
  <sheetViews>
    <sheetView tabSelected="1" zoomScaleNormal="100" workbookViewId="0">
      <selection activeCell="M17" sqref="M17"/>
    </sheetView>
  </sheetViews>
  <sheetFormatPr defaultRowHeight="15" x14ac:dyDescent="0.25"/>
  <cols>
    <col min="1" max="2" width="29.28515625" customWidth="1"/>
    <col min="3" max="4" width="9" customWidth="1"/>
    <col min="5" max="6" width="11.28515625" bestFit="1" customWidth="1"/>
    <col min="7" max="7" width="13.7109375" customWidth="1"/>
    <col min="10" max="10" width="55.140625" customWidth="1"/>
    <col min="11" max="11" width="12.85546875" customWidth="1"/>
    <col min="14" max="14" width="22.42578125" bestFit="1" customWidth="1"/>
    <col min="15" max="15" width="22.42578125" customWidth="1"/>
  </cols>
  <sheetData>
    <row r="1" spans="1:11" ht="18.75" customHeight="1" thickBot="1" x14ac:dyDescent="0.3">
      <c r="A1" s="140" t="s">
        <v>6</v>
      </c>
      <c r="B1" s="141"/>
      <c r="C1" s="141"/>
      <c r="D1" s="141"/>
      <c r="E1" s="141"/>
      <c r="F1" s="142"/>
    </row>
    <row r="2" spans="1:11" ht="18" customHeight="1" thickBot="1" x14ac:dyDescent="0.3">
      <c r="A2" s="150" t="s">
        <v>2</v>
      </c>
      <c r="B2" s="151"/>
      <c r="C2" s="144">
        <v>203</v>
      </c>
      <c r="D2" s="145"/>
      <c r="E2" s="27">
        <v>304</v>
      </c>
      <c r="F2" s="27">
        <v>659</v>
      </c>
    </row>
    <row r="3" spans="1:11" ht="18" customHeight="1" x14ac:dyDescent="0.25">
      <c r="A3" s="152"/>
      <c r="B3" s="151"/>
      <c r="C3" s="148" t="s">
        <v>3</v>
      </c>
      <c r="D3" s="148" t="s">
        <v>4</v>
      </c>
      <c r="E3" s="143" t="s">
        <v>102</v>
      </c>
      <c r="F3" s="143" t="s">
        <v>8</v>
      </c>
      <c r="J3" s="136" t="s">
        <v>45</v>
      </c>
      <c r="K3" s="137"/>
    </row>
    <row r="4" spans="1:11" ht="15" customHeight="1" thickBot="1" x14ac:dyDescent="0.3">
      <c r="A4" s="152"/>
      <c r="B4" s="151"/>
      <c r="C4" s="148"/>
      <c r="D4" s="148"/>
      <c r="E4" s="143"/>
      <c r="F4" s="143"/>
      <c r="J4" s="138"/>
      <c r="K4" s="139"/>
    </row>
    <row r="5" spans="1:11" ht="15" customHeight="1" x14ac:dyDescent="0.25">
      <c r="A5" s="152"/>
      <c r="B5" s="151"/>
      <c r="C5" s="148"/>
      <c r="D5" s="148"/>
      <c r="E5" s="143"/>
      <c r="F5" s="143"/>
      <c r="J5" s="21" t="s">
        <v>42</v>
      </c>
      <c r="K5" s="22" t="s">
        <v>46</v>
      </c>
    </row>
    <row r="6" spans="1:11" ht="15" customHeight="1" x14ac:dyDescent="0.25">
      <c r="A6" s="152"/>
      <c r="B6" s="151"/>
      <c r="C6" s="148"/>
      <c r="D6" s="148"/>
      <c r="E6" s="143"/>
      <c r="F6" s="143"/>
      <c r="J6" s="23" t="s">
        <v>43</v>
      </c>
      <c r="K6" s="24" t="s">
        <v>47</v>
      </c>
    </row>
    <row r="7" spans="1:11" ht="15" customHeight="1" thickBot="1" x14ac:dyDescent="0.3">
      <c r="A7" s="152"/>
      <c r="B7" s="151"/>
      <c r="C7" s="148"/>
      <c r="D7" s="148"/>
      <c r="E7" s="143"/>
      <c r="F7" s="143"/>
      <c r="J7" s="25" t="s">
        <v>44</v>
      </c>
      <c r="K7" s="26" t="s">
        <v>48</v>
      </c>
    </row>
    <row r="8" spans="1:11" ht="10.5" customHeight="1" x14ac:dyDescent="0.25">
      <c r="A8" s="152"/>
      <c r="B8" s="151"/>
      <c r="C8" s="148"/>
      <c r="D8" s="148"/>
      <c r="E8" s="143"/>
      <c r="F8" s="143"/>
    </row>
    <row r="9" spans="1:11" ht="6" customHeight="1" x14ac:dyDescent="0.25">
      <c r="A9" s="152"/>
      <c r="B9" s="151"/>
      <c r="C9" s="148"/>
      <c r="D9" s="148"/>
      <c r="E9" s="143"/>
      <c r="F9" s="143"/>
    </row>
    <row r="10" spans="1:11" ht="15.75" customHeight="1" x14ac:dyDescent="0.25">
      <c r="A10" s="152"/>
      <c r="B10" s="151"/>
      <c r="C10" s="148"/>
      <c r="D10" s="148"/>
      <c r="E10" s="143"/>
      <c r="F10" s="143"/>
      <c r="H10" s="3"/>
    </row>
    <row r="11" spans="1:11" ht="6.75" customHeight="1" x14ac:dyDescent="0.25">
      <c r="A11" s="152"/>
      <c r="B11" s="151"/>
      <c r="C11" s="148"/>
      <c r="D11" s="148"/>
      <c r="E11" s="143"/>
      <c r="F11" s="143"/>
    </row>
    <row r="12" spans="1:11" ht="3.75" customHeight="1" x14ac:dyDescent="0.25">
      <c r="A12" s="152"/>
      <c r="B12" s="151"/>
      <c r="C12" s="149"/>
      <c r="D12" s="149"/>
      <c r="E12" s="143"/>
      <c r="F12" s="143"/>
    </row>
    <row r="13" spans="1:11" ht="15.75" thickBot="1" x14ac:dyDescent="0.3">
      <c r="A13" s="153"/>
      <c r="B13" s="154"/>
      <c r="C13" s="2" t="s">
        <v>5</v>
      </c>
      <c r="D13" s="2" t="s">
        <v>5</v>
      </c>
      <c r="E13" s="4" t="s">
        <v>5</v>
      </c>
      <c r="F13" s="4" t="s">
        <v>7</v>
      </c>
      <c r="H13" s="161" t="s">
        <v>99</v>
      </c>
      <c r="I13" s="161"/>
    </row>
    <row r="14" spans="1:11" x14ac:dyDescent="0.25">
      <c r="A14" s="155"/>
      <c r="B14" s="156"/>
      <c r="C14" s="1"/>
      <c r="D14" s="1"/>
      <c r="E14" s="5"/>
      <c r="F14" s="5"/>
      <c r="H14" t="s">
        <v>35</v>
      </c>
      <c r="I14" t="s">
        <v>100</v>
      </c>
    </row>
    <row r="15" spans="1:11" x14ac:dyDescent="0.25">
      <c r="A15" s="144" t="s">
        <v>101</v>
      </c>
      <c r="B15" s="147"/>
      <c r="C15" s="126">
        <v>1219</v>
      </c>
      <c r="D15" s="126">
        <f>'Mainline CUT FILL S&amp;M Calcs'!G24</f>
        <v>53</v>
      </c>
      <c r="E15" s="126"/>
      <c r="F15" s="126">
        <v>1465</v>
      </c>
      <c r="H15" s="13">
        <f>C15+D15</f>
        <v>1272</v>
      </c>
      <c r="I15">
        <f>9*H15/(SUM(H15:H17))</f>
        <v>2.7645496256942765</v>
      </c>
    </row>
    <row r="16" spans="1:11" x14ac:dyDescent="0.25">
      <c r="A16" s="157" t="s">
        <v>93</v>
      </c>
      <c r="B16" s="158"/>
      <c r="C16" s="126">
        <v>614</v>
      </c>
      <c r="D16" s="126">
        <v>219</v>
      </c>
      <c r="E16" s="127">
        <v>336</v>
      </c>
      <c r="F16" s="127">
        <v>1313</v>
      </c>
      <c r="H16" s="13">
        <f t="shared" ref="H16:H17" si="0">C16+D16</f>
        <v>833</v>
      </c>
      <c r="I16">
        <f>9*H16/(SUM(H15:H17))</f>
        <v>1.810432262738469</v>
      </c>
    </row>
    <row r="17" spans="1:17" ht="15.75" thickBot="1" x14ac:dyDescent="0.3">
      <c r="A17" s="159" t="s">
        <v>94</v>
      </c>
      <c r="B17" s="160"/>
      <c r="C17" s="124">
        <v>950</v>
      </c>
      <c r="D17" s="124">
        <v>1086</v>
      </c>
      <c r="E17" s="128"/>
      <c r="F17" s="128"/>
      <c r="H17" s="13">
        <f t="shared" si="0"/>
        <v>2036</v>
      </c>
      <c r="I17">
        <f>9*H17/(SUM(H15:H17))</f>
        <v>4.4250181115672547</v>
      </c>
    </row>
    <row r="18" spans="1:17" ht="18.75" thickBot="1" x14ac:dyDescent="0.3">
      <c r="A18" s="140" t="s">
        <v>0</v>
      </c>
      <c r="B18" s="146"/>
      <c r="C18" s="125">
        <f>ROUNDUP(SUM(C15:C17),0)</f>
        <v>2783</v>
      </c>
      <c r="D18" s="125">
        <f>ROUNDUP(SUM(D15:D17),0)</f>
        <v>1358</v>
      </c>
      <c r="E18" s="125">
        <f>ROUNDUP(SUM(E15:E17),0)</f>
        <v>336</v>
      </c>
      <c r="F18" s="125">
        <f>ROUNDUP(SUM(F15:F17),0)</f>
        <v>2778</v>
      </c>
    </row>
    <row r="23" spans="1:17" ht="15.75" thickBot="1" x14ac:dyDescent="0.3">
      <c r="A23" s="166" t="s">
        <v>12</v>
      </c>
      <c r="B23" s="166"/>
      <c r="C23" t="s">
        <v>9</v>
      </c>
      <c r="D23" t="s">
        <v>10</v>
      </c>
    </row>
    <row r="24" spans="1:17" x14ac:dyDescent="0.25">
      <c r="A24" s="6"/>
      <c r="B24" s="6"/>
      <c r="C24">
        <v>28.79</v>
      </c>
      <c r="D24">
        <v>46.8</v>
      </c>
    </row>
    <row r="25" spans="1:17" x14ac:dyDescent="0.25">
      <c r="A25" s="7"/>
      <c r="B25" s="7"/>
      <c r="C25">
        <v>180.53</v>
      </c>
      <c r="D25">
        <v>545.08000000000004</v>
      </c>
    </row>
    <row r="26" spans="1:17" x14ac:dyDescent="0.25">
      <c r="A26" s="7"/>
      <c r="B26" s="7"/>
      <c r="C26">
        <v>261.7</v>
      </c>
      <c r="D26">
        <v>457.54</v>
      </c>
    </row>
    <row r="27" spans="1:17" x14ac:dyDescent="0.25">
      <c r="A27" s="8"/>
      <c r="B27" s="8"/>
      <c r="C27">
        <v>14.55</v>
      </c>
      <c r="D27">
        <v>0</v>
      </c>
    </row>
    <row r="28" spans="1:17" x14ac:dyDescent="0.25">
      <c r="B28" t="s">
        <v>11</v>
      </c>
      <c r="C28">
        <f>SUM(C24:C27)</f>
        <v>485.57</v>
      </c>
      <c r="D28">
        <f>SUM(D24:D27)</f>
        <v>1049.42</v>
      </c>
    </row>
    <row r="29" spans="1:17" ht="15.75" thickBot="1" x14ac:dyDescent="0.3"/>
    <row r="30" spans="1:17" ht="15.75" thickBot="1" x14ac:dyDescent="0.3">
      <c r="A30" s="163" t="s">
        <v>35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5"/>
      <c r="L30" s="11"/>
      <c r="M30" s="163" t="s">
        <v>40</v>
      </c>
      <c r="N30" s="164"/>
      <c r="O30" s="164"/>
      <c r="P30" s="164"/>
      <c r="Q30" s="165"/>
    </row>
    <row r="31" spans="1:17" x14ac:dyDescent="0.25">
      <c r="A31" s="161" t="s">
        <v>13</v>
      </c>
      <c r="B31" s="161"/>
      <c r="J31" s="162" t="s">
        <v>34</v>
      </c>
      <c r="K31" s="162"/>
      <c r="L31" s="11"/>
      <c r="N31" t="s">
        <v>38</v>
      </c>
    </row>
    <row r="32" spans="1:17" ht="15.75" thickBot="1" x14ac:dyDescent="0.3">
      <c r="B32" t="s">
        <v>14</v>
      </c>
      <c r="C32" t="s">
        <v>17</v>
      </c>
      <c r="D32" t="s">
        <v>18</v>
      </c>
      <c r="E32" t="s">
        <v>20</v>
      </c>
      <c r="F32" t="s">
        <v>20</v>
      </c>
      <c r="G32" t="s">
        <v>21</v>
      </c>
      <c r="H32" t="s">
        <v>26</v>
      </c>
      <c r="J32" t="s">
        <v>32</v>
      </c>
      <c r="K32" t="s">
        <v>33</v>
      </c>
      <c r="M32" t="s">
        <v>14</v>
      </c>
      <c r="N32" s="19" t="s">
        <v>37</v>
      </c>
      <c r="O32" t="s">
        <v>39</v>
      </c>
      <c r="P32" s="19" t="s">
        <v>36</v>
      </c>
    </row>
    <row r="33" spans="2:18" x14ac:dyDescent="0.25">
      <c r="B33" s="9" t="s">
        <v>15</v>
      </c>
      <c r="C33">
        <f>9.8275+0.0351</f>
        <v>9.8626000000000005</v>
      </c>
      <c r="D33">
        <f>0.0388+0.5143</f>
        <v>0.55309999999999993</v>
      </c>
      <c r="E33" t="s">
        <v>19</v>
      </c>
      <c r="F33" t="s">
        <v>19</v>
      </c>
      <c r="G33" t="s">
        <v>19</v>
      </c>
      <c r="H33" t="s">
        <v>19</v>
      </c>
      <c r="I33" s="6"/>
      <c r="J33" s="6"/>
      <c r="M33" s="9" t="s">
        <v>15</v>
      </c>
      <c r="N33">
        <f>1.165+1.4859</f>
        <v>2.6509</v>
      </c>
      <c r="O33" s="9">
        <v>5</v>
      </c>
      <c r="P33" t="s">
        <v>19</v>
      </c>
      <c r="Q33" s="9"/>
    </row>
    <row r="34" spans="2:18" x14ac:dyDescent="0.25">
      <c r="B34" s="10" t="s">
        <v>16</v>
      </c>
      <c r="C34">
        <v>8.7729999999999997</v>
      </c>
      <c r="D34">
        <v>18.687999999999999</v>
      </c>
      <c r="E34" t="e">
        <f>((B33+B34)/2)*G34/27</f>
        <v>#VALUE!</v>
      </c>
      <c r="F34">
        <f>((C33+C34)/2)*H34/27</f>
        <v>12.07862962962963</v>
      </c>
      <c r="G34">
        <f>((D33+D34)/2)*H34/27</f>
        <v>12.471083333333333</v>
      </c>
      <c r="H34">
        <f>50-15</f>
        <v>35</v>
      </c>
      <c r="I34" s="7"/>
      <c r="J34" s="12">
        <f>ROUNDUP(F34,0)</f>
        <v>13</v>
      </c>
      <c r="K34" s="13">
        <f>ROUNDUP(G34,0)</f>
        <v>13</v>
      </c>
      <c r="L34" s="13"/>
      <c r="M34" s="10" t="s">
        <v>16</v>
      </c>
      <c r="N34">
        <f>3.073+10.277</f>
        <v>13.35</v>
      </c>
      <c r="O34" s="10">
        <v>15</v>
      </c>
      <c r="P34">
        <f>(O33+O34)/2*H34/9</f>
        <v>38.888888888888886</v>
      </c>
      <c r="Q34" s="10">
        <v>40</v>
      </c>
    </row>
    <row r="35" spans="2:18" x14ac:dyDescent="0.25">
      <c r="B35" t="s">
        <v>22</v>
      </c>
      <c r="C35">
        <v>5.4939999999999998</v>
      </c>
      <c r="D35">
        <v>1.5620000000000001</v>
      </c>
      <c r="E35" t="e">
        <f>((B34+B35)/2)*G35/27</f>
        <v>#VALUE!</v>
      </c>
      <c r="F35">
        <f>((C34+C35)/2)*H35/27</f>
        <v>13.210185185185185</v>
      </c>
      <c r="G35">
        <f>((D34+D35)/2)*H35/27</f>
        <v>18.75</v>
      </c>
      <c r="H35">
        <f>50</f>
        <v>50</v>
      </c>
      <c r="I35" s="8"/>
      <c r="J35" s="12">
        <f t="shared" ref="J35:J43" si="1">ROUNDUP(F35,0)</f>
        <v>14</v>
      </c>
      <c r="K35" s="13">
        <f t="shared" ref="K35:K43" si="2">ROUNDUP(G35,0)</f>
        <v>19</v>
      </c>
      <c r="L35" s="13"/>
      <c r="M35" t="s">
        <v>22</v>
      </c>
      <c r="N35">
        <f>1.031+4.184</f>
        <v>5.2149999999999999</v>
      </c>
      <c r="O35" s="10">
        <v>10</v>
      </c>
      <c r="P35">
        <f t="shared" ref="P35:P43" si="3">(O34+O35)/2*H35/9</f>
        <v>69.444444444444443</v>
      </c>
      <c r="Q35" s="10">
        <v>70</v>
      </c>
    </row>
    <row r="36" spans="2:18" x14ac:dyDescent="0.25">
      <c r="B36" t="s">
        <v>23</v>
      </c>
      <c r="C36">
        <f>60.948+0.035</f>
        <v>60.982999999999997</v>
      </c>
      <c r="D36">
        <f>4.171+0.032</f>
        <v>4.2030000000000003</v>
      </c>
      <c r="E36" t="e">
        <f>((B35+B36)/2)*G36/27</f>
        <v>#VALUE!</v>
      </c>
      <c r="F36">
        <f>((C35+C36)/2)*H36/27</f>
        <v>16.003722222222223</v>
      </c>
      <c r="G36">
        <f>((D35+D36)/2)*H36/27</f>
        <v>1.3878703703703705</v>
      </c>
      <c r="H36">
        <v>13</v>
      </c>
      <c r="J36" s="12">
        <f t="shared" si="1"/>
        <v>17</v>
      </c>
      <c r="K36" s="13">
        <f t="shared" si="2"/>
        <v>2</v>
      </c>
      <c r="L36" s="13"/>
      <c r="M36" t="s">
        <v>23</v>
      </c>
      <c r="N36">
        <f>1.847+5.541+3.186</f>
        <v>10.574</v>
      </c>
      <c r="O36" s="10">
        <v>15</v>
      </c>
      <c r="P36">
        <f t="shared" si="3"/>
        <v>18.055555555555557</v>
      </c>
      <c r="Q36" s="10">
        <v>20</v>
      </c>
    </row>
    <row r="37" spans="2:18" x14ac:dyDescent="0.25">
      <c r="B37" t="s">
        <v>24</v>
      </c>
      <c r="C37">
        <v>45.564999999999998</v>
      </c>
      <c r="D37">
        <f>17.631+0.397</f>
        <v>18.027999999999999</v>
      </c>
      <c r="E37" t="e">
        <f>((B36+B37)/2)*G37/27</f>
        <v>#VALUE!</v>
      </c>
      <c r="F37">
        <f>((C36+C37)/2)*H37/27</f>
        <v>73.005111111111106</v>
      </c>
      <c r="G37">
        <f>((D36+D37)/2)*H37/27</f>
        <v>15.232351851851851</v>
      </c>
      <c r="H37">
        <f>50-13</f>
        <v>37</v>
      </c>
      <c r="J37" s="12">
        <f t="shared" si="1"/>
        <v>74</v>
      </c>
      <c r="K37" s="13">
        <f t="shared" si="2"/>
        <v>16</v>
      </c>
      <c r="L37" s="13"/>
      <c r="M37" t="s">
        <v>24</v>
      </c>
      <c r="N37">
        <f>1.01+10.394+3.324</f>
        <v>14.728</v>
      </c>
      <c r="O37" s="10">
        <v>15</v>
      </c>
      <c r="P37">
        <f t="shared" si="3"/>
        <v>61.666666666666664</v>
      </c>
      <c r="Q37" s="10">
        <v>55</v>
      </c>
    </row>
    <row r="38" spans="2:18" x14ac:dyDescent="0.25">
      <c r="B38" t="s">
        <v>25</v>
      </c>
      <c r="C38">
        <v>49.2742</v>
      </c>
      <c r="D38">
        <f>9.6025+19.1823</f>
        <v>28.784800000000001</v>
      </c>
      <c r="E38" t="e">
        <f>((B37+B38)/2)*G38/27</f>
        <v>#VALUE!</v>
      </c>
      <c r="F38">
        <f>((C37+C38)/2)*H38/27</f>
        <v>55.726811407407418</v>
      </c>
      <c r="G38">
        <f>((D37+D38)/2)*H38/27</f>
        <v>27.506854518518519</v>
      </c>
      <c r="H38">
        <f>81.73-50</f>
        <v>31.730000000000004</v>
      </c>
      <c r="J38" s="12">
        <f t="shared" si="1"/>
        <v>56</v>
      </c>
      <c r="K38" s="13">
        <f t="shared" si="2"/>
        <v>28</v>
      </c>
      <c r="L38" s="13"/>
      <c r="M38" t="s">
        <v>25</v>
      </c>
      <c r="N38">
        <f>12.4708+11.1399</f>
        <v>23.610700000000001</v>
      </c>
      <c r="O38" s="10">
        <v>25</v>
      </c>
      <c r="P38">
        <f t="shared" si="3"/>
        <v>70.51111111111112</v>
      </c>
      <c r="Q38" s="10">
        <v>75</v>
      </c>
    </row>
    <row r="39" spans="2:18" x14ac:dyDescent="0.25">
      <c r="B39" t="s">
        <v>27</v>
      </c>
      <c r="C39">
        <v>56.921599999999998</v>
      </c>
      <c r="D39">
        <v>15.588200000000001</v>
      </c>
      <c r="E39" t="s">
        <v>19</v>
      </c>
      <c r="F39" t="s">
        <v>19</v>
      </c>
      <c r="G39" t="s">
        <v>19</v>
      </c>
      <c r="H39" t="s">
        <v>19</v>
      </c>
      <c r="J39" s="12" t="s">
        <v>19</v>
      </c>
      <c r="K39" s="15" t="s">
        <v>19</v>
      </c>
      <c r="L39" s="15"/>
      <c r="M39" t="s">
        <v>27</v>
      </c>
      <c r="N39">
        <f>6.7385+12.2316</f>
        <v>18.970100000000002</v>
      </c>
      <c r="O39" s="10">
        <v>20</v>
      </c>
      <c r="P39" t="s">
        <v>19</v>
      </c>
      <c r="Q39" s="10" t="s">
        <v>19</v>
      </c>
    </row>
    <row r="40" spans="2:18" x14ac:dyDescent="0.25">
      <c r="B40" t="s">
        <v>28</v>
      </c>
      <c r="C40">
        <v>72.882000000000005</v>
      </c>
      <c r="D40">
        <v>4.4909999999999997</v>
      </c>
      <c r="E40" t="e">
        <f>((B39+B40)/2)*G40/27</f>
        <v>#VALUE!</v>
      </c>
      <c r="F40">
        <f>((C39+C40)/2)*H40/27</f>
        <v>59.301015037037047</v>
      </c>
      <c r="G40">
        <f>((D39+D40)/2)*H40/27</f>
        <v>9.1732197037037047</v>
      </c>
      <c r="H40">
        <f>50-25.33</f>
        <v>24.67</v>
      </c>
      <c r="J40" s="12">
        <f t="shared" si="1"/>
        <v>60</v>
      </c>
      <c r="K40" s="13">
        <f t="shared" si="2"/>
        <v>10</v>
      </c>
      <c r="L40" s="13"/>
      <c r="M40" t="s">
        <v>28</v>
      </c>
      <c r="N40">
        <f>13.187+2+7.27</f>
        <v>22.457000000000001</v>
      </c>
      <c r="O40" s="10">
        <v>25</v>
      </c>
      <c r="P40">
        <f>(O39+O40)/2*H40/9</f>
        <v>61.675000000000004</v>
      </c>
      <c r="Q40" s="10">
        <v>65</v>
      </c>
    </row>
    <row r="41" spans="2:18" x14ac:dyDescent="0.25">
      <c r="B41" t="s">
        <v>29</v>
      </c>
      <c r="C41">
        <f>63.019+5.777</f>
        <v>68.795999999999992</v>
      </c>
      <c r="D41">
        <f>0.448+0.041</f>
        <v>0.48899999999999999</v>
      </c>
      <c r="E41" t="e">
        <f>((B40+B41)/2)*G41/27</f>
        <v>#VALUE!</v>
      </c>
      <c r="F41">
        <f>((C40+C41)/2)*H41/27</f>
        <v>131.18333333333334</v>
      </c>
      <c r="G41">
        <f>((D40+D41)/2)*H41/27</f>
        <v>4.6111111111111107</v>
      </c>
      <c r="H41">
        <v>50</v>
      </c>
      <c r="J41" s="12">
        <f t="shared" si="1"/>
        <v>132</v>
      </c>
      <c r="K41" s="13">
        <f t="shared" si="2"/>
        <v>5</v>
      </c>
      <c r="L41" s="13"/>
      <c r="M41" t="s">
        <v>29</v>
      </c>
      <c r="N41">
        <f>11.623+14.549+2.56</f>
        <v>28.731999999999996</v>
      </c>
      <c r="O41" s="10">
        <v>30</v>
      </c>
      <c r="P41">
        <f>(O40+O41)/2*H41/9</f>
        <v>152.77777777777777</v>
      </c>
      <c r="Q41" s="10">
        <v>155</v>
      </c>
    </row>
    <row r="42" spans="2:18" x14ac:dyDescent="0.25">
      <c r="B42" t="s">
        <v>30</v>
      </c>
      <c r="C42">
        <f>0.243+0.031</f>
        <v>0.27400000000000002</v>
      </c>
      <c r="D42">
        <v>0.34100000000000003</v>
      </c>
      <c r="E42" t="e">
        <f>((B41+B42)/2)*G42/27</f>
        <v>#VALUE!</v>
      </c>
      <c r="F42">
        <f>((C41+C42)/2)*H42/27</f>
        <v>63.953703703703695</v>
      </c>
      <c r="G42">
        <f>((D41+D42)/2)*H42/27</f>
        <v>0.76851851851851849</v>
      </c>
      <c r="H42">
        <v>50</v>
      </c>
      <c r="J42" s="12">
        <f t="shared" si="1"/>
        <v>64</v>
      </c>
      <c r="K42" s="13">
        <f t="shared" si="2"/>
        <v>1</v>
      </c>
      <c r="L42" s="13"/>
      <c r="M42" t="s">
        <v>30</v>
      </c>
      <c r="N42">
        <v>0</v>
      </c>
      <c r="O42" s="10">
        <v>0</v>
      </c>
      <c r="P42">
        <f>(O41+O42)/2*H42/9</f>
        <v>83.333333333333329</v>
      </c>
      <c r="Q42" s="10">
        <v>85</v>
      </c>
    </row>
    <row r="43" spans="2:18" ht="15.75" thickBot="1" x14ac:dyDescent="0.3">
      <c r="B43" t="s">
        <v>31</v>
      </c>
      <c r="C43">
        <v>4.3869999999999996</v>
      </c>
      <c r="D43">
        <v>0</v>
      </c>
      <c r="E43" t="e">
        <f>((B42+B43)/2)*G43/27</f>
        <v>#VALUE!</v>
      </c>
      <c r="F43">
        <f>((C42+C43)/2)*H43/27</f>
        <v>4.3157407407407407</v>
      </c>
      <c r="G43">
        <f>((D42+D43)/2)*H43/27</f>
        <v>0.31574074074074077</v>
      </c>
      <c r="H43">
        <v>50</v>
      </c>
      <c r="J43" s="14">
        <f t="shared" si="1"/>
        <v>5</v>
      </c>
      <c r="K43" s="13">
        <f t="shared" si="2"/>
        <v>1</v>
      </c>
      <c r="L43" s="13"/>
      <c r="M43" t="s">
        <v>31</v>
      </c>
      <c r="N43">
        <v>0</v>
      </c>
      <c r="O43" s="10">
        <v>0</v>
      </c>
      <c r="P43">
        <f t="shared" si="3"/>
        <v>0</v>
      </c>
      <c r="Q43" s="10">
        <v>0</v>
      </c>
    </row>
    <row r="44" spans="2:18" ht="15.75" thickBot="1" x14ac:dyDescent="0.3">
      <c r="B44" t="s">
        <v>11</v>
      </c>
      <c r="E44" t="e">
        <f>SUM(E34:E38)+SUM(E40:E43)</f>
        <v>#VALUE!</v>
      </c>
      <c r="F44">
        <f>SUM(F34:F38)+SUM(F40:F43)</f>
        <v>428.77825237037035</v>
      </c>
      <c r="G44">
        <f>SUM(G34:G38)+SUM(G40:G43)</f>
        <v>90.216750148148151</v>
      </c>
      <c r="J44" s="16">
        <f>SUM(J34:J43)</f>
        <v>435</v>
      </c>
      <c r="K44" s="17">
        <f>SUM(K34:K43)</f>
        <v>95</v>
      </c>
      <c r="L44" s="20"/>
      <c r="M44" t="s">
        <v>11</v>
      </c>
      <c r="O44" s="18"/>
      <c r="Q44" s="18">
        <f>SUM(Q34:Q43)</f>
        <v>565</v>
      </c>
      <c r="R44" t="s">
        <v>41</v>
      </c>
    </row>
  </sheetData>
  <mergeCells count="19">
    <mergeCell ref="J31:K31"/>
    <mergeCell ref="A30:K30"/>
    <mergeCell ref="M30:Q30"/>
    <mergeCell ref="A31:B31"/>
    <mergeCell ref="A23:B23"/>
    <mergeCell ref="J3:K4"/>
    <mergeCell ref="A1:F1"/>
    <mergeCell ref="F3:F12"/>
    <mergeCell ref="C2:D2"/>
    <mergeCell ref="A18:B18"/>
    <mergeCell ref="A15:B15"/>
    <mergeCell ref="C3:C12"/>
    <mergeCell ref="A2:B13"/>
    <mergeCell ref="D3:D12"/>
    <mergeCell ref="A14:B14"/>
    <mergeCell ref="A16:B16"/>
    <mergeCell ref="A17:B17"/>
    <mergeCell ref="H13:I13"/>
    <mergeCell ref="E3:E1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B7DA-42A1-4F72-8AB5-D0969D951F10}">
  <dimension ref="A1:JD89"/>
  <sheetViews>
    <sheetView zoomScale="70" zoomScaleNormal="70" workbookViewId="0">
      <selection activeCell="N90" sqref="N90"/>
    </sheetView>
  </sheetViews>
  <sheetFormatPr defaultRowHeight="15" x14ac:dyDescent="0.25"/>
  <cols>
    <col min="1" max="1" width="18.85546875" bestFit="1" customWidth="1"/>
    <col min="2" max="2" width="18" style="38" customWidth="1"/>
    <col min="3" max="3" width="17.42578125" customWidth="1"/>
    <col min="4" max="4" width="18.42578125" customWidth="1"/>
    <col min="5" max="5" width="14.7109375" customWidth="1"/>
    <col min="6" max="6" width="22.7109375" bestFit="1" customWidth="1"/>
    <col min="7" max="7" width="24" bestFit="1" customWidth="1"/>
    <col min="8" max="8" width="14" customWidth="1"/>
    <col min="9" max="9" width="9.5703125" customWidth="1"/>
    <col min="10" max="10" width="17.5703125" bestFit="1" customWidth="1"/>
  </cols>
  <sheetData>
    <row r="1" spans="1:264" ht="15.75" thickBot="1" x14ac:dyDescent="0.3"/>
    <row r="2" spans="1:264" ht="15.75" thickBot="1" x14ac:dyDescent="0.3">
      <c r="B2" s="170" t="s">
        <v>55</v>
      </c>
      <c r="C2" s="171"/>
      <c r="D2" s="171"/>
      <c r="E2" s="171"/>
      <c r="F2" s="171"/>
      <c r="G2" s="171"/>
      <c r="H2" s="172"/>
    </row>
    <row r="3" spans="1:264" ht="45" x14ac:dyDescent="0.25">
      <c r="B3" s="173" t="s">
        <v>56</v>
      </c>
      <c r="C3" s="39" t="s">
        <v>57</v>
      </c>
      <c r="D3" s="39" t="s">
        <v>58</v>
      </c>
      <c r="E3" s="39" t="s">
        <v>59</v>
      </c>
      <c r="F3" s="39" t="s">
        <v>57</v>
      </c>
      <c r="G3" s="39" t="s">
        <v>58</v>
      </c>
      <c r="H3" s="39" t="s">
        <v>59</v>
      </c>
      <c r="I3" s="40"/>
    </row>
    <row r="4" spans="1:264" ht="15.75" thickBot="1" x14ac:dyDescent="0.3">
      <c r="B4" s="174"/>
      <c r="C4" s="41" t="s">
        <v>60</v>
      </c>
      <c r="D4" s="41" t="s">
        <v>60</v>
      </c>
      <c r="E4" s="87" t="s">
        <v>1</v>
      </c>
      <c r="F4" s="41" t="s">
        <v>53</v>
      </c>
      <c r="G4" s="41" t="s">
        <v>53</v>
      </c>
      <c r="H4" s="41" t="s">
        <v>54</v>
      </c>
      <c r="I4" s="40"/>
    </row>
    <row r="5" spans="1:264" x14ac:dyDescent="0.25">
      <c r="A5" s="175" t="s">
        <v>62</v>
      </c>
      <c r="B5" s="50">
        <v>1040</v>
      </c>
      <c r="C5" s="79">
        <v>0</v>
      </c>
      <c r="D5" s="80">
        <v>0</v>
      </c>
      <c r="E5" s="86">
        <v>0</v>
      </c>
      <c r="F5" s="42"/>
      <c r="G5" s="43"/>
      <c r="H5" s="44"/>
    </row>
    <row r="6" spans="1:264" x14ac:dyDescent="0.25">
      <c r="A6" s="176"/>
      <c r="B6" s="114">
        <v>1050</v>
      </c>
      <c r="C6" s="81">
        <v>9.9734999999999996</v>
      </c>
      <c r="D6" s="82">
        <f>0.1287+0.4066</f>
        <v>0.5353</v>
      </c>
      <c r="E6" s="85">
        <v>6</v>
      </c>
      <c r="F6" s="45">
        <f>ROUNDUP(($B6-$B5)*((C6+C5)/2)*1/27,0)</f>
        <v>2</v>
      </c>
      <c r="G6" s="46">
        <f>ROUNDUP(($B6-$B5)*((D6+D5)/2)*1/27,0)</f>
        <v>1</v>
      </c>
      <c r="H6" s="47">
        <f>ROUNDUP(($B6-$B5)*((E6+E5)/2)*1/9,0)</f>
        <v>4</v>
      </c>
    </row>
    <row r="7" spans="1:264" x14ac:dyDescent="0.25">
      <c r="A7" s="176"/>
      <c r="B7" s="115">
        <v>1100</v>
      </c>
      <c r="C7" s="83">
        <v>5.9118000000000004</v>
      </c>
      <c r="D7" s="84">
        <f>3.4887+0.8205</f>
        <v>4.3092000000000006</v>
      </c>
      <c r="E7" s="85">
        <f>6.8891+3.9382</f>
        <v>10.827300000000001</v>
      </c>
      <c r="F7" s="45">
        <f t="shared" ref="F7:G19" si="0">ROUNDUP(($B7-$B6)*((C7+C6)/2)*1/27,0)</f>
        <v>15</v>
      </c>
      <c r="G7" s="46">
        <f t="shared" si="0"/>
        <v>5</v>
      </c>
      <c r="H7" s="47">
        <f t="shared" ref="H7:H20" si="1">ROUNDUP(($B7-$B6)*((E7+E6)/2)*1/9,0)</f>
        <v>47</v>
      </c>
    </row>
    <row r="8" spans="1:264" x14ac:dyDescent="0.25">
      <c r="A8" s="176"/>
      <c r="B8" s="114">
        <v>1150</v>
      </c>
      <c r="C8" s="83">
        <v>1.2143999999999999</v>
      </c>
      <c r="D8" s="84">
        <f>1.555+10.0598</f>
        <v>11.614799999999999</v>
      </c>
      <c r="E8" s="85">
        <f>5.8459+8.6108</f>
        <v>14.4567</v>
      </c>
      <c r="F8" s="45">
        <f t="shared" si="0"/>
        <v>7</v>
      </c>
      <c r="G8" s="46">
        <f t="shared" si="0"/>
        <v>15</v>
      </c>
      <c r="H8" s="47">
        <f t="shared" si="1"/>
        <v>71</v>
      </c>
    </row>
    <row r="9" spans="1:264" s="48" customFormat="1" ht="15.75" thickBot="1" x14ac:dyDescent="0.3">
      <c r="A9" s="176"/>
      <c r="B9" s="115">
        <v>1200</v>
      </c>
      <c r="C9" s="83">
        <v>10.526300000000001</v>
      </c>
      <c r="D9" s="84">
        <v>2.8353999999999999</v>
      </c>
      <c r="E9" s="85">
        <f>2.823+5.7805</f>
        <v>8.6035000000000004</v>
      </c>
      <c r="F9" s="45">
        <f>ROUNDUP(($B9-$B8)*((C9+C8)/2)*1/27,0)</f>
        <v>11</v>
      </c>
      <c r="G9" s="46">
        <f t="shared" si="0"/>
        <v>14</v>
      </c>
      <c r="H9" s="47">
        <f t="shared" si="1"/>
        <v>65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</row>
    <row r="10" spans="1:264" x14ac:dyDescent="0.25">
      <c r="A10" s="176"/>
      <c r="B10" s="114">
        <v>1250</v>
      </c>
      <c r="C10" s="83">
        <v>8.2621000000000002</v>
      </c>
      <c r="D10" s="84">
        <f>1.4625+0.0074</f>
        <v>1.4699</v>
      </c>
      <c r="E10" s="85">
        <f>4.5976+1.1265</f>
        <v>5.7241</v>
      </c>
      <c r="F10" s="45">
        <f t="shared" si="0"/>
        <v>18</v>
      </c>
      <c r="G10" s="46">
        <f t="shared" si="0"/>
        <v>4</v>
      </c>
      <c r="H10" s="47">
        <f t="shared" si="1"/>
        <v>40</v>
      </c>
    </row>
    <row r="11" spans="1:264" x14ac:dyDescent="0.25">
      <c r="A11" s="176"/>
      <c r="B11" s="115">
        <v>1300</v>
      </c>
      <c r="C11" s="83">
        <v>16.373200000000001</v>
      </c>
      <c r="D11" s="84">
        <v>0</v>
      </c>
      <c r="E11" s="85">
        <v>4.0609999999999999</v>
      </c>
      <c r="F11" s="45">
        <f t="shared" si="0"/>
        <v>23</v>
      </c>
      <c r="G11" s="46">
        <f t="shared" si="0"/>
        <v>2</v>
      </c>
      <c r="H11" s="47">
        <f>ROUNDUP(($B11-$B10)*((E11+E10)/2)*1/9,0)</f>
        <v>28</v>
      </c>
    </row>
    <row r="12" spans="1:264" x14ac:dyDescent="0.25">
      <c r="A12" s="176"/>
      <c r="B12" s="114">
        <v>1350</v>
      </c>
      <c r="C12" s="83">
        <f>15.9799</f>
        <v>15.979900000000001</v>
      </c>
      <c r="D12" s="84">
        <v>0</v>
      </c>
      <c r="E12" s="85">
        <f>2.0633</f>
        <v>2.0632999999999999</v>
      </c>
      <c r="F12" s="45">
        <f t="shared" si="0"/>
        <v>30</v>
      </c>
      <c r="G12" s="46">
        <f t="shared" si="0"/>
        <v>0</v>
      </c>
      <c r="H12" s="47">
        <f t="shared" si="1"/>
        <v>18</v>
      </c>
    </row>
    <row r="13" spans="1:264" x14ac:dyDescent="0.25">
      <c r="A13" s="176"/>
      <c r="B13" s="115">
        <v>1400</v>
      </c>
      <c r="C13" s="83">
        <v>9.4763999999999999</v>
      </c>
      <c r="D13" s="84">
        <v>3.1657000000000002</v>
      </c>
      <c r="E13" s="85">
        <f>2.4183+5.6553</f>
        <v>8.0736000000000008</v>
      </c>
      <c r="F13" s="45">
        <f t="shared" si="0"/>
        <v>24</v>
      </c>
      <c r="G13" s="46">
        <f t="shared" si="0"/>
        <v>3</v>
      </c>
      <c r="H13" s="47">
        <f t="shared" si="1"/>
        <v>29</v>
      </c>
      <c r="I13" t="s">
        <v>88</v>
      </c>
      <c r="K13" t="s">
        <v>89</v>
      </c>
    </row>
    <row r="14" spans="1:264" x14ac:dyDescent="0.25">
      <c r="A14" s="176"/>
      <c r="B14" s="116">
        <v>1450</v>
      </c>
      <c r="C14" s="83">
        <v>92.557500000000005</v>
      </c>
      <c r="D14" s="84">
        <v>0</v>
      </c>
      <c r="E14" s="85">
        <f>11.5865+13.1</f>
        <v>24.686499999999999</v>
      </c>
      <c r="F14" s="45">
        <f t="shared" si="0"/>
        <v>95</v>
      </c>
      <c r="G14" s="46">
        <f t="shared" si="0"/>
        <v>3</v>
      </c>
      <c r="H14" s="47">
        <f t="shared" si="1"/>
        <v>92</v>
      </c>
      <c r="I14" t="s">
        <v>83</v>
      </c>
      <c r="J14" s="167" t="s">
        <v>87</v>
      </c>
    </row>
    <row r="15" spans="1:264" x14ac:dyDescent="0.25">
      <c r="A15" s="176"/>
      <c r="B15" s="117">
        <v>1500</v>
      </c>
      <c r="C15" s="83">
        <v>74.797600000000003</v>
      </c>
      <c r="D15" s="84">
        <v>0</v>
      </c>
      <c r="E15" s="85">
        <f>9.1312+13.1</f>
        <v>22.231200000000001</v>
      </c>
      <c r="F15" s="45">
        <f t="shared" si="0"/>
        <v>155</v>
      </c>
      <c r="G15" s="46">
        <f t="shared" si="0"/>
        <v>0</v>
      </c>
      <c r="H15" s="47">
        <f t="shared" si="1"/>
        <v>131</v>
      </c>
      <c r="I15" t="s">
        <v>83</v>
      </c>
      <c r="J15" s="167"/>
    </row>
    <row r="16" spans="1:264" x14ac:dyDescent="0.25">
      <c r="A16" s="176"/>
      <c r="B16" s="117">
        <v>1550</v>
      </c>
      <c r="C16" s="83">
        <v>112.0299</v>
      </c>
      <c r="D16" s="84">
        <v>0</v>
      </c>
      <c r="E16" s="85">
        <f>13.6853+13.0675</f>
        <v>26.752800000000001</v>
      </c>
      <c r="F16" s="45">
        <f>ROUNDUP(($B16-$B15)*((C16+C15)/2)*1/27,0)</f>
        <v>173</v>
      </c>
      <c r="G16" s="46">
        <f t="shared" si="0"/>
        <v>0</v>
      </c>
      <c r="H16" s="47">
        <f t="shared" si="1"/>
        <v>137</v>
      </c>
      <c r="I16" t="s">
        <v>83</v>
      </c>
      <c r="J16" s="167"/>
    </row>
    <row r="17" spans="1:11" x14ac:dyDescent="0.25">
      <c r="A17" s="176"/>
      <c r="B17" s="117">
        <v>1600</v>
      </c>
      <c r="C17" s="83">
        <v>73.933800000000005</v>
      </c>
      <c r="D17" s="84">
        <v>0.78420000000000001</v>
      </c>
      <c r="E17" s="85">
        <f>4.1783+31.393</f>
        <v>35.571300000000001</v>
      </c>
      <c r="F17" s="45">
        <v>0</v>
      </c>
      <c r="G17" s="46">
        <f t="shared" si="0"/>
        <v>1</v>
      </c>
      <c r="H17" s="47">
        <f t="shared" si="1"/>
        <v>174</v>
      </c>
      <c r="I17" t="s">
        <v>84</v>
      </c>
      <c r="J17" s="167"/>
    </row>
    <row r="18" spans="1:11" x14ac:dyDescent="0.25">
      <c r="A18" s="176"/>
      <c r="B18" s="117">
        <v>1650</v>
      </c>
      <c r="C18" s="83">
        <v>76.841999999999999</v>
      </c>
      <c r="D18" s="84">
        <v>1.6638999999999999</v>
      </c>
      <c r="E18" s="85">
        <f>6.6065+21.2</f>
        <v>27.8065</v>
      </c>
      <c r="F18" s="45">
        <f t="shared" ref="F18:G30" si="2">ROUNDUP(($B18-$B17)*((C18+C17)/2)*1/27,0)</f>
        <v>140</v>
      </c>
      <c r="G18" s="46">
        <f t="shared" si="0"/>
        <v>3</v>
      </c>
      <c r="H18" s="47">
        <f t="shared" si="1"/>
        <v>177</v>
      </c>
      <c r="I18" t="s">
        <v>85</v>
      </c>
      <c r="J18" s="167"/>
      <c r="K18" t="s">
        <v>91</v>
      </c>
    </row>
    <row r="19" spans="1:11" x14ac:dyDescent="0.25">
      <c r="A19" s="176"/>
      <c r="B19" s="117">
        <v>1700</v>
      </c>
      <c r="C19" s="83">
        <v>185.07980000000001</v>
      </c>
      <c r="D19" s="84">
        <v>0</v>
      </c>
      <c r="E19" s="85">
        <f>21.1+13.1025</f>
        <v>34.202500000000001</v>
      </c>
      <c r="F19" s="45">
        <f t="shared" si="2"/>
        <v>243</v>
      </c>
      <c r="G19" s="46">
        <f t="shared" si="0"/>
        <v>2</v>
      </c>
      <c r="H19" s="47">
        <f t="shared" si="1"/>
        <v>173</v>
      </c>
      <c r="I19" t="s">
        <v>86</v>
      </c>
      <c r="J19" s="167"/>
      <c r="K19" t="s">
        <v>90</v>
      </c>
    </row>
    <row r="20" spans="1:11" x14ac:dyDescent="0.25">
      <c r="A20" s="176"/>
      <c r="B20" s="117">
        <v>1750</v>
      </c>
      <c r="C20" s="83">
        <v>23.057400000000001</v>
      </c>
      <c r="D20" s="84">
        <v>0</v>
      </c>
      <c r="E20" s="85">
        <f>21.0975</f>
        <v>21.0975</v>
      </c>
      <c r="F20" s="45">
        <f t="shared" si="2"/>
        <v>193</v>
      </c>
      <c r="G20" s="46">
        <f t="shared" si="2"/>
        <v>0</v>
      </c>
      <c r="H20" s="47">
        <f t="shared" si="1"/>
        <v>154</v>
      </c>
      <c r="K20" t="s">
        <v>90</v>
      </c>
    </row>
    <row r="21" spans="1:11" x14ac:dyDescent="0.25">
      <c r="A21" s="176"/>
      <c r="B21" s="117">
        <v>1800</v>
      </c>
      <c r="C21" s="83">
        <v>19.047599999999999</v>
      </c>
      <c r="D21" s="84">
        <v>0</v>
      </c>
      <c r="E21" s="85">
        <f>3.37+2.4684</f>
        <v>5.8384</v>
      </c>
      <c r="F21" s="45">
        <f>ROUNDUP(($B21-$B20)*((C21+C20)/2)*1/27,0)</f>
        <v>39</v>
      </c>
      <c r="G21" s="46">
        <f t="shared" si="2"/>
        <v>0</v>
      </c>
      <c r="H21" s="47">
        <f>ROUNDUP(($B21-$B20)*((E21+E20)/2)*1/9,0)</f>
        <v>75</v>
      </c>
      <c r="K21" t="s">
        <v>92</v>
      </c>
    </row>
    <row r="22" spans="1:11" x14ac:dyDescent="0.25">
      <c r="A22" s="176"/>
      <c r="B22" s="115">
        <v>1850</v>
      </c>
      <c r="C22" s="83">
        <v>16.676600000000001</v>
      </c>
      <c r="D22" s="84">
        <v>0</v>
      </c>
      <c r="E22" s="85">
        <f>3.006+2.3721</f>
        <v>5.3780999999999999</v>
      </c>
      <c r="F22" s="45">
        <f>ROUNDUP(($B22-$B21)*((C22+C21)/2)*1/27,0)</f>
        <v>34</v>
      </c>
      <c r="G22" s="46">
        <f t="shared" si="2"/>
        <v>0</v>
      </c>
      <c r="H22" s="47">
        <f>ROUNDUP(($B22-$B21)*((E22+E21)/2)*1/9,0)</f>
        <v>32</v>
      </c>
    </row>
    <row r="23" spans="1:11" ht="15.75" customHeight="1" thickBot="1" x14ac:dyDescent="0.3">
      <c r="A23" s="176"/>
      <c r="B23" s="118">
        <v>2000</v>
      </c>
      <c r="C23" s="88">
        <v>24.191500000000001</v>
      </c>
      <c r="D23" s="89">
        <v>0</v>
      </c>
      <c r="E23" s="90">
        <f>5.201</f>
        <v>5.2009999999999996</v>
      </c>
      <c r="F23" s="100">
        <f>ROUNDUP(($B23-$B22)*((C23+C22)/2)*1/27,0)</f>
        <v>114</v>
      </c>
      <c r="G23" s="101">
        <f>ROUNDUP(($B23-$B22)*((D23+D22)/2)*1/27,0)</f>
        <v>0</v>
      </c>
      <c r="H23" s="102">
        <f>ROUNDUP(($B23-$B22)*((E23+E22)/2)*1/9,0)</f>
        <v>89</v>
      </c>
    </row>
    <row r="24" spans="1:11" ht="15.75" customHeight="1" thickBot="1" x14ac:dyDescent="0.3">
      <c r="A24" s="178" t="s">
        <v>95</v>
      </c>
      <c r="B24" s="179"/>
      <c r="C24" s="122">
        <f>SUM(C5:C23)</f>
        <v>775.93130000000008</v>
      </c>
      <c r="D24" s="122">
        <f t="shared" ref="D24:H24" si="3">SUM(D5:D23)</f>
        <v>26.378399999999999</v>
      </c>
      <c r="E24" s="122">
        <f t="shared" si="3"/>
        <v>268.57530000000003</v>
      </c>
      <c r="F24" s="122">
        <f t="shared" si="3"/>
        <v>1316</v>
      </c>
      <c r="G24" s="122">
        <f t="shared" si="3"/>
        <v>53</v>
      </c>
      <c r="H24" s="122">
        <f t="shared" si="3"/>
        <v>1536</v>
      </c>
    </row>
    <row r="25" spans="1:11" x14ac:dyDescent="0.25">
      <c r="A25" s="175" t="s">
        <v>81</v>
      </c>
      <c r="B25" s="50">
        <v>4100</v>
      </c>
      <c r="C25" s="79">
        <f>0.6709+17.0223</f>
        <v>17.693200000000001</v>
      </c>
      <c r="D25" s="92">
        <v>0</v>
      </c>
      <c r="E25" s="93">
        <f>5.6577+8.1564</f>
        <v>13.8141</v>
      </c>
      <c r="F25" s="42"/>
      <c r="G25" s="43"/>
      <c r="H25" s="44"/>
    </row>
    <row r="26" spans="1:11" x14ac:dyDescent="0.25">
      <c r="A26" s="176"/>
      <c r="B26" s="51">
        <v>4150</v>
      </c>
      <c r="C26" s="83">
        <v>18.3886</v>
      </c>
      <c r="D26" s="94">
        <v>0.30809999999999998</v>
      </c>
      <c r="E26" s="95">
        <f>3.2104+8.1694</f>
        <v>11.379799999999999</v>
      </c>
      <c r="F26" s="45">
        <f>ROUNDUP(($B26-$B25)*((C26+C25)/2)*1/27,0)</f>
        <v>34</v>
      </c>
      <c r="G26" s="46">
        <f t="shared" si="2"/>
        <v>1</v>
      </c>
      <c r="H26" s="47">
        <f t="shared" ref="H26:H69" si="4">ROUNDUP(($B26-$B25)*((E26+E25)/2)*1/9,0)</f>
        <v>70</v>
      </c>
    </row>
    <row r="27" spans="1:11" x14ac:dyDescent="0.25">
      <c r="A27" s="176"/>
      <c r="B27" s="51">
        <v>4200</v>
      </c>
      <c r="C27" s="83">
        <v>20.981999999999999</v>
      </c>
      <c r="D27" s="94">
        <v>0.61699999999999999</v>
      </c>
      <c r="E27" s="95">
        <f>4+8.1824</f>
        <v>12.182399999999999</v>
      </c>
      <c r="F27" s="45">
        <f t="shared" ref="F27:G69" si="5">ROUNDUP(($B27-$B26)*((C27+C26)/2)*1/27,0)</f>
        <v>37</v>
      </c>
      <c r="G27" s="46">
        <f t="shared" si="2"/>
        <v>1</v>
      </c>
      <c r="H27" s="47">
        <f t="shared" si="4"/>
        <v>66</v>
      </c>
    </row>
    <row r="28" spans="1:11" x14ac:dyDescent="0.25">
      <c r="A28" s="176"/>
      <c r="B28" s="51">
        <v>4250</v>
      </c>
      <c r="C28" s="83">
        <v>21.196200000000001</v>
      </c>
      <c r="D28" s="94">
        <v>0.23849999999999999</v>
      </c>
      <c r="E28" s="95">
        <f>3.1707+8.2036</f>
        <v>11.3743</v>
      </c>
      <c r="F28" s="45">
        <f t="shared" si="5"/>
        <v>40</v>
      </c>
      <c r="G28" s="46">
        <f t="shared" si="2"/>
        <v>1</v>
      </c>
      <c r="H28" s="47">
        <f t="shared" si="4"/>
        <v>66</v>
      </c>
    </row>
    <row r="29" spans="1:11" x14ac:dyDescent="0.25">
      <c r="A29" s="176"/>
      <c r="B29" s="51">
        <v>4300</v>
      </c>
      <c r="C29" s="83">
        <v>22.8476</v>
      </c>
      <c r="D29" s="94">
        <v>0.17449999999999999</v>
      </c>
      <c r="E29" s="95">
        <f>8.2347+2.5624</f>
        <v>10.7971</v>
      </c>
      <c r="F29" s="45">
        <f t="shared" si="5"/>
        <v>41</v>
      </c>
      <c r="G29" s="46">
        <f t="shared" si="2"/>
        <v>1</v>
      </c>
      <c r="H29" s="47">
        <f t="shared" si="4"/>
        <v>62</v>
      </c>
    </row>
    <row r="30" spans="1:11" x14ac:dyDescent="0.25">
      <c r="A30" s="176"/>
      <c r="B30" s="51">
        <v>4350</v>
      </c>
      <c r="C30" s="83">
        <v>23.911000000000001</v>
      </c>
      <c r="D30" s="94">
        <v>0.54549999999999998</v>
      </c>
      <c r="E30" s="95">
        <f>3.8333+10.0426</f>
        <v>13.8759</v>
      </c>
      <c r="F30" s="45">
        <f t="shared" si="5"/>
        <v>44</v>
      </c>
      <c r="G30" s="46">
        <f t="shared" si="2"/>
        <v>1</v>
      </c>
      <c r="H30" s="47">
        <f t="shared" si="4"/>
        <v>69</v>
      </c>
    </row>
    <row r="31" spans="1:11" x14ac:dyDescent="0.25">
      <c r="A31" s="176"/>
      <c r="B31" s="52">
        <v>4450</v>
      </c>
      <c r="C31" s="83">
        <f>0.5169+24.7406</f>
        <v>25.2575</v>
      </c>
      <c r="D31" s="96">
        <v>7.0000000000000001E-3</v>
      </c>
      <c r="E31" s="97">
        <f>2.9456+16.93</f>
        <v>19.875599999999999</v>
      </c>
      <c r="F31" s="45">
        <f t="shared" ref="F31:F41" si="6">ROUNDUP(($B31-$B30)*((C31+C30)/2)*1/27,0)</f>
        <v>92</v>
      </c>
      <c r="G31" s="46">
        <f t="shared" ref="G31:G41" si="7">ROUNDUP(($B31-$B30)*((D31+D30)/2)*1/27,0)</f>
        <v>2</v>
      </c>
      <c r="H31" s="47">
        <f t="shared" ref="H31:H41" si="8">ROUNDUP(($B31-$B30)*((E31+E30)/2)*1/9,0)</f>
        <v>188</v>
      </c>
    </row>
    <row r="32" spans="1:11" x14ac:dyDescent="0.25">
      <c r="A32" s="176"/>
      <c r="B32" s="52">
        <v>4500</v>
      </c>
      <c r="C32" s="83">
        <f>0.0853+11.9081</f>
        <v>11.993399999999999</v>
      </c>
      <c r="D32" s="96">
        <f>0.0604</f>
        <v>6.0400000000000002E-2</v>
      </c>
      <c r="E32" s="97">
        <f>2.9514+2.226</f>
        <v>5.1774000000000004</v>
      </c>
      <c r="F32" s="45">
        <f t="shared" si="6"/>
        <v>35</v>
      </c>
      <c r="G32" s="46">
        <f t="shared" si="7"/>
        <v>1</v>
      </c>
      <c r="H32" s="47">
        <f t="shared" si="8"/>
        <v>70</v>
      </c>
    </row>
    <row r="33" spans="1:8" x14ac:dyDescent="0.25">
      <c r="A33" s="176"/>
      <c r="B33" s="52">
        <v>4550</v>
      </c>
      <c r="C33" s="83">
        <v>8.5165000000000006</v>
      </c>
      <c r="D33" s="96">
        <v>11.9414</v>
      </c>
      <c r="E33" s="97">
        <f>3.2164+3.625</f>
        <v>6.8414000000000001</v>
      </c>
      <c r="F33" s="45">
        <f t="shared" si="6"/>
        <v>19</v>
      </c>
      <c r="G33" s="46">
        <f t="shared" si="7"/>
        <v>12</v>
      </c>
      <c r="H33" s="47">
        <f t="shared" si="8"/>
        <v>34</v>
      </c>
    </row>
    <row r="34" spans="1:8" x14ac:dyDescent="0.25">
      <c r="A34" s="176"/>
      <c r="B34" s="52">
        <v>4600</v>
      </c>
      <c r="C34" s="83">
        <f>0.1052+4.8688</f>
        <v>4.9740000000000002</v>
      </c>
      <c r="D34" s="96">
        <f>0.0001+34.8389</f>
        <v>34.839000000000006</v>
      </c>
      <c r="E34" s="97">
        <f>3.4958+3.6251</f>
        <v>7.1209000000000007</v>
      </c>
      <c r="F34" s="45">
        <f t="shared" si="6"/>
        <v>13</v>
      </c>
      <c r="G34" s="46">
        <f t="shared" si="7"/>
        <v>44</v>
      </c>
      <c r="H34" s="47">
        <f t="shared" si="8"/>
        <v>39</v>
      </c>
    </row>
    <row r="35" spans="1:8" x14ac:dyDescent="0.25">
      <c r="A35" s="176"/>
      <c r="B35" s="52">
        <v>4650</v>
      </c>
      <c r="C35" s="83">
        <f>0.3159+2.9491</f>
        <v>3.2650000000000001</v>
      </c>
      <c r="D35" s="96">
        <f>0.0014+60.4757</f>
        <v>60.4771</v>
      </c>
      <c r="E35" s="97">
        <f>3.7722+3.6251</f>
        <v>7.3973000000000004</v>
      </c>
      <c r="F35" s="45">
        <f t="shared" si="6"/>
        <v>8</v>
      </c>
      <c r="G35" s="46">
        <f t="shared" si="7"/>
        <v>89</v>
      </c>
      <c r="H35" s="47">
        <f t="shared" si="8"/>
        <v>41</v>
      </c>
    </row>
    <row r="36" spans="1:8" x14ac:dyDescent="0.25">
      <c r="A36" s="176"/>
      <c r="B36" s="52">
        <v>4700</v>
      </c>
      <c r="C36" s="83">
        <v>2.1591</v>
      </c>
      <c r="D36" s="96">
        <v>54.519300000000001</v>
      </c>
      <c r="E36" s="97">
        <f>3.4129+3.6251</f>
        <v>7.0380000000000003</v>
      </c>
      <c r="F36" s="45">
        <f t="shared" si="6"/>
        <v>6</v>
      </c>
      <c r="G36" s="46">
        <f t="shared" si="7"/>
        <v>107</v>
      </c>
      <c r="H36" s="47">
        <f t="shared" si="8"/>
        <v>41</v>
      </c>
    </row>
    <row r="37" spans="1:8" x14ac:dyDescent="0.25">
      <c r="A37" s="176"/>
      <c r="B37" s="52">
        <v>4750</v>
      </c>
      <c r="C37" s="83">
        <v>6.3498000000000001</v>
      </c>
      <c r="D37" s="96">
        <v>36.235100000000003</v>
      </c>
      <c r="E37" s="97">
        <f>4.2076+18.6491</f>
        <v>22.8567</v>
      </c>
      <c r="F37" s="45">
        <f t="shared" si="6"/>
        <v>8</v>
      </c>
      <c r="G37" s="46">
        <f t="shared" si="7"/>
        <v>85</v>
      </c>
      <c r="H37" s="47">
        <f t="shared" si="8"/>
        <v>84</v>
      </c>
    </row>
    <row r="38" spans="1:8" x14ac:dyDescent="0.25">
      <c r="A38" s="176"/>
      <c r="B38" s="52">
        <v>4800</v>
      </c>
      <c r="C38" s="83">
        <v>7.0086000000000004</v>
      </c>
      <c r="D38" s="96">
        <v>26.636199999999999</v>
      </c>
      <c r="E38" s="97">
        <f>3.4066+14.9504</f>
        <v>18.356999999999999</v>
      </c>
      <c r="F38" s="45">
        <f t="shared" si="6"/>
        <v>13</v>
      </c>
      <c r="G38" s="46">
        <f t="shared" si="7"/>
        <v>59</v>
      </c>
      <c r="H38" s="47">
        <f t="shared" si="8"/>
        <v>115</v>
      </c>
    </row>
    <row r="39" spans="1:8" x14ac:dyDescent="0.25">
      <c r="A39" s="176"/>
      <c r="B39" s="52">
        <v>4850</v>
      </c>
      <c r="C39" s="83">
        <v>6.4686000000000003</v>
      </c>
      <c r="D39" s="96">
        <v>29.658300000000001</v>
      </c>
      <c r="E39" s="97">
        <f>3.3851+16.7055</f>
        <v>20.090600000000002</v>
      </c>
      <c r="F39" s="45">
        <f t="shared" si="6"/>
        <v>13</v>
      </c>
      <c r="G39" s="46">
        <f t="shared" si="7"/>
        <v>53</v>
      </c>
      <c r="H39" s="47">
        <f t="shared" si="8"/>
        <v>107</v>
      </c>
    </row>
    <row r="40" spans="1:8" x14ac:dyDescent="0.25">
      <c r="A40" s="176"/>
      <c r="B40" s="52">
        <v>4900</v>
      </c>
      <c r="C40" s="83">
        <v>6.1266999999999996</v>
      </c>
      <c r="D40" s="96">
        <v>26.792200000000001</v>
      </c>
      <c r="E40" s="97">
        <f>3.6767+12.5697</f>
        <v>16.246399999999998</v>
      </c>
      <c r="F40" s="45">
        <f t="shared" si="6"/>
        <v>12</v>
      </c>
      <c r="G40" s="46">
        <f t="shared" si="7"/>
        <v>53</v>
      </c>
      <c r="H40" s="47">
        <f t="shared" si="8"/>
        <v>101</v>
      </c>
    </row>
    <row r="41" spans="1:8" x14ac:dyDescent="0.25">
      <c r="A41" s="176"/>
      <c r="B41" s="52">
        <v>4950</v>
      </c>
      <c r="C41" s="83">
        <v>6.1952999999999996</v>
      </c>
      <c r="D41" s="96">
        <v>11.138199999999999</v>
      </c>
      <c r="E41" s="97">
        <f>3.4896+8.0652</f>
        <v>11.5548</v>
      </c>
      <c r="F41" s="106">
        <f t="shared" si="6"/>
        <v>12</v>
      </c>
      <c r="G41" s="107">
        <f t="shared" si="7"/>
        <v>36</v>
      </c>
      <c r="H41" s="108">
        <f t="shared" si="8"/>
        <v>78</v>
      </c>
    </row>
    <row r="42" spans="1:8" x14ac:dyDescent="0.25">
      <c r="A42" s="176"/>
      <c r="B42" s="51">
        <v>5000</v>
      </c>
      <c r="C42" s="83">
        <v>2.016</v>
      </c>
      <c r="D42" s="96">
        <f>1.8651+1.8945</f>
        <v>3.7595999999999998</v>
      </c>
      <c r="E42" s="109">
        <f>4.1297+5.6656</f>
        <v>9.795300000000001</v>
      </c>
      <c r="F42" s="106">
        <f>ROUNDUP(($B42-$B41)*((C42+C41)/2)*1/27,0)</f>
        <v>8</v>
      </c>
      <c r="G42" s="107">
        <f t="shared" ref="G42:G43" si="9">ROUNDUP(($B42-$B41)*((D42+D41)/2)*1/27,0)</f>
        <v>14</v>
      </c>
      <c r="H42" s="108">
        <f t="shared" ref="H42:H43" si="10">ROUNDUP(($B42-$B41)*((E42+E41)/2)*1/9,0)</f>
        <v>60</v>
      </c>
    </row>
    <row r="43" spans="1:8" ht="15.75" thickBot="1" x14ac:dyDescent="0.3">
      <c r="A43" s="177"/>
      <c r="B43" s="53">
        <v>5020</v>
      </c>
      <c r="C43" s="91">
        <v>8.0504999999999995</v>
      </c>
      <c r="D43" s="98">
        <f>0.9613+0.0395</f>
        <v>1.0008000000000001</v>
      </c>
      <c r="E43" s="110">
        <f>3.6019+1.3967</f>
        <v>4.9985999999999997</v>
      </c>
      <c r="F43" s="111">
        <f t="shared" ref="F43" si="11">ROUNDUP(($B43-$B42)*((C43+C42)/2)*1/27,0)</f>
        <v>4</v>
      </c>
      <c r="G43" s="112">
        <f t="shared" si="9"/>
        <v>2</v>
      </c>
      <c r="H43" s="113">
        <f t="shared" si="10"/>
        <v>17</v>
      </c>
    </row>
    <row r="44" spans="1:8" ht="15.75" thickBot="1" x14ac:dyDescent="0.3">
      <c r="A44" s="178" t="s">
        <v>95</v>
      </c>
      <c r="B44" s="179"/>
      <c r="C44" s="122">
        <f>SUM(C25:C43)</f>
        <v>223.39959999999999</v>
      </c>
      <c r="D44" s="122">
        <f t="shared" ref="D44:H44" si="12">SUM(D25:D43)</f>
        <v>298.94819999999999</v>
      </c>
      <c r="E44" s="122">
        <f t="shared" si="12"/>
        <v>230.77359999999999</v>
      </c>
      <c r="F44" s="122">
        <f t="shared" si="12"/>
        <v>439</v>
      </c>
      <c r="G44" s="122">
        <f t="shared" si="12"/>
        <v>562</v>
      </c>
      <c r="H44" s="122">
        <f t="shared" si="12"/>
        <v>1308</v>
      </c>
    </row>
    <row r="45" spans="1:8" x14ac:dyDescent="0.25">
      <c r="A45" s="176" t="s">
        <v>82</v>
      </c>
      <c r="B45" s="51">
        <v>7092.5</v>
      </c>
      <c r="C45" s="81">
        <v>8</v>
      </c>
      <c r="D45" s="94">
        <v>1</v>
      </c>
      <c r="E45" s="99">
        <v>5</v>
      </c>
      <c r="F45" s="45"/>
      <c r="G45" s="46"/>
      <c r="H45" s="47"/>
    </row>
    <row r="46" spans="1:8" x14ac:dyDescent="0.25">
      <c r="A46" s="176"/>
      <c r="B46" s="51">
        <v>7100</v>
      </c>
      <c r="C46" s="83">
        <f>9.8218+4.1148</f>
        <v>13.936599999999999</v>
      </c>
      <c r="D46" s="94">
        <v>0.75980000000000003</v>
      </c>
      <c r="E46" s="99">
        <v>26.9192</v>
      </c>
      <c r="F46" s="45">
        <f t="shared" si="5"/>
        <v>4</v>
      </c>
      <c r="G46" s="46">
        <f t="shared" si="5"/>
        <v>1</v>
      </c>
      <c r="H46" s="47">
        <f t="shared" si="4"/>
        <v>14</v>
      </c>
    </row>
    <row r="47" spans="1:8" x14ac:dyDescent="0.25">
      <c r="A47" s="176"/>
      <c r="B47" s="51">
        <v>7150</v>
      </c>
      <c r="C47" s="83">
        <v>0</v>
      </c>
      <c r="D47" s="94">
        <v>0</v>
      </c>
      <c r="E47" s="99">
        <v>0</v>
      </c>
      <c r="F47" s="45">
        <f t="shared" si="5"/>
        <v>13</v>
      </c>
      <c r="G47" s="46">
        <f t="shared" si="5"/>
        <v>1</v>
      </c>
      <c r="H47" s="47">
        <f t="shared" si="4"/>
        <v>75</v>
      </c>
    </row>
    <row r="48" spans="1:8" x14ac:dyDescent="0.25">
      <c r="A48" s="176"/>
      <c r="B48" s="51">
        <f>B47+50</f>
        <v>7200</v>
      </c>
      <c r="C48" s="83">
        <v>44.415900000000001</v>
      </c>
      <c r="D48" s="94">
        <v>0</v>
      </c>
      <c r="E48" s="99">
        <f>3.5092+8.7732</f>
        <v>12.282399999999999</v>
      </c>
      <c r="F48" s="45">
        <f>ROUNDUP(($B48-$B47)*((C48+C47)/2)*1/27,0)</f>
        <v>42</v>
      </c>
      <c r="G48" s="46">
        <f t="shared" si="5"/>
        <v>0</v>
      </c>
      <c r="H48" s="47">
        <f t="shared" si="4"/>
        <v>35</v>
      </c>
    </row>
    <row r="49" spans="1:8" x14ac:dyDescent="0.25">
      <c r="A49" s="176"/>
      <c r="B49" s="51">
        <f>B48+50</f>
        <v>7250</v>
      </c>
      <c r="C49" s="83">
        <v>0</v>
      </c>
      <c r="D49" s="94">
        <v>0</v>
      </c>
      <c r="E49" s="99">
        <v>0</v>
      </c>
      <c r="F49" s="45">
        <f>ROUNDUP(($B49-$B48)*((C49+C48)/2)*1/27,0)</f>
        <v>42</v>
      </c>
      <c r="G49" s="46">
        <f t="shared" si="5"/>
        <v>0</v>
      </c>
      <c r="H49" s="47">
        <f t="shared" si="4"/>
        <v>35</v>
      </c>
    </row>
    <row r="50" spans="1:8" x14ac:dyDescent="0.25">
      <c r="A50" s="176"/>
      <c r="B50" s="51">
        <f t="shared" ref="B50:B80" si="13">B49+50</f>
        <v>7300</v>
      </c>
      <c r="C50" s="83">
        <v>0</v>
      </c>
      <c r="D50" s="94">
        <v>262.8698</v>
      </c>
      <c r="E50" s="99">
        <f>7.8939+28.3493</f>
        <v>36.243200000000002</v>
      </c>
      <c r="F50" s="45">
        <f t="shared" si="5"/>
        <v>0</v>
      </c>
      <c r="G50" s="46">
        <f t="shared" si="5"/>
        <v>244</v>
      </c>
      <c r="H50" s="47">
        <f t="shared" si="4"/>
        <v>101</v>
      </c>
    </row>
    <row r="51" spans="1:8" x14ac:dyDescent="0.25">
      <c r="A51" s="176"/>
      <c r="B51" s="51">
        <f t="shared" si="13"/>
        <v>7350</v>
      </c>
      <c r="C51" s="83">
        <v>8.1433999999999997</v>
      </c>
      <c r="D51" s="94">
        <f>2.0624+0.3752</f>
        <v>2.4375999999999998</v>
      </c>
      <c r="E51" s="99">
        <f>8.7171+4.6909</f>
        <v>13.408000000000001</v>
      </c>
      <c r="F51" s="45">
        <f t="shared" si="5"/>
        <v>8</v>
      </c>
      <c r="G51" s="46">
        <f t="shared" si="5"/>
        <v>246</v>
      </c>
      <c r="H51" s="47">
        <f t="shared" si="4"/>
        <v>138</v>
      </c>
    </row>
    <row r="52" spans="1:8" x14ac:dyDescent="0.25">
      <c r="A52" s="176"/>
      <c r="B52" s="51">
        <f t="shared" si="13"/>
        <v>7400</v>
      </c>
      <c r="C52" s="83">
        <v>8.5715000000000003</v>
      </c>
      <c r="D52" s="94">
        <f>0.3331+0.7928</f>
        <v>1.1258999999999999</v>
      </c>
      <c r="E52" s="99">
        <f>5.3066+3.345</f>
        <v>8.6516000000000002</v>
      </c>
      <c r="F52" s="45">
        <f t="shared" si="5"/>
        <v>16</v>
      </c>
      <c r="G52" s="46">
        <f t="shared" si="5"/>
        <v>4</v>
      </c>
      <c r="H52" s="47">
        <f t="shared" si="4"/>
        <v>62</v>
      </c>
    </row>
    <row r="53" spans="1:8" x14ac:dyDescent="0.25">
      <c r="A53" s="176"/>
      <c r="B53" s="51">
        <f t="shared" si="13"/>
        <v>7450</v>
      </c>
      <c r="C53" s="83">
        <v>16.614599999999999</v>
      </c>
      <c r="D53" s="94">
        <v>1.1007</v>
      </c>
      <c r="E53" s="99">
        <f>10.8073+5.6644</f>
        <v>16.471699999999998</v>
      </c>
      <c r="F53" s="45">
        <f t="shared" si="5"/>
        <v>24</v>
      </c>
      <c r="G53" s="46">
        <f t="shared" si="5"/>
        <v>3</v>
      </c>
      <c r="H53" s="47">
        <f t="shared" si="4"/>
        <v>70</v>
      </c>
    </row>
    <row r="54" spans="1:8" x14ac:dyDescent="0.25">
      <c r="A54" s="176"/>
      <c r="B54" s="51">
        <f t="shared" si="13"/>
        <v>7500</v>
      </c>
      <c r="C54" s="83">
        <v>15.56</v>
      </c>
      <c r="D54" s="94">
        <v>3.5999999999999999E-3</v>
      </c>
      <c r="E54" s="99">
        <f>7.5582+1.1475</f>
        <v>8.7057000000000002</v>
      </c>
      <c r="F54" s="45">
        <f t="shared" si="5"/>
        <v>30</v>
      </c>
      <c r="G54" s="46">
        <f t="shared" si="5"/>
        <v>2</v>
      </c>
      <c r="H54" s="47">
        <f t="shared" si="4"/>
        <v>70</v>
      </c>
    </row>
    <row r="55" spans="1:8" x14ac:dyDescent="0.25">
      <c r="A55" s="176"/>
      <c r="B55" s="51">
        <f t="shared" si="13"/>
        <v>7550</v>
      </c>
      <c r="C55" s="83">
        <v>22.0503</v>
      </c>
      <c r="D55" s="94">
        <v>0</v>
      </c>
      <c r="E55" s="99">
        <f>10.9598+11.9248</f>
        <v>22.884599999999999</v>
      </c>
      <c r="F55" s="45">
        <f t="shared" si="5"/>
        <v>35</v>
      </c>
      <c r="G55" s="46">
        <f t="shared" si="5"/>
        <v>1</v>
      </c>
      <c r="H55" s="47">
        <f t="shared" si="4"/>
        <v>88</v>
      </c>
    </row>
    <row r="56" spans="1:8" x14ac:dyDescent="0.25">
      <c r="A56" s="176"/>
      <c r="B56" s="51">
        <f t="shared" si="13"/>
        <v>7600</v>
      </c>
      <c r="C56" s="83">
        <v>9.5135000000000005</v>
      </c>
      <c r="D56" s="94">
        <f>8.136+0.1838</f>
        <v>8.319799999999999</v>
      </c>
      <c r="E56" s="99">
        <f>7.3244+13.3575</f>
        <v>20.681899999999999</v>
      </c>
      <c r="F56" s="45">
        <v>2</v>
      </c>
      <c r="G56" s="46">
        <f t="shared" si="5"/>
        <v>8</v>
      </c>
      <c r="H56" s="47">
        <f t="shared" si="4"/>
        <v>122</v>
      </c>
    </row>
    <row r="57" spans="1:8" x14ac:dyDescent="0.25">
      <c r="A57" s="176"/>
      <c r="B57" s="51">
        <f t="shared" si="13"/>
        <v>7650</v>
      </c>
      <c r="C57" s="83">
        <v>1.9936</v>
      </c>
      <c r="D57" s="94">
        <f>0.6831+6.2735</f>
        <v>6.9565999999999999</v>
      </c>
      <c r="E57" s="99">
        <f>3.7644+9.3838</f>
        <v>13.148200000000001</v>
      </c>
      <c r="F57" s="45">
        <f t="shared" ref="F57:F63" si="14">ROUNDUP(($B57-$B56)*((C57+C56)/2)*1/27,0)</f>
        <v>11</v>
      </c>
      <c r="G57" s="46">
        <f t="shared" si="5"/>
        <v>15</v>
      </c>
      <c r="H57" s="47">
        <f t="shared" si="4"/>
        <v>94</v>
      </c>
    </row>
    <row r="58" spans="1:8" x14ac:dyDescent="0.25">
      <c r="A58" s="176"/>
      <c r="B58" s="51">
        <f t="shared" si="13"/>
        <v>7700</v>
      </c>
      <c r="C58" s="83">
        <v>3.2955000000000001</v>
      </c>
      <c r="D58" s="94">
        <f>0.6187+4.2261</f>
        <v>4.8447999999999993</v>
      </c>
      <c r="E58" s="99">
        <f>3.7823+7.5817</f>
        <v>11.364000000000001</v>
      </c>
      <c r="F58" s="45">
        <f t="shared" si="14"/>
        <v>5</v>
      </c>
      <c r="G58" s="46">
        <f t="shared" si="5"/>
        <v>11</v>
      </c>
      <c r="H58" s="47">
        <f t="shared" si="4"/>
        <v>69</v>
      </c>
    </row>
    <row r="59" spans="1:8" x14ac:dyDescent="0.25">
      <c r="A59" s="176"/>
      <c r="B59" s="51">
        <f t="shared" si="13"/>
        <v>7750</v>
      </c>
      <c r="C59" s="83">
        <v>9.7524999999999995</v>
      </c>
      <c r="D59" s="94">
        <f>1.3878+0.0139</f>
        <v>1.4016999999999999</v>
      </c>
      <c r="E59" s="99">
        <f>2.2873+4.5386</f>
        <v>6.8258999999999999</v>
      </c>
      <c r="F59" s="45">
        <f t="shared" si="14"/>
        <v>13</v>
      </c>
      <c r="G59" s="46">
        <f t="shared" si="5"/>
        <v>6</v>
      </c>
      <c r="H59" s="47">
        <f t="shared" si="4"/>
        <v>51</v>
      </c>
    </row>
    <row r="60" spans="1:8" x14ac:dyDescent="0.25">
      <c r="A60" s="176"/>
      <c r="B60" s="51">
        <f t="shared" si="13"/>
        <v>7800</v>
      </c>
      <c r="C60" s="83">
        <v>31.182300000000001</v>
      </c>
      <c r="D60" s="94">
        <v>0</v>
      </c>
      <c r="E60" s="99">
        <f>6.1486+10.7701</f>
        <v>16.918700000000001</v>
      </c>
      <c r="F60" s="45">
        <f t="shared" si="14"/>
        <v>38</v>
      </c>
      <c r="G60" s="46">
        <f t="shared" si="5"/>
        <v>2</v>
      </c>
      <c r="H60" s="47">
        <f t="shared" si="4"/>
        <v>66</v>
      </c>
    </row>
    <row r="61" spans="1:8" x14ac:dyDescent="0.25">
      <c r="A61" s="176"/>
      <c r="B61" s="51">
        <f t="shared" si="13"/>
        <v>7850</v>
      </c>
      <c r="C61" s="83">
        <v>19.549199999999999</v>
      </c>
      <c r="D61" s="94">
        <v>0</v>
      </c>
      <c r="E61" s="99">
        <f>5.9827+2.2914</f>
        <v>8.2741000000000007</v>
      </c>
      <c r="F61" s="45">
        <f t="shared" si="14"/>
        <v>47</v>
      </c>
      <c r="G61" s="46">
        <f t="shared" si="5"/>
        <v>0</v>
      </c>
      <c r="H61" s="47">
        <f t="shared" si="4"/>
        <v>70</v>
      </c>
    </row>
    <row r="62" spans="1:8" x14ac:dyDescent="0.25">
      <c r="A62" s="176"/>
      <c r="B62" s="51">
        <f t="shared" si="13"/>
        <v>7900</v>
      </c>
      <c r="C62" s="83">
        <v>19.044699999999999</v>
      </c>
      <c r="D62" s="94">
        <v>11.76</v>
      </c>
      <c r="E62" s="99">
        <f>7.5735+9.2681</f>
        <v>16.8416</v>
      </c>
      <c r="F62" s="45">
        <f t="shared" si="14"/>
        <v>36</v>
      </c>
      <c r="G62" s="46">
        <f t="shared" si="5"/>
        <v>11</v>
      </c>
      <c r="H62" s="47">
        <f t="shared" si="4"/>
        <v>70</v>
      </c>
    </row>
    <row r="63" spans="1:8" x14ac:dyDescent="0.25">
      <c r="A63" s="176"/>
      <c r="B63" s="51">
        <f t="shared" si="13"/>
        <v>7950</v>
      </c>
      <c r="C63" s="83">
        <v>20.7667</v>
      </c>
      <c r="D63" s="94">
        <v>8.9270999999999994</v>
      </c>
      <c r="E63" s="99">
        <f>9.1786+9.122</f>
        <v>18.300599999999999</v>
      </c>
      <c r="F63" s="45">
        <f t="shared" si="14"/>
        <v>37</v>
      </c>
      <c r="G63" s="46">
        <f t="shared" si="5"/>
        <v>20</v>
      </c>
      <c r="H63" s="47">
        <f t="shared" si="4"/>
        <v>98</v>
      </c>
    </row>
    <row r="64" spans="1:8" x14ac:dyDescent="0.25">
      <c r="A64" s="176"/>
      <c r="B64" s="51">
        <f t="shared" si="13"/>
        <v>8000</v>
      </c>
      <c r="C64" s="83">
        <v>27.9758</v>
      </c>
      <c r="D64" s="94">
        <v>0</v>
      </c>
      <c r="E64" s="99">
        <f>9.1944+1.0468</f>
        <v>10.241199999999999</v>
      </c>
      <c r="F64" s="45">
        <f t="shared" si="5"/>
        <v>46</v>
      </c>
      <c r="G64" s="46">
        <f t="shared" si="5"/>
        <v>9</v>
      </c>
      <c r="H64" s="47">
        <f t="shared" si="4"/>
        <v>80</v>
      </c>
    </row>
    <row r="65" spans="1:8" x14ac:dyDescent="0.25">
      <c r="A65" s="176"/>
      <c r="B65" s="51">
        <f t="shared" si="13"/>
        <v>8050</v>
      </c>
      <c r="C65" s="83">
        <v>7.3493000000000004</v>
      </c>
      <c r="D65" s="94">
        <v>5.0872999999999999</v>
      </c>
      <c r="E65" s="99">
        <f>3.0359+9.1635</f>
        <v>12.199400000000001</v>
      </c>
      <c r="F65" s="45">
        <f t="shared" si="5"/>
        <v>33</v>
      </c>
      <c r="G65" s="46">
        <f t="shared" si="5"/>
        <v>5</v>
      </c>
      <c r="H65" s="47">
        <f t="shared" si="4"/>
        <v>63</v>
      </c>
    </row>
    <row r="66" spans="1:8" x14ac:dyDescent="0.25">
      <c r="A66" s="176"/>
      <c r="B66" s="51">
        <f t="shared" si="13"/>
        <v>8100</v>
      </c>
      <c r="C66" s="83">
        <v>12.442600000000001</v>
      </c>
      <c r="D66" s="94">
        <v>1.1838</v>
      </c>
      <c r="E66" s="99">
        <f>3.7262+4.8798</f>
        <v>8.6059999999999999</v>
      </c>
      <c r="F66" s="45">
        <f t="shared" si="5"/>
        <v>19</v>
      </c>
      <c r="G66" s="46">
        <f t="shared" si="5"/>
        <v>6</v>
      </c>
      <c r="H66" s="47">
        <f t="shared" si="4"/>
        <v>58</v>
      </c>
    </row>
    <row r="67" spans="1:8" x14ac:dyDescent="0.25">
      <c r="A67" s="176"/>
      <c r="B67" s="51">
        <f t="shared" si="13"/>
        <v>8150</v>
      </c>
      <c r="C67" s="83">
        <v>10.7987</v>
      </c>
      <c r="D67" s="94">
        <v>2.2504</v>
      </c>
      <c r="E67" s="99">
        <v>6.3467000000000002</v>
      </c>
      <c r="F67" s="45">
        <f t="shared" si="5"/>
        <v>22</v>
      </c>
      <c r="G67" s="46">
        <f t="shared" si="5"/>
        <v>4</v>
      </c>
      <c r="H67" s="47">
        <f t="shared" si="4"/>
        <v>42</v>
      </c>
    </row>
    <row r="68" spans="1:8" x14ac:dyDescent="0.25">
      <c r="A68" s="176"/>
      <c r="B68" s="51">
        <f t="shared" si="13"/>
        <v>8200</v>
      </c>
      <c r="C68" s="83">
        <v>10.8986</v>
      </c>
      <c r="D68" s="94">
        <f>0.0271+0.263</f>
        <v>0.29010000000000002</v>
      </c>
      <c r="E68" s="99">
        <f>1.4852+3.575</f>
        <v>5.0602</v>
      </c>
      <c r="F68" s="45">
        <f t="shared" si="5"/>
        <v>21</v>
      </c>
      <c r="G68" s="46">
        <f t="shared" si="5"/>
        <v>3</v>
      </c>
      <c r="H68" s="47">
        <f t="shared" si="4"/>
        <v>32</v>
      </c>
    </row>
    <row r="69" spans="1:8" x14ac:dyDescent="0.25">
      <c r="A69" s="176"/>
      <c r="B69" s="51">
        <f t="shared" si="13"/>
        <v>8250</v>
      </c>
      <c r="C69" s="83">
        <v>13.7928</v>
      </c>
      <c r="D69" s="94">
        <v>2.3199999999999998E-2</v>
      </c>
      <c r="E69" s="99">
        <f>6.9821+1.6433</f>
        <v>8.6253999999999991</v>
      </c>
      <c r="F69" s="45">
        <f t="shared" si="5"/>
        <v>23</v>
      </c>
      <c r="G69" s="46">
        <f t="shared" si="5"/>
        <v>1</v>
      </c>
      <c r="H69" s="47">
        <f t="shared" si="4"/>
        <v>39</v>
      </c>
    </row>
    <row r="70" spans="1:8" x14ac:dyDescent="0.25">
      <c r="A70" s="176"/>
      <c r="B70" s="51">
        <f t="shared" si="13"/>
        <v>8300</v>
      </c>
      <c r="C70" s="83">
        <v>10.5586</v>
      </c>
      <c r="D70" s="94">
        <f>0.0003+3.1341</f>
        <v>3.1344000000000003</v>
      </c>
      <c r="E70" s="99">
        <f>0.8168+14.5556</f>
        <v>15.372400000000001</v>
      </c>
      <c r="F70" s="45">
        <f>ROUNDUP(($B70-$B69)*((C70+C69)/2)*1/27,0)</f>
        <v>23</v>
      </c>
      <c r="G70" s="46">
        <f>ROUNDUP(($B70-$B69)*((D70+D69)/2)*1/27,0)</f>
        <v>3</v>
      </c>
      <c r="H70" s="47">
        <f>ROUNDUP(($B70-$B69)*((E70+E69)/2)*1/9,0)</f>
        <v>67</v>
      </c>
    </row>
    <row r="71" spans="1:8" x14ac:dyDescent="0.25">
      <c r="A71" s="176"/>
      <c r="B71" s="51">
        <f t="shared" si="13"/>
        <v>8350</v>
      </c>
      <c r="C71" s="83">
        <v>10.786300000000001</v>
      </c>
      <c r="D71" s="94">
        <f>0.01+0.221</f>
        <v>0.23100000000000001</v>
      </c>
      <c r="E71" s="99">
        <f>3.3409+1.1697</f>
        <v>4.5106000000000002</v>
      </c>
      <c r="F71" s="45">
        <f t="shared" ref="F71:F81" si="15">ROUNDUP(($B71-$B70)*((C71+C70)/2)*1/27,0)</f>
        <v>20</v>
      </c>
      <c r="G71" s="46">
        <f t="shared" ref="G71:G81" si="16">ROUNDUP(($B71-$B70)*((D71+D70)/2)*1/27,0)</f>
        <v>4</v>
      </c>
      <c r="H71" s="47">
        <f t="shared" ref="H71:H81" si="17">ROUNDUP(($B71-$B70)*((E71+E70)/2)*1/9,0)</f>
        <v>56</v>
      </c>
    </row>
    <row r="72" spans="1:8" x14ac:dyDescent="0.25">
      <c r="A72" s="176"/>
      <c r="B72" s="51">
        <f t="shared" si="13"/>
        <v>8400</v>
      </c>
      <c r="C72" s="83">
        <v>20.574999999999999</v>
      </c>
      <c r="D72" s="94">
        <v>0</v>
      </c>
      <c r="E72" s="99">
        <f>5.8944+18.64</f>
        <v>24.534400000000002</v>
      </c>
      <c r="F72" s="45">
        <f t="shared" si="15"/>
        <v>30</v>
      </c>
      <c r="G72" s="46">
        <f t="shared" si="16"/>
        <v>1</v>
      </c>
      <c r="H72" s="47">
        <f t="shared" si="17"/>
        <v>81</v>
      </c>
    </row>
    <row r="73" spans="1:8" x14ac:dyDescent="0.25">
      <c r="A73" s="176"/>
      <c r="B73" s="51">
        <f t="shared" si="13"/>
        <v>8450</v>
      </c>
      <c r="C73" s="83">
        <v>10.351000000000001</v>
      </c>
      <c r="D73" s="94">
        <f>0.4953+0.1745</f>
        <v>0.66979999999999995</v>
      </c>
      <c r="E73" s="99">
        <f>4.4259+3.878</f>
        <v>8.3039000000000005</v>
      </c>
      <c r="F73" s="45">
        <f t="shared" si="15"/>
        <v>29</v>
      </c>
      <c r="G73" s="46">
        <f t="shared" si="16"/>
        <v>1</v>
      </c>
      <c r="H73" s="47">
        <f t="shared" si="17"/>
        <v>92</v>
      </c>
    </row>
    <row r="74" spans="1:8" x14ac:dyDescent="0.25">
      <c r="A74" s="176"/>
      <c r="B74" s="51">
        <f t="shared" si="13"/>
        <v>8500</v>
      </c>
      <c r="C74" s="83">
        <v>12.919499999999999</v>
      </c>
      <c r="D74" s="94">
        <v>9.0300000000000005E-2</v>
      </c>
      <c r="E74" s="99">
        <f>2.3391+1.4976</f>
        <v>3.8367000000000004</v>
      </c>
      <c r="F74" s="45">
        <f t="shared" si="15"/>
        <v>22</v>
      </c>
      <c r="G74" s="46">
        <f t="shared" si="16"/>
        <v>1</v>
      </c>
      <c r="H74" s="47">
        <f t="shared" si="17"/>
        <v>34</v>
      </c>
    </row>
    <row r="75" spans="1:8" x14ac:dyDescent="0.25">
      <c r="A75" s="176"/>
      <c r="B75" s="51">
        <f t="shared" si="13"/>
        <v>8550</v>
      </c>
      <c r="C75" s="83">
        <v>7.2396000000000003</v>
      </c>
      <c r="D75" s="94">
        <f>0.5846+1.5912</f>
        <v>2.1757999999999997</v>
      </c>
      <c r="E75" s="99">
        <f>4.1566+7.686</f>
        <v>11.842600000000001</v>
      </c>
      <c r="F75" s="45">
        <f t="shared" si="15"/>
        <v>19</v>
      </c>
      <c r="G75" s="46">
        <f t="shared" si="16"/>
        <v>3</v>
      </c>
      <c r="H75" s="47">
        <f t="shared" si="17"/>
        <v>44</v>
      </c>
    </row>
    <row r="76" spans="1:8" x14ac:dyDescent="0.25">
      <c r="A76" s="176"/>
      <c r="B76" s="51">
        <f t="shared" si="13"/>
        <v>8600</v>
      </c>
      <c r="C76" s="83">
        <v>7.7603</v>
      </c>
      <c r="D76" s="94">
        <f>0.6166+0.9824</f>
        <v>1.5990000000000002</v>
      </c>
      <c r="E76" s="99">
        <f>4.3564+5.88</f>
        <v>10.2364</v>
      </c>
      <c r="F76" s="45">
        <f t="shared" si="15"/>
        <v>14</v>
      </c>
      <c r="G76" s="46">
        <f t="shared" si="16"/>
        <v>4</v>
      </c>
      <c r="H76" s="47">
        <f t="shared" si="17"/>
        <v>62</v>
      </c>
    </row>
    <row r="77" spans="1:8" x14ac:dyDescent="0.25">
      <c r="A77" s="176"/>
      <c r="B77" s="51">
        <f t="shared" si="13"/>
        <v>8650</v>
      </c>
      <c r="C77" s="83">
        <v>6.3913000000000002</v>
      </c>
      <c r="D77" s="94">
        <f>1.3627+0.3013</f>
        <v>1.6640000000000001</v>
      </c>
      <c r="E77" s="99">
        <f>2.923+5.5915</f>
        <v>8.5145</v>
      </c>
      <c r="F77" s="45">
        <f t="shared" si="15"/>
        <v>14</v>
      </c>
      <c r="G77" s="46">
        <f t="shared" si="16"/>
        <v>4</v>
      </c>
      <c r="H77" s="47">
        <f t="shared" si="17"/>
        <v>53</v>
      </c>
    </row>
    <row r="78" spans="1:8" x14ac:dyDescent="0.25">
      <c r="A78" s="176"/>
      <c r="B78" s="51">
        <f t="shared" si="13"/>
        <v>8700</v>
      </c>
      <c r="C78" s="83">
        <v>0</v>
      </c>
      <c r="D78" s="83">
        <v>18.793199999999999</v>
      </c>
      <c r="E78" s="99">
        <f>6.9357+9.4492</f>
        <v>16.384899999999998</v>
      </c>
      <c r="F78" s="45">
        <f t="shared" si="15"/>
        <v>6</v>
      </c>
      <c r="G78" s="46">
        <f t="shared" si="16"/>
        <v>19</v>
      </c>
      <c r="H78" s="47">
        <f t="shared" si="17"/>
        <v>70</v>
      </c>
    </row>
    <row r="79" spans="1:8" x14ac:dyDescent="0.25">
      <c r="A79" s="176"/>
      <c r="B79" s="51">
        <f t="shared" si="13"/>
        <v>8750</v>
      </c>
      <c r="C79" s="83">
        <v>0</v>
      </c>
      <c r="D79" s="83">
        <v>15.731199999999999</v>
      </c>
      <c r="E79" s="99">
        <f>7.3696+8.1194</f>
        <v>15.489000000000001</v>
      </c>
      <c r="F79" s="45">
        <f t="shared" si="15"/>
        <v>0</v>
      </c>
      <c r="G79" s="46">
        <f t="shared" si="16"/>
        <v>32</v>
      </c>
      <c r="H79" s="47">
        <f t="shared" si="17"/>
        <v>89</v>
      </c>
    </row>
    <row r="80" spans="1:8" x14ac:dyDescent="0.25">
      <c r="A80" s="176"/>
      <c r="B80" s="51">
        <f t="shared" si="13"/>
        <v>8800</v>
      </c>
      <c r="C80" s="83">
        <v>0</v>
      </c>
      <c r="D80" s="83">
        <v>102.3145</v>
      </c>
      <c r="E80" s="99">
        <f>19.9598+13.304</f>
        <v>33.263800000000003</v>
      </c>
      <c r="F80" s="45">
        <f t="shared" si="15"/>
        <v>0</v>
      </c>
      <c r="G80" s="46">
        <f t="shared" si="16"/>
        <v>110</v>
      </c>
      <c r="H80" s="47">
        <f t="shared" si="17"/>
        <v>136</v>
      </c>
    </row>
    <row r="81" spans="1:9" ht="15.75" thickBot="1" x14ac:dyDescent="0.3">
      <c r="A81" s="176"/>
      <c r="B81" s="103">
        <v>8900</v>
      </c>
      <c r="C81" s="88">
        <v>3.1583999999999999</v>
      </c>
      <c r="D81" s="104">
        <v>1.5719000000000001</v>
      </c>
      <c r="E81" s="105">
        <v>3.3877999999999999</v>
      </c>
      <c r="F81" s="100">
        <f t="shared" si="15"/>
        <v>6</v>
      </c>
      <c r="G81" s="101">
        <f t="shared" si="16"/>
        <v>193</v>
      </c>
      <c r="H81" s="102">
        <f t="shared" si="17"/>
        <v>204</v>
      </c>
    </row>
    <row r="82" spans="1:9" ht="15.75" thickBot="1" x14ac:dyDescent="0.3">
      <c r="A82" s="178" t="s">
        <v>95</v>
      </c>
      <c r="B82" s="179"/>
      <c r="C82" s="119">
        <f>SUM(C45:C81)</f>
        <v>425.38809999999989</v>
      </c>
      <c r="D82" s="120">
        <f t="shared" ref="D82:H82" si="18">SUM(D45:D81)</f>
        <v>468.31730000000005</v>
      </c>
      <c r="E82" s="120">
        <f t="shared" si="18"/>
        <v>469.67730000000012</v>
      </c>
      <c r="F82" s="120">
        <f t="shared" si="18"/>
        <v>750</v>
      </c>
      <c r="G82" s="120">
        <f t="shared" si="18"/>
        <v>978</v>
      </c>
      <c r="H82" s="121">
        <f t="shared" si="18"/>
        <v>2630</v>
      </c>
    </row>
    <row r="83" spans="1:9" ht="15.75" thickBot="1" x14ac:dyDescent="0.3">
      <c r="B83" s="168" t="s">
        <v>0</v>
      </c>
      <c r="C83" s="169"/>
      <c r="D83" s="169"/>
      <c r="E83" s="169"/>
      <c r="F83" s="123">
        <f>F24+F44+F82</f>
        <v>2505</v>
      </c>
      <c r="G83" s="123">
        <f t="shared" ref="G83:H83" si="19">G24+G44+G82</f>
        <v>1593</v>
      </c>
      <c r="H83" s="123">
        <f t="shared" si="19"/>
        <v>5474</v>
      </c>
    </row>
    <row r="84" spans="1:9" x14ac:dyDescent="0.25">
      <c r="I84" t="s">
        <v>61</v>
      </c>
    </row>
    <row r="87" spans="1:9" x14ac:dyDescent="0.25">
      <c r="B87"/>
      <c r="D87" s="49"/>
    </row>
    <row r="88" spans="1:9" x14ac:dyDescent="0.25">
      <c r="B88"/>
      <c r="D88" s="49"/>
    </row>
    <row r="89" spans="1:9" x14ac:dyDescent="0.25">
      <c r="B89"/>
    </row>
  </sheetData>
  <mergeCells count="10">
    <mergeCell ref="J14:J19"/>
    <mergeCell ref="B83:E83"/>
    <mergeCell ref="B2:H2"/>
    <mergeCell ref="B3:B4"/>
    <mergeCell ref="A5:A23"/>
    <mergeCell ref="A45:A81"/>
    <mergeCell ref="A25:A43"/>
    <mergeCell ref="A24:B24"/>
    <mergeCell ref="A44:B44"/>
    <mergeCell ref="A82:B8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F3387-BFEA-496A-82FF-F4454CBC356E}">
  <dimension ref="A1:Q22"/>
  <sheetViews>
    <sheetView workbookViewId="0">
      <selection activeCell="B24" sqref="B24"/>
    </sheetView>
  </sheetViews>
  <sheetFormatPr defaultRowHeight="15" x14ac:dyDescent="0.25"/>
  <cols>
    <col min="1" max="1" width="30.42578125" bestFit="1" customWidth="1"/>
    <col min="2" max="2" width="10.7109375" customWidth="1"/>
    <col min="6" max="6" width="11.28515625" customWidth="1"/>
    <col min="13" max="13" width="18.140625" customWidth="1"/>
    <col min="14" max="14" width="9.28515625" customWidth="1"/>
    <col min="15" max="15" width="23.140625" bestFit="1" customWidth="1"/>
  </cols>
  <sheetData>
    <row r="1" spans="1:17" ht="15.75" thickBot="1" x14ac:dyDescent="0.3">
      <c r="A1" s="54" t="s">
        <v>50</v>
      </c>
      <c r="B1" s="55">
        <v>5445</v>
      </c>
      <c r="C1" s="56" t="s">
        <v>7</v>
      </c>
      <c r="D1" s="57"/>
    </row>
    <row r="2" spans="1:17" ht="16.5" thickTop="1" thickBot="1" x14ac:dyDescent="0.3">
      <c r="A2" s="58" t="s">
        <v>63</v>
      </c>
      <c r="B2" s="59">
        <f>(B3*1)/10000</f>
        <v>6.04395E-2</v>
      </c>
      <c r="C2" s="59" t="s">
        <v>64</v>
      </c>
      <c r="D2" s="60" t="s">
        <v>65</v>
      </c>
    </row>
    <row r="3" spans="1:17" ht="16.5" thickTop="1" thickBot="1" x14ac:dyDescent="0.3">
      <c r="A3" s="61" t="s">
        <v>66</v>
      </c>
      <c r="B3" s="62">
        <f>(B1*111)/1000</f>
        <v>604.39499999999998</v>
      </c>
      <c r="C3" s="62" t="s">
        <v>5</v>
      </c>
      <c r="D3" s="63"/>
    </row>
    <row r="4" spans="1:17" ht="15.75" thickBot="1" x14ac:dyDescent="0.3">
      <c r="A4" s="64" t="s">
        <v>67</v>
      </c>
      <c r="B4" s="65">
        <f>0.05*B1</f>
        <v>272.25</v>
      </c>
      <c r="C4" s="65" t="s">
        <v>7</v>
      </c>
      <c r="D4" s="66"/>
      <c r="F4" t="s">
        <v>96</v>
      </c>
    </row>
    <row r="5" spans="1:17" ht="15.75" thickBot="1" x14ac:dyDescent="0.3">
      <c r="A5" s="64" t="s">
        <v>68</v>
      </c>
      <c r="B5" s="65">
        <f>0.05*B1</f>
        <v>272.25</v>
      </c>
      <c r="C5" s="65" t="s">
        <v>7</v>
      </c>
      <c r="D5" s="66"/>
      <c r="M5">
        <v>2</v>
      </c>
      <c r="N5">
        <v>605</v>
      </c>
      <c r="O5">
        <v>0.73</v>
      </c>
      <c r="P5">
        <v>1.1299999999999999</v>
      </c>
      <c r="Q5">
        <v>30</v>
      </c>
    </row>
    <row r="6" spans="1:17" ht="15.75" thickBot="1" x14ac:dyDescent="0.3">
      <c r="A6" s="67" t="s">
        <v>69</v>
      </c>
      <c r="B6" s="68">
        <f>(1*B1)/7410</f>
        <v>0.73481781376518218</v>
      </c>
      <c r="C6" s="68" t="s">
        <v>70</v>
      </c>
      <c r="D6" s="69"/>
      <c r="J6" t="s">
        <v>98</v>
      </c>
      <c r="L6" t="s">
        <v>97</v>
      </c>
      <c r="M6" t="s">
        <v>63</v>
      </c>
      <c r="N6" s="129" t="s">
        <v>66</v>
      </c>
      <c r="O6" t="s">
        <v>69</v>
      </c>
      <c r="P6" t="s">
        <v>73</v>
      </c>
      <c r="Q6" t="s">
        <v>76</v>
      </c>
    </row>
    <row r="7" spans="1:17" x14ac:dyDescent="0.25">
      <c r="A7" s="70" t="s">
        <v>71</v>
      </c>
      <c r="B7" s="71"/>
      <c r="C7" s="71" t="s">
        <v>70</v>
      </c>
      <c r="D7" s="72"/>
      <c r="F7" s="13"/>
      <c r="J7" s="130" t="s">
        <v>62</v>
      </c>
      <c r="K7">
        <v>1536</v>
      </c>
      <c r="L7" s="133">
        <f>K7/$K$10</f>
        <v>0.2820936639118457</v>
      </c>
      <c r="M7" s="132">
        <f>L7*2</f>
        <v>0.56418732782369141</v>
      </c>
      <c r="N7">
        <f>L7*605</f>
        <v>170.66666666666666</v>
      </c>
      <c r="O7">
        <f>0.73*L7</f>
        <v>0.20592837465564737</v>
      </c>
      <c r="P7">
        <f>1.13*L7</f>
        <v>0.31876584022038562</v>
      </c>
      <c r="Q7">
        <f>30*L7</f>
        <v>8.4628099173553704</v>
      </c>
    </row>
    <row r="8" spans="1:17" ht="15.75" thickBot="1" x14ac:dyDescent="0.3">
      <c r="A8" s="73" t="s">
        <v>11</v>
      </c>
      <c r="B8" s="74">
        <f>ROUND(SUM(B6:B7),2)</f>
        <v>0.73</v>
      </c>
      <c r="C8" s="74" t="s">
        <v>70</v>
      </c>
      <c r="D8" s="75"/>
      <c r="F8" t="s">
        <v>72</v>
      </c>
      <c r="G8">
        <f>ROUNDUP(B8,2)</f>
        <v>0.73</v>
      </c>
      <c r="J8" s="130" t="s">
        <v>81</v>
      </c>
      <c r="K8">
        <v>1279</v>
      </c>
      <c r="L8" s="134">
        <f t="shared" ref="L8:L9" si="0">K8/$K$10</f>
        <v>0.23489439853076216</v>
      </c>
      <c r="M8" s="132">
        <f t="shared" ref="M8:M9" si="1">L8*2</f>
        <v>0.46978879706152432</v>
      </c>
      <c r="N8">
        <f t="shared" ref="N8:N9" si="2">L8*605</f>
        <v>142.11111111111111</v>
      </c>
      <c r="O8">
        <f t="shared" ref="O8:O9" si="3">0.73*L8</f>
        <v>0.17147291092745637</v>
      </c>
      <c r="P8">
        <f t="shared" ref="P8:P9" si="4">1.13*L8</f>
        <v>0.2654306703397612</v>
      </c>
      <c r="Q8">
        <f t="shared" ref="Q8:Q9" si="5">30*L8</f>
        <v>7.0468319559228645</v>
      </c>
    </row>
    <row r="9" spans="1:17" ht="15.75" thickBot="1" x14ac:dyDescent="0.3">
      <c r="A9" s="64" t="s">
        <v>73</v>
      </c>
      <c r="B9" s="65">
        <f>ROUND(B1/4840,2)</f>
        <v>1.1299999999999999</v>
      </c>
      <c r="C9" s="65" t="s">
        <v>74</v>
      </c>
      <c r="D9" s="66"/>
      <c r="F9" t="s">
        <v>75</v>
      </c>
      <c r="G9">
        <f>ROUNDUP(B9,2)</f>
        <v>1.1299999999999999</v>
      </c>
      <c r="J9" s="130" t="s">
        <v>82</v>
      </c>
      <c r="K9">
        <f>1030+1600</f>
        <v>2630</v>
      </c>
      <c r="L9" s="135">
        <f t="shared" si="0"/>
        <v>0.48301193755739208</v>
      </c>
      <c r="M9" s="132">
        <f t="shared" si="1"/>
        <v>0.96602387511478416</v>
      </c>
      <c r="N9">
        <f t="shared" si="2"/>
        <v>292.22222222222223</v>
      </c>
      <c r="O9">
        <f t="shared" si="3"/>
        <v>0.35259871441689622</v>
      </c>
      <c r="P9">
        <f t="shared" si="4"/>
        <v>0.54580348943985302</v>
      </c>
      <c r="Q9">
        <f t="shared" si="5"/>
        <v>14.490358126721762</v>
      </c>
    </row>
    <row r="10" spans="1:17" x14ac:dyDescent="0.25">
      <c r="A10" s="67" t="s">
        <v>76</v>
      </c>
      <c r="B10" s="68">
        <f>2*((0.0027*B1)/1)</f>
        <v>29.403000000000002</v>
      </c>
      <c r="C10" s="68" t="s">
        <v>77</v>
      </c>
      <c r="D10" s="69"/>
      <c r="F10" t="s">
        <v>78</v>
      </c>
      <c r="G10">
        <f>ROUNDUP(B10,0)</f>
        <v>30</v>
      </c>
      <c r="K10">
        <f>SUM(K7:K9)</f>
        <v>5445</v>
      </c>
      <c r="L10">
        <f>SUM(L7:L9)</f>
        <v>1</v>
      </c>
      <c r="M10">
        <f t="shared" ref="M10:Q10" si="6">SUM(M7:M9)</f>
        <v>2</v>
      </c>
      <c r="N10">
        <f t="shared" si="6"/>
        <v>605</v>
      </c>
      <c r="O10">
        <f t="shared" si="6"/>
        <v>0.73</v>
      </c>
      <c r="P10">
        <f t="shared" si="6"/>
        <v>1.1299999999999999</v>
      </c>
      <c r="Q10">
        <f t="shared" si="6"/>
        <v>29.999999999999996</v>
      </c>
    </row>
    <row r="11" spans="1:17" x14ac:dyDescent="0.25">
      <c r="A11" s="70" t="s">
        <v>71</v>
      </c>
      <c r="B11" s="71"/>
      <c r="C11" s="71" t="s">
        <v>77</v>
      </c>
      <c r="D11" s="72"/>
      <c r="N11" s="129"/>
      <c r="O11" s="129"/>
      <c r="P11" s="129"/>
      <c r="Q11" s="129"/>
    </row>
    <row r="12" spans="1:17" ht="15.75" thickBot="1" x14ac:dyDescent="0.3">
      <c r="A12" s="73" t="s">
        <v>11</v>
      </c>
      <c r="B12" s="74">
        <f>ROUNDUP(SUM(B10:B11),0)</f>
        <v>30</v>
      </c>
      <c r="C12" s="74" t="s">
        <v>77</v>
      </c>
      <c r="D12" s="75"/>
      <c r="N12" s="129"/>
      <c r="O12" s="129"/>
      <c r="P12" s="129"/>
      <c r="Q12" s="129"/>
    </row>
    <row r="13" spans="1:17" ht="15.75" thickBot="1" x14ac:dyDescent="0.3">
      <c r="A13" s="76" t="s">
        <v>79</v>
      </c>
      <c r="B13" s="77">
        <f>(((B1*9)*0.25)/1000)</f>
        <v>12.251250000000001</v>
      </c>
      <c r="C13" s="77" t="s">
        <v>80</v>
      </c>
      <c r="D13" s="78"/>
      <c r="N13" s="129"/>
      <c r="O13" s="129"/>
      <c r="P13" s="129"/>
      <c r="Q13" s="129"/>
    </row>
    <row r="14" spans="1:17" x14ac:dyDescent="0.25">
      <c r="N14" s="129"/>
      <c r="O14" s="129"/>
      <c r="P14" s="129"/>
      <c r="Q14" s="129"/>
    </row>
    <row r="15" spans="1:17" x14ac:dyDescent="0.25">
      <c r="N15" s="129"/>
      <c r="O15" s="129"/>
      <c r="P15" s="129"/>
      <c r="Q15" s="129"/>
    </row>
    <row r="16" spans="1:17" x14ac:dyDescent="0.25">
      <c r="N16" s="131"/>
      <c r="O16" s="129"/>
      <c r="P16" s="129"/>
      <c r="Q16" s="129"/>
    </row>
    <row r="17" spans="14:17" x14ac:dyDescent="0.25">
      <c r="N17" s="11"/>
      <c r="O17" s="129"/>
      <c r="P17" s="129"/>
      <c r="Q17" s="129"/>
    </row>
    <row r="18" spans="14:17" x14ac:dyDescent="0.25">
      <c r="N18" s="129"/>
      <c r="O18" s="129"/>
      <c r="P18" s="129"/>
      <c r="Q18" s="129"/>
    </row>
    <row r="19" spans="14:17" x14ac:dyDescent="0.25">
      <c r="N19" s="129"/>
      <c r="O19" s="129"/>
      <c r="P19" s="129"/>
      <c r="Q19" s="129"/>
    </row>
    <row r="20" spans="14:17" x14ac:dyDescent="0.25">
      <c r="N20" s="131"/>
      <c r="O20" s="129"/>
      <c r="P20" s="129"/>
      <c r="Q20" s="129"/>
    </row>
    <row r="21" spans="14:17" x14ac:dyDescent="0.25">
      <c r="N21" s="11"/>
      <c r="O21" s="129"/>
      <c r="P21" s="129"/>
      <c r="Q21" s="129"/>
    </row>
    <row r="22" spans="14:17" x14ac:dyDescent="0.25">
      <c r="N22" s="129"/>
      <c r="O22" s="129"/>
      <c r="P22" s="129"/>
      <c r="Q22" s="1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EA1F5-867F-47D4-8C44-BC22E78873A7}">
  <dimension ref="D1:H26"/>
  <sheetViews>
    <sheetView workbookViewId="0">
      <selection activeCell="H26" sqref="H26"/>
    </sheetView>
  </sheetViews>
  <sheetFormatPr defaultRowHeight="15" x14ac:dyDescent="0.25"/>
  <cols>
    <col min="1" max="1" width="9.5703125" bestFit="1" customWidth="1"/>
    <col min="2" max="3" width="9.5703125" customWidth="1"/>
    <col min="4" max="5" width="27.7109375" customWidth="1"/>
    <col min="6" max="8" width="10.85546875" customWidth="1"/>
  </cols>
  <sheetData>
    <row r="1" spans="4:8" ht="15.75" thickBot="1" x14ac:dyDescent="0.3"/>
    <row r="2" spans="4:8" ht="15.75" thickBot="1" x14ac:dyDescent="0.3">
      <c r="D2" s="180" t="s">
        <v>49</v>
      </c>
      <c r="E2" s="181"/>
      <c r="F2" s="181"/>
      <c r="G2" s="181"/>
      <c r="H2" s="182"/>
    </row>
    <row r="3" spans="4:8" ht="15.75" thickBot="1" x14ac:dyDescent="0.3">
      <c r="D3" s="183" t="s">
        <v>2</v>
      </c>
      <c r="E3" s="184"/>
      <c r="F3" s="28">
        <v>203</v>
      </c>
      <c r="G3" s="28">
        <v>203</v>
      </c>
      <c r="H3" s="28">
        <v>659</v>
      </c>
    </row>
    <row r="4" spans="4:8" ht="78.75" thickBot="1" x14ac:dyDescent="0.3">
      <c r="D4" s="185"/>
      <c r="E4" s="186"/>
      <c r="F4" s="29" t="s">
        <v>3</v>
      </c>
      <c r="G4" s="30" t="s">
        <v>4</v>
      </c>
      <c r="H4" s="31" t="s">
        <v>50</v>
      </c>
    </row>
    <row r="5" spans="4:8" ht="18.75" thickBot="1" x14ac:dyDescent="0.3">
      <c r="D5" s="32" t="s">
        <v>51</v>
      </c>
      <c r="E5" s="33" t="s">
        <v>52</v>
      </c>
      <c r="F5" s="34" t="s">
        <v>53</v>
      </c>
      <c r="G5" s="35" t="s">
        <v>53</v>
      </c>
      <c r="H5" s="34" t="s">
        <v>54</v>
      </c>
    </row>
    <row r="6" spans="4:8" x14ac:dyDescent="0.25">
      <c r="D6" s="36">
        <f>'Mainline CUT FILL S&amp;M Calcs'!B5</f>
        <v>1040</v>
      </c>
      <c r="E6" s="36">
        <f>'Mainline CUT FILL S&amp;M Calcs'!B6</f>
        <v>1050</v>
      </c>
      <c r="F6" s="37">
        <f>'Mainline CUT FILL S&amp;M Calcs'!F6</f>
        <v>2</v>
      </c>
      <c r="G6" s="37">
        <f>'Mainline CUT FILL S&amp;M Calcs'!G6</f>
        <v>1</v>
      </c>
      <c r="H6" s="37">
        <f>'Mainline CUT FILL S&amp;M Calcs'!H6</f>
        <v>4</v>
      </c>
    </row>
    <row r="7" spans="4:8" x14ac:dyDescent="0.25">
      <c r="D7" s="36">
        <f>E6</f>
        <v>1050</v>
      </c>
      <c r="E7" s="36">
        <f>'Mainline CUT FILL S&amp;M Calcs'!B7</f>
        <v>1100</v>
      </c>
      <c r="F7" s="37">
        <f>'Mainline CUT FILL S&amp;M Calcs'!F7</f>
        <v>15</v>
      </c>
      <c r="G7" s="37">
        <f>'Mainline CUT FILL S&amp;M Calcs'!G7</f>
        <v>5</v>
      </c>
      <c r="H7" s="37">
        <f>'Mainline CUT FILL S&amp;M Calcs'!H7</f>
        <v>47</v>
      </c>
    </row>
    <row r="8" spans="4:8" x14ac:dyDescent="0.25">
      <c r="D8" s="36">
        <f t="shared" ref="D8:D23" si="0">E7</f>
        <v>1100</v>
      </c>
      <c r="E8" s="36">
        <f>'Mainline CUT FILL S&amp;M Calcs'!B8</f>
        <v>1150</v>
      </c>
      <c r="F8" s="37">
        <f>'Mainline CUT FILL S&amp;M Calcs'!F8</f>
        <v>7</v>
      </c>
      <c r="G8" s="37">
        <f>'Mainline CUT FILL S&amp;M Calcs'!G8</f>
        <v>15</v>
      </c>
      <c r="H8" s="37">
        <f>'Mainline CUT FILL S&amp;M Calcs'!H8</f>
        <v>71</v>
      </c>
    </row>
    <row r="9" spans="4:8" x14ac:dyDescent="0.25">
      <c r="D9" s="36">
        <f t="shared" si="0"/>
        <v>1150</v>
      </c>
      <c r="E9" s="36">
        <f>'Mainline CUT FILL S&amp;M Calcs'!B9</f>
        <v>1200</v>
      </c>
      <c r="F9" s="37">
        <f>'Mainline CUT FILL S&amp;M Calcs'!F9</f>
        <v>11</v>
      </c>
      <c r="G9" s="37">
        <f>'Mainline CUT FILL S&amp;M Calcs'!G9</f>
        <v>14</v>
      </c>
      <c r="H9" s="37">
        <f>'Mainline CUT FILL S&amp;M Calcs'!H9</f>
        <v>65</v>
      </c>
    </row>
    <row r="10" spans="4:8" x14ac:dyDescent="0.25">
      <c r="D10" s="36">
        <f t="shared" si="0"/>
        <v>1200</v>
      </c>
      <c r="E10" s="36">
        <f>'Mainline CUT FILL S&amp;M Calcs'!B10</f>
        <v>1250</v>
      </c>
      <c r="F10" s="37">
        <f>'Mainline CUT FILL S&amp;M Calcs'!F10</f>
        <v>18</v>
      </c>
      <c r="G10" s="37">
        <f>'Mainline CUT FILL S&amp;M Calcs'!G10</f>
        <v>4</v>
      </c>
      <c r="H10" s="37">
        <f>'Mainline CUT FILL S&amp;M Calcs'!H10</f>
        <v>40</v>
      </c>
    </row>
    <row r="11" spans="4:8" x14ac:dyDescent="0.25">
      <c r="D11" s="36">
        <f t="shared" si="0"/>
        <v>1250</v>
      </c>
      <c r="E11" s="36">
        <f>'Mainline CUT FILL S&amp;M Calcs'!B11</f>
        <v>1300</v>
      </c>
      <c r="F11" s="37">
        <f>'Mainline CUT FILL S&amp;M Calcs'!F11</f>
        <v>23</v>
      </c>
      <c r="G11" s="37">
        <f>'Mainline CUT FILL S&amp;M Calcs'!G11</f>
        <v>2</v>
      </c>
      <c r="H11" s="37">
        <f>'Mainline CUT FILL S&amp;M Calcs'!H11</f>
        <v>28</v>
      </c>
    </row>
    <row r="12" spans="4:8" x14ac:dyDescent="0.25">
      <c r="D12" s="36">
        <f t="shared" si="0"/>
        <v>1300</v>
      </c>
      <c r="E12" s="36">
        <f>'Mainline CUT FILL S&amp;M Calcs'!B12</f>
        <v>1350</v>
      </c>
      <c r="F12" s="37">
        <f>'Mainline CUT FILL S&amp;M Calcs'!F12</f>
        <v>30</v>
      </c>
      <c r="G12" s="37">
        <f>'Mainline CUT FILL S&amp;M Calcs'!G12</f>
        <v>0</v>
      </c>
      <c r="H12" s="37">
        <f>'Mainline CUT FILL S&amp;M Calcs'!H12</f>
        <v>18</v>
      </c>
    </row>
    <row r="13" spans="4:8" x14ac:dyDescent="0.25">
      <c r="D13" s="36">
        <f t="shared" si="0"/>
        <v>1350</v>
      </c>
      <c r="E13" s="36">
        <f>'Mainline CUT FILL S&amp;M Calcs'!B13</f>
        <v>1400</v>
      </c>
      <c r="F13" s="37">
        <f>'Mainline CUT FILL S&amp;M Calcs'!F13</f>
        <v>24</v>
      </c>
      <c r="G13" s="37">
        <f>'Mainline CUT FILL S&amp;M Calcs'!G13</f>
        <v>3</v>
      </c>
      <c r="H13" s="37">
        <f>'Mainline CUT FILL S&amp;M Calcs'!H13</f>
        <v>29</v>
      </c>
    </row>
    <row r="14" spans="4:8" x14ac:dyDescent="0.25">
      <c r="D14" s="36">
        <f t="shared" si="0"/>
        <v>1400</v>
      </c>
      <c r="E14" s="36">
        <f>'Mainline CUT FILL S&amp;M Calcs'!B14</f>
        <v>1450</v>
      </c>
      <c r="F14" s="37">
        <f>'Mainline CUT FILL S&amp;M Calcs'!F14</f>
        <v>95</v>
      </c>
      <c r="G14" s="37">
        <f>'Mainline CUT FILL S&amp;M Calcs'!G14</f>
        <v>3</v>
      </c>
      <c r="H14" s="37">
        <f>'Mainline CUT FILL S&amp;M Calcs'!H14</f>
        <v>92</v>
      </c>
    </row>
    <row r="15" spans="4:8" x14ac:dyDescent="0.25">
      <c r="D15" s="36">
        <f t="shared" si="0"/>
        <v>1450</v>
      </c>
      <c r="E15" s="36">
        <f>'Mainline CUT FILL S&amp;M Calcs'!B15</f>
        <v>1500</v>
      </c>
      <c r="F15" s="37">
        <f>'Mainline CUT FILL S&amp;M Calcs'!F15</f>
        <v>155</v>
      </c>
      <c r="G15" s="37">
        <f>'Mainline CUT FILL S&amp;M Calcs'!G15</f>
        <v>0</v>
      </c>
      <c r="H15" s="37">
        <f>'Mainline CUT FILL S&amp;M Calcs'!H15</f>
        <v>131</v>
      </c>
    </row>
    <row r="16" spans="4:8" x14ac:dyDescent="0.25">
      <c r="D16" s="36">
        <f t="shared" si="0"/>
        <v>1500</v>
      </c>
      <c r="E16" s="36">
        <f>'Mainline CUT FILL S&amp;M Calcs'!B16</f>
        <v>1550</v>
      </c>
      <c r="F16" s="37">
        <f>'Mainline CUT FILL S&amp;M Calcs'!F16</f>
        <v>173</v>
      </c>
      <c r="G16" s="37">
        <f>'Mainline CUT FILL S&amp;M Calcs'!G16</f>
        <v>0</v>
      </c>
      <c r="H16" s="37">
        <f>'Mainline CUT FILL S&amp;M Calcs'!H16</f>
        <v>137</v>
      </c>
    </row>
    <row r="17" spans="4:8" x14ac:dyDescent="0.25">
      <c r="D17" s="36">
        <f t="shared" si="0"/>
        <v>1550</v>
      </c>
      <c r="E17" s="36">
        <f>'Mainline CUT FILL S&amp;M Calcs'!B17</f>
        <v>1600</v>
      </c>
      <c r="F17" s="37">
        <f>'Mainline CUT FILL S&amp;M Calcs'!F17</f>
        <v>0</v>
      </c>
      <c r="G17" s="37">
        <f>'Mainline CUT FILL S&amp;M Calcs'!G17</f>
        <v>1</v>
      </c>
      <c r="H17" s="37">
        <f>'Mainline CUT FILL S&amp;M Calcs'!H17</f>
        <v>174</v>
      </c>
    </row>
    <row r="18" spans="4:8" x14ac:dyDescent="0.25">
      <c r="D18" s="36">
        <f t="shared" si="0"/>
        <v>1600</v>
      </c>
      <c r="E18" s="36">
        <f>'Mainline CUT FILL S&amp;M Calcs'!B18</f>
        <v>1650</v>
      </c>
      <c r="F18" s="37">
        <f>'Mainline CUT FILL S&amp;M Calcs'!F18</f>
        <v>140</v>
      </c>
      <c r="G18" s="37">
        <f>'Mainline CUT FILL S&amp;M Calcs'!G18</f>
        <v>3</v>
      </c>
      <c r="H18" s="37">
        <f>'Mainline CUT FILL S&amp;M Calcs'!H18</f>
        <v>177</v>
      </c>
    </row>
    <row r="19" spans="4:8" x14ac:dyDescent="0.25">
      <c r="D19" s="36">
        <f t="shared" si="0"/>
        <v>1650</v>
      </c>
      <c r="E19" s="36">
        <f>'Mainline CUT FILL S&amp;M Calcs'!B19</f>
        <v>1700</v>
      </c>
      <c r="F19" s="37">
        <f>'Mainline CUT FILL S&amp;M Calcs'!F19</f>
        <v>243</v>
      </c>
      <c r="G19" s="37">
        <f>'Mainline CUT FILL S&amp;M Calcs'!G19</f>
        <v>2</v>
      </c>
      <c r="H19" s="37">
        <f>'Mainline CUT FILL S&amp;M Calcs'!H19</f>
        <v>173</v>
      </c>
    </row>
    <row r="20" spans="4:8" x14ac:dyDescent="0.25">
      <c r="D20" s="36">
        <f t="shared" si="0"/>
        <v>1700</v>
      </c>
      <c r="E20" s="36">
        <f>'Mainline CUT FILL S&amp;M Calcs'!B20</f>
        <v>1750</v>
      </c>
      <c r="F20" s="37">
        <f>'Mainline CUT FILL S&amp;M Calcs'!F20</f>
        <v>193</v>
      </c>
      <c r="G20" s="37">
        <f>'Mainline CUT FILL S&amp;M Calcs'!G20</f>
        <v>0</v>
      </c>
      <c r="H20" s="37">
        <f>'Mainline CUT FILL S&amp;M Calcs'!H20</f>
        <v>154</v>
      </c>
    </row>
    <row r="21" spans="4:8" x14ac:dyDescent="0.25">
      <c r="D21" s="36">
        <f t="shared" si="0"/>
        <v>1750</v>
      </c>
      <c r="E21" s="36">
        <f>'Mainline CUT FILL S&amp;M Calcs'!B21</f>
        <v>1800</v>
      </c>
      <c r="F21" s="37">
        <f>'Mainline CUT FILL S&amp;M Calcs'!F21</f>
        <v>39</v>
      </c>
      <c r="G21" s="37">
        <f>'Mainline CUT FILL S&amp;M Calcs'!G21</f>
        <v>0</v>
      </c>
      <c r="H21" s="37">
        <f>'Mainline CUT FILL S&amp;M Calcs'!H21</f>
        <v>75</v>
      </c>
    </row>
    <row r="22" spans="4:8" x14ac:dyDescent="0.25">
      <c r="D22" s="36">
        <f t="shared" si="0"/>
        <v>1800</v>
      </c>
      <c r="E22" s="36">
        <f>'Mainline CUT FILL S&amp;M Calcs'!B22</f>
        <v>1850</v>
      </c>
      <c r="F22" s="37">
        <f>'Mainline CUT FILL S&amp;M Calcs'!F22</f>
        <v>34</v>
      </c>
      <c r="G22" s="37">
        <f>'Mainline CUT FILL S&amp;M Calcs'!G22</f>
        <v>0</v>
      </c>
      <c r="H22" s="37">
        <f>'Mainline CUT FILL S&amp;M Calcs'!H22</f>
        <v>32</v>
      </c>
    </row>
    <row r="23" spans="4:8" x14ac:dyDescent="0.25">
      <c r="D23" s="36">
        <f t="shared" si="0"/>
        <v>1850</v>
      </c>
      <c r="E23" s="36">
        <f>'Mainline CUT FILL S&amp;M Calcs'!B23</f>
        <v>2000</v>
      </c>
      <c r="F23" s="37">
        <f>'Mainline CUT FILL S&amp;M Calcs'!F23</f>
        <v>114</v>
      </c>
      <c r="G23" s="37">
        <f>'Mainline CUT FILL S&amp;M Calcs'!G23</f>
        <v>0</v>
      </c>
      <c r="H23" s="37">
        <f>'Mainline CUT FILL S&amp;M Calcs'!H23</f>
        <v>89</v>
      </c>
    </row>
    <row r="24" spans="4:8" x14ac:dyDescent="0.25">
      <c r="D24" s="36"/>
      <c r="E24" s="36"/>
      <c r="F24" s="37"/>
      <c r="G24" s="37"/>
      <c r="H24" s="37"/>
    </row>
    <row r="25" spans="4:8" ht="15.75" thickBot="1" x14ac:dyDescent="0.3">
      <c r="D25" s="36"/>
      <c r="E25" s="36"/>
      <c r="F25" s="37"/>
      <c r="G25" s="37"/>
      <c r="H25" s="37"/>
    </row>
    <row r="26" spans="4:8" ht="15.75" thickBot="1" x14ac:dyDescent="0.3">
      <c r="D26" s="187" t="s">
        <v>0</v>
      </c>
      <c r="E26" s="188"/>
      <c r="F26" s="34">
        <f>SUM(F6:F25)</f>
        <v>1316</v>
      </c>
      <c r="G26" s="34">
        <f>SUM(G6:G25)</f>
        <v>53</v>
      </c>
      <c r="H26" s="34">
        <f>SUM(H6:H25)</f>
        <v>1536</v>
      </c>
    </row>
  </sheetData>
  <mergeCells count="3">
    <mergeCell ref="D2:H2"/>
    <mergeCell ref="D3:E4"/>
    <mergeCell ref="D26:E2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Autotable</vt:lpstr>
      <vt:lpstr>Mainline CUT FILL S&amp;M Calcs</vt:lpstr>
      <vt:lpstr>Seeding calcs</vt:lpstr>
      <vt:lpstr>Earthwork and Sding Calcs(VOID)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Kretz, Joey</dc:creator>
  <cp:lastModifiedBy>Morman, Zach</cp:lastModifiedBy>
  <dcterms:created xsi:type="dcterms:W3CDTF">2020-10-28T16:47:58Z</dcterms:created>
  <dcterms:modified xsi:type="dcterms:W3CDTF">2025-08-04T13:11:50Z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