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ppraisal Program Manager\RW Cost Estimates\"/>
    </mc:Choice>
  </mc:AlternateContent>
  <xr:revisionPtr revIDLastSave="0" documentId="8_{266EA39D-5CCF-421D-B06F-17FF6D011DC0}" xr6:coauthVersionLast="47" xr6:coauthVersionMax="47" xr10:uidLastSave="{00000000-0000-0000-0000-000000000000}"/>
  <bookViews>
    <workbookView xWindow="-120" yWindow="-120" windowWidth="29040" windowHeight="15840" xr2:uid="{3649B276-1588-4A60-A227-8BCFA26F3C70}"/>
  </bookViews>
  <sheets>
    <sheet name="114496-Alt 1" sheetId="1" r:id="rId1"/>
    <sheet name="114496-Alt 2" sheetId="2" r:id="rId2"/>
    <sheet name="114497-Alt 1" sheetId="4" r:id="rId3"/>
    <sheet name="114497-Alt 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5" l="1"/>
  <c r="F12" i="5"/>
  <c r="F13" i="5"/>
  <c r="F11" i="5"/>
  <c r="F10" i="5"/>
  <c r="F9" i="5"/>
  <c r="F8" i="5"/>
  <c r="F7" i="5"/>
  <c r="F6" i="5"/>
  <c r="F5" i="5"/>
  <c r="F4" i="5"/>
  <c r="F12" i="4"/>
  <c r="F11" i="4"/>
  <c r="F10" i="4"/>
  <c r="F9" i="4"/>
  <c r="F8" i="4"/>
  <c r="F7" i="4"/>
  <c r="F6" i="4"/>
  <c r="F5" i="4"/>
  <c r="F4" i="4"/>
  <c r="F12" i="2"/>
  <c r="F3" i="2"/>
  <c r="F4" i="2"/>
  <c r="F11" i="2"/>
  <c r="F10" i="2"/>
  <c r="F9" i="2"/>
  <c r="F8" i="2"/>
  <c r="F7" i="2"/>
  <c r="F6" i="2"/>
  <c r="F5" i="2"/>
  <c r="D11" i="2"/>
  <c r="F13" i="1"/>
  <c r="F6" i="1"/>
  <c r="F7" i="1"/>
  <c r="F8" i="1"/>
  <c r="F9" i="1"/>
  <c r="F10" i="1"/>
  <c r="F11" i="1"/>
  <c r="F12" i="1"/>
  <c r="F5" i="1"/>
  <c r="D14" i="5"/>
  <c r="C14" i="5"/>
  <c r="C12" i="4"/>
  <c r="D12" i="4"/>
  <c r="D7" i="5"/>
  <c r="D6" i="5"/>
  <c r="D5" i="5"/>
  <c r="D4" i="5"/>
  <c r="D7" i="4"/>
  <c r="D6" i="4"/>
  <c r="D5" i="4"/>
  <c r="D4" i="4"/>
  <c r="D12" i="2"/>
  <c r="C12" i="2"/>
  <c r="D13" i="1"/>
  <c r="C13" i="1"/>
  <c r="C9" i="4"/>
  <c r="D11" i="4"/>
  <c r="D9" i="4"/>
  <c r="D8" i="4"/>
  <c r="D10" i="5"/>
  <c r="D9" i="5"/>
  <c r="D8" i="5"/>
  <c r="D13" i="5"/>
  <c r="D12" i="5"/>
  <c r="D11" i="5"/>
  <c r="D6" i="1"/>
  <c r="D12" i="1"/>
  <c r="D11" i="1"/>
  <c r="D10" i="1"/>
  <c r="D9" i="1"/>
  <c r="D8" i="1"/>
  <c r="D7" i="1"/>
  <c r="D5" i="1"/>
  <c r="D10" i="4"/>
  <c r="D8" i="2"/>
  <c r="D10" i="2"/>
  <c r="D9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<sst xmlns="http://schemas.openxmlformats.org/spreadsheetml/2006/main" count="87" uniqueCount="32">
  <si>
    <t>OWNER</t>
  </si>
  <si>
    <t>NAME</t>
  </si>
  <si>
    <t>TOTAL</t>
  </si>
  <si>
    <t>AUDITOR</t>
  </si>
  <si>
    <t>PARCEL NO.</t>
  </si>
  <si>
    <t>MCDONALDS REAL ESTATE COMPANY</t>
  </si>
  <si>
    <t>AREA (AC)</t>
  </si>
  <si>
    <t>TAKE (AC)</t>
  </si>
  <si>
    <t>MARIEMONT LANDING HOMEOWNERS ASSOCIATION</t>
  </si>
  <si>
    <t>KROGER LIMITED PARTNERSHIP</t>
  </si>
  <si>
    <t>ALAMIN FAMILY PTNSHP</t>
  </si>
  <si>
    <t>MYERS Y COOPER COMPANY</t>
  </si>
  <si>
    <t>THE BOARD OF PARK COMMISSION HAMILTON COUNTY PARK</t>
  </si>
  <si>
    <t>CARRIAGE HOUSE CAR WASH 001 LLC</t>
  </si>
  <si>
    <t>GARNER CHARLES R CO TR &amp; JAMES E CO TR</t>
  </si>
  <si>
    <t>KA WALTON LLC</t>
  </si>
  <si>
    <t>STATE OF OHIO</t>
  </si>
  <si>
    <t>THE BOARD OF PARK COMMISSION HAMILTON COUNTY PARK DISTRICT</t>
  </si>
  <si>
    <t>MARIEMONT CITY SCHOOL DISTRICT BD OF EDUCATION</t>
  </si>
  <si>
    <t>HAMILTON COUNTY COMMRS</t>
  </si>
  <si>
    <t>MARIEMONT SCHOOL DISTRICT BOARD OF EDUCATION</t>
  </si>
  <si>
    <t>SPRING HILL OF MARIEMONT CONDOMINIUM OWNERS ASSOC</t>
  </si>
  <si>
    <t>VILLAGE OF MARIEMONT</t>
  </si>
  <si>
    <t>PUBLIC LIBRARY OF CINCINNATI &amp; HAMILTON CTY</t>
  </si>
  <si>
    <t>CHARTER COMMERCIAL MMP LLC</t>
  </si>
  <si>
    <t>PENNINGTON PROPERTIES LLC</t>
  </si>
  <si>
    <t>SPRING HILL CONST CO</t>
  </si>
  <si>
    <t>Total</t>
  </si>
  <si>
    <t xml:space="preserve">Price per </t>
  </si>
  <si>
    <t>acre cost</t>
  </si>
  <si>
    <t>Total RW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</si>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</sst>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venir Light"/>
    </font>
    <font>
      <b/>
      <sz val="9"/>
      <color rgb="FF333333"/>
      <name val="Avenir Ligh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44" fontId="0" fillId="0" borderId="0" xfId="1" applyFont="1"/>
    <xf numFmtId="44" fontId="0" fillId="0" borderId="0" xfId="0" applyNumberFormat="1"/>
    <xf numFmtId="44" fontId="1" fillId="0" borderId="0" xfId="0" applyNumberFormat="1" applyFont="1"/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0404-7EAF-4B56-BF49-F5976BE7FA35}">
  <dimension ref="A1:F13"/>
  <sheetViews>
    <sheetView tabSelected="1" workbookViewId="0">
      <selection activeCell="B14" sqref="B14"/>
    </sheetView>
  </sheetViews>
  <sheetFormatPr defaultRowHeight="15"/>
  <cols>
    <col min="1" max="1" width="15.7109375" style="4" customWidth="1"/>
    <col min="2" max="2" width="60.7109375" style="4" customWidth="1"/>
    <col min="3" max="4" width="15.7109375" style="4" customWidth="1"/>
    <col min="5" max="5" width="12.5703125" bestFit="1" customWidth="1"/>
    <col min="6" max="6" width="14.28515625" bestFit="1" customWidth="1"/>
  </cols>
  <sheetData>
    <row r="1" spans="1:6">
      <c r="A1" s="1" t="s">
        <v>3</v>
      </c>
      <c r="B1" s="1" t="s">
        <v>0</v>
      </c>
      <c r="C1" s="1" t="s">
        <v>2</v>
      </c>
      <c r="D1" s="1" t="s">
        <v>2</v>
      </c>
      <c r="E1" s="1" t="s">
        <v>28</v>
      </c>
      <c r="F1" s="1" t="s">
        <v>30</v>
      </c>
    </row>
    <row r="2" spans="1:6">
      <c r="A2" s="1" t="s">
        <v>4</v>
      </c>
      <c r="B2" s="1" t="s">
        <v>1</v>
      </c>
      <c r="C2" s="1" t="s">
        <v>6</v>
      </c>
      <c r="D2" s="1" t="s">
        <v>7</v>
      </c>
      <c r="E2" s="1" t="s">
        <v>29</v>
      </c>
      <c r="F2" s="1" t="s">
        <v>31</v>
      </c>
    </row>
    <row r="5" spans="1:6">
      <c r="A5" s="3">
        <v>52001100025</v>
      </c>
      <c r="B5" s="2" t="s">
        <v>9</v>
      </c>
      <c r="C5" s="10">
        <v>0.81</v>
      </c>
      <c r="D5" s="9">
        <f>5376.427/43560</f>
        <v>0.12342578053259871</v>
      </c>
      <c r="E5" s="18">
        <v>750000</v>
      </c>
      <c r="F5" s="19">
        <f>D5*E5</f>
        <v>92569.335399449032</v>
      </c>
    </row>
    <row r="6" spans="1:6">
      <c r="A6" s="3">
        <v>52001100140</v>
      </c>
      <c r="B6" s="2" t="s">
        <v>8</v>
      </c>
      <c r="C6" s="10">
        <v>0.72</v>
      </c>
      <c r="D6" s="9">
        <f>1207.066/43560</f>
        <v>2.7710422405876952E-2</v>
      </c>
      <c r="E6" s="18">
        <v>750000</v>
      </c>
      <c r="F6" s="19">
        <f t="shared" ref="F6:F12" si="0">D6*E6</f>
        <v>20782.816804407714</v>
      </c>
    </row>
    <row r="7" spans="1:6">
      <c r="A7" s="3">
        <v>52001100141</v>
      </c>
      <c r="B7" s="2" t="s">
        <v>8</v>
      </c>
      <c r="C7" s="9">
        <v>2.42</v>
      </c>
      <c r="D7" s="9">
        <f>392.881/43560</f>
        <v>9.0193067033976122E-3</v>
      </c>
      <c r="E7" s="18">
        <v>750000</v>
      </c>
      <c r="F7" s="19">
        <f t="shared" si="0"/>
        <v>6764.4800275482094</v>
      </c>
    </row>
    <row r="8" spans="1:6">
      <c r="A8" s="8">
        <v>52001100056</v>
      </c>
      <c r="B8" s="2" t="s">
        <v>5</v>
      </c>
      <c r="C8" s="9">
        <v>0.49</v>
      </c>
      <c r="D8" s="9">
        <f>3037.593/43560</f>
        <v>6.9733539944903583E-2</v>
      </c>
      <c r="E8" s="18">
        <v>750000</v>
      </c>
      <c r="F8" s="19">
        <f t="shared" si="0"/>
        <v>52300.154958677689</v>
      </c>
    </row>
    <row r="9" spans="1:6">
      <c r="A9" s="3">
        <v>52001100139</v>
      </c>
      <c r="B9" s="2" t="s">
        <v>8</v>
      </c>
      <c r="C9" s="10">
        <v>0.54</v>
      </c>
      <c r="D9" s="9">
        <f>472.706/43560</f>
        <v>1.0851836547291093E-2</v>
      </c>
      <c r="E9" s="18">
        <v>750000</v>
      </c>
      <c r="F9" s="19">
        <f t="shared" si="0"/>
        <v>8138.8774104683198</v>
      </c>
    </row>
    <row r="10" spans="1:6">
      <c r="A10" s="3">
        <v>52001000017</v>
      </c>
      <c r="B10" s="6" t="s">
        <v>12</v>
      </c>
      <c r="C10" s="9">
        <v>14.97</v>
      </c>
      <c r="D10" s="9">
        <f>56302.426/43560</f>
        <v>1.2925258494031222</v>
      </c>
      <c r="E10" s="18">
        <v>750000</v>
      </c>
      <c r="F10" s="19">
        <f t="shared" si="0"/>
        <v>969394.3870523416</v>
      </c>
    </row>
    <row r="11" spans="1:6">
      <c r="A11" s="3">
        <v>52001110216</v>
      </c>
      <c r="B11" s="2" t="s">
        <v>5</v>
      </c>
      <c r="C11" s="10">
        <v>0.25</v>
      </c>
      <c r="D11" s="9">
        <f>3470.967/43560</f>
        <v>7.9682438016528925E-2</v>
      </c>
      <c r="E11" s="18">
        <v>750000</v>
      </c>
      <c r="F11" s="19">
        <f t="shared" si="0"/>
        <v>59761.828512396693</v>
      </c>
    </row>
    <row r="12" spans="1:6">
      <c r="A12" s="3">
        <v>52001110208</v>
      </c>
      <c r="B12" s="2" t="s">
        <v>10</v>
      </c>
      <c r="C12" s="10">
        <v>5.96</v>
      </c>
      <c r="D12" s="9">
        <f>17878.666/43560</f>
        <v>0.4104376951331497</v>
      </c>
      <c r="E12" s="18">
        <v>750000</v>
      </c>
      <c r="F12" s="19">
        <f t="shared" si="0"/>
        <v>307828.27134986228</v>
      </c>
    </row>
    <row r="13" spans="1:6">
      <c r="A13" s="8"/>
      <c r="B13" s="15" t="s">
        <v>27</v>
      </c>
      <c r="C13" s="16">
        <f>SUM(C5:C12)</f>
        <v>26.160000000000004</v>
      </c>
      <c r="D13" s="16">
        <f>SUM(D5:D12)-D10</f>
        <v>0.73086101928374636</v>
      </c>
      <c r="E13" s="18"/>
      <c r="F13" s="20">
        <f>SUM(F5:F12)</f>
        <v>1517540.1515151514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29A1-4043-4868-B022-A6B433ED2C01}">
  <dimension ref="A1:F12"/>
  <sheetViews>
    <sheetView workbookViewId="0">
      <selection activeCell="F12" sqref="F12"/>
    </sheetView>
  </sheetViews>
  <sheetFormatPr defaultRowHeight="15"/>
  <cols>
    <col min="1" max="1" width="15.7109375" customWidth="1"/>
    <col min="2" max="2" width="60.7109375" customWidth="1"/>
    <col min="3" max="4" width="15.7109375" customWidth="1"/>
    <col min="5" max="6" width="12.5703125" bestFit="1" customWidth="1"/>
  </cols>
  <sheetData>
    <row r="1" spans="1:6">
      <c r="A1" s="1" t="s">
        <v>3</v>
      </c>
      <c r="B1" s="1" t="s">
        <v>0</v>
      </c>
      <c r="C1" s="1" t="s">
        <v>2</v>
      </c>
      <c r="D1" s="1" t="s">
        <v>2</v>
      </c>
      <c r="E1" s="1" t="s">
        <v>28</v>
      </c>
      <c r="F1" s="1" t="s">
        <v>30</v>
      </c>
    </row>
    <row r="2" spans="1:6">
      <c r="A2" s="1" t="s">
        <v>4</v>
      </c>
      <c r="B2" s="1" t="s">
        <v>1</v>
      </c>
      <c r="C2" s="1" t="s">
        <v>6</v>
      </c>
      <c r="D2" s="1" t="s">
        <v>7</v>
      </c>
      <c r="E2" s="1" t="s">
        <v>29</v>
      </c>
      <c r="F2" s="1" t="s">
        <v>31</v>
      </c>
    </row>
    <row r="3" spans="1:6">
      <c r="A3" s="3">
        <v>52001100056</v>
      </c>
      <c r="B3" s="2" t="s">
        <v>5</v>
      </c>
      <c r="C3" s="9">
        <v>0.49</v>
      </c>
      <c r="D3" s="9">
        <f>1403.9639/43560</f>
        <v>3.2230576216712582E-2</v>
      </c>
      <c r="E3" s="18">
        <v>750000</v>
      </c>
      <c r="F3" s="19">
        <f t="shared" ref="F3:F4" si="0">D3*E3</f>
        <v>24172.932162534438</v>
      </c>
    </row>
    <row r="4" spans="1:6">
      <c r="A4" s="4">
        <v>52001100055</v>
      </c>
      <c r="B4" s="2" t="s">
        <v>5</v>
      </c>
      <c r="C4" s="10">
        <v>0.96</v>
      </c>
      <c r="D4" s="9">
        <f>7147.7488/43560</f>
        <v>0.16408973370064281</v>
      </c>
      <c r="E4" s="18">
        <v>750000</v>
      </c>
      <c r="F4" s="19">
        <f t="shared" si="0"/>
        <v>123067.30027548211</v>
      </c>
    </row>
    <row r="5" spans="1:6">
      <c r="A5" s="4">
        <v>52001110128</v>
      </c>
      <c r="B5" s="2" t="s">
        <v>14</v>
      </c>
      <c r="C5" s="9">
        <v>0.13</v>
      </c>
      <c r="D5" s="9">
        <f>851.7269/43560</f>
        <v>1.9552959136822774E-2</v>
      </c>
      <c r="E5" s="18">
        <v>750000</v>
      </c>
      <c r="F5" s="19">
        <f>D5*E5</f>
        <v>14664.719352617079</v>
      </c>
    </row>
    <row r="6" spans="1:6">
      <c r="A6" s="4">
        <v>52001110208</v>
      </c>
      <c r="B6" s="2" t="s">
        <v>10</v>
      </c>
      <c r="C6" s="10">
        <v>5.96</v>
      </c>
      <c r="D6" s="9">
        <f>8488.4685/43560</f>
        <v>0.1948684228650138</v>
      </c>
      <c r="E6" s="18">
        <v>750000</v>
      </c>
      <c r="F6" s="19">
        <f t="shared" ref="F6:F12" si="1">D6*E6</f>
        <v>146151.31714876034</v>
      </c>
    </row>
    <row r="7" spans="1:6">
      <c r="A7" s="3">
        <v>52001110124</v>
      </c>
      <c r="B7" s="2" t="s">
        <v>15</v>
      </c>
      <c r="C7" s="10">
        <v>0.62</v>
      </c>
      <c r="D7" s="9">
        <f>792.3769/43560</f>
        <v>1.8190470615243343E-2</v>
      </c>
      <c r="E7" s="18">
        <v>750000</v>
      </c>
      <c r="F7" s="19">
        <f t="shared" si="1"/>
        <v>13642.852961432507</v>
      </c>
    </row>
    <row r="8" spans="1:6">
      <c r="A8" s="3">
        <v>52001110227</v>
      </c>
      <c r="B8" s="2" t="s">
        <v>16</v>
      </c>
      <c r="C8" s="10">
        <v>0.01</v>
      </c>
      <c r="D8" s="9">
        <f>96.5613/43560</f>
        <v>2.2167424242424245E-3</v>
      </c>
      <c r="E8" s="18">
        <v>750000</v>
      </c>
      <c r="F8" s="19">
        <f t="shared" si="1"/>
        <v>1662.5568181818182</v>
      </c>
    </row>
    <row r="9" spans="1:6">
      <c r="A9" s="3">
        <v>52001110120</v>
      </c>
      <c r="B9" s="2" t="s">
        <v>11</v>
      </c>
      <c r="C9" s="10">
        <v>2.97</v>
      </c>
      <c r="D9" s="9">
        <f>4663.2466/43560</f>
        <v>0.10705341138659322</v>
      </c>
      <c r="E9" s="18">
        <v>750000</v>
      </c>
      <c r="F9" s="19">
        <f t="shared" si="1"/>
        <v>80290.058539944919</v>
      </c>
    </row>
    <row r="10" spans="1:6">
      <c r="A10" s="4">
        <v>52001110149</v>
      </c>
      <c r="B10" s="2" t="s">
        <v>13</v>
      </c>
      <c r="C10" s="10">
        <v>2.2599999999999998</v>
      </c>
      <c r="D10" s="9">
        <f>5607.2934/43560</f>
        <v>0.12872574380165289</v>
      </c>
      <c r="E10" s="18">
        <v>750000</v>
      </c>
      <c r="F10" s="19">
        <f t="shared" si="1"/>
        <v>96544.307851239661</v>
      </c>
    </row>
    <row r="11" spans="1:6">
      <c r="A11" s="3">
        <v>52001000017</v>
      </c>
      <c r="B11" s="2" t="s">
        <v>17</v>
      </c>
      <c r="C11" s="10">
        <v>14.97</v>
      </c>
      <c r="D11" s="9">
        <f>10002.4394/43560</f>
        <v>0.22962441230486683</v>
      </c>
      <c r="E11" s="18">
        <v>750000</v>
      </c>
      <c r="F11" s="19">
        <f t="shared" si="1"/>
        <v>172218.30922865012</v>
      </c>
    </row>
    <row r="12" spans="1:6">
      <c r="B12" s="17" t="s">
        <v>27</v>
      </c>
      <c r="C12" s="14">
        <f>SUM(C3:C11)</f>
        <v>28.37</v>
      </c>
      <c r="D12" s="14">
        <f>SUM(D3:D11)-D11</f>
        <v>0.66692806014692385</v>
      </c>
      <c r="F12" s="20">
        <f>SUM(F3:F11)</f>
        <v>672414.35433884291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2CAF-8C46-492B-985E-47AD14A11AA8}">
  <dimension ref="A1:F19"/>
  <sheetViews>
    <sheetView workbookViewId="0">
      <selection activeCell="F11" sqref="F11"/>
    </sheetView>
  </sheetViews>
  <sheetFormatPr defaultRowHeight="15"/>
  <cols>
    <col min="1" max="1" width="15.7109375" customWidth="1"/>
    <col min="2" max="2" width="50.7109375" customWidth="1"/>
    <col min="3" max="4" width="15.7109375" customWidth="1"/>
    <col min="5" max="5" width="12.5703125" bestFit="1" customWidth="1"/>
    <col min="6" max="6" width="14.28515625" bestFit="1" customWidth="1"/>
  </cols>
  <sheetData>
    <row r="1" spans="1:6">
      <c r="A1" s="1" t="s">
        <v>3</v>
      </c>
      <c r="B1" s="1" t="s">
        <v>0</v>
      </c>
      <c r="C1" s="1" t="s">
        <v>2</v>
      </c>
      <c r="D1" s="1" t="s">
        <v>2</v>
      </c>
      <c r="E1" s="1" t="s">
        <v>28</v>
      </c>
      <c r="F1" s="1" t="s">
        <v>30</v>
      </c>
    </row>
    <row r="2" spans="1:6">
      <c r="A2" s="1" t="s">
        <v>4</v>
      </c>
      <c r="B2" s="1" t="s">
        <v>1</v>
      </c>
      <c r="C2" s="1" t="s">
        <v>6</v>
      </c>
      <c r="D2" s="1" t="s">
        <v>7</v>
      </c>
      <c r="E2" s="1" t="s">
        <v>29</v>
      </c>
      <c r="F2" s="1" t="s">
        <v>31</v>
      </c>
    </row>
    <row r="3" spans="1:6">
      <c r="A3" s="4"/>
      <c r="B3" s="4"/>
      <c r="C3" s="4"/>
      <c r="D3" s="4"/>
      <c r="E3" s="18"/>
      <c r="F3" s="19"/>
    </row>
    <row r="4" spans="1:6">
      <c r="A4" s="3">
        <v>52700200247</v>
      </c>
      <c r="B4" s="2" t="s">
        <v>22</v>
      </c>
      <c r="C4" s="7">
        <v>1.22</v>
      </c>
      <c r="D4" s="9">
        <f>7354.523/43560</f>
        <v>0.16883661616161616</v>
      </c>
      <c r="E4" s="18">
        <v>750000</v>
      </c>
      <c r="F4" s="19">
        <f t="shared" ref="F3:F4" si="0">D4*E4</f>
        <v>126627.46212121211</v>
      </c>
    </row>
    <row r="5" spans="1:6">
      <c r="A5" s="3">
        <v>52700210013</v>
      </c>
      <c r="B5" s="2" t="s">
        <v>18</v>
      </c>
      <c r="C5" s="7">
        <v>2</v>
      </c>
      <c r="D5" s="9">
        <f>(13093.689+5485.317)/43560</f>
        <v>0.42651528925619836</v>
      </c>
      <c r="E5" s="18">
        <v>750000</v>
      </c>
      <c r="F5" s="19">
        <f>D5*E5</f>
        <v>319886.46694214875</v>
      </c>
    </row>
    <row r="6" spans="1:6">
      <c r="A6" s="3">
        <v>52700200521</v>
      </c>
      <c r="B6" s="2" t="s">
        <v>23</v>
      </c>
      <c r="C6" s="7">
        <v>0.77</v>
      </c>
      <c r="D6" s="9">
        <f>10451.05/43560</f>
        <v>0.23992309458218547</v>
      </c>
      <c r="E6" s="18">
        <v>750000</v>
      </c>
      <c r="F6" s="19">
        <f t="shared" ref="F6:F11" si="1">D6*E6</f>
        <v>179942.32093663909</v>
      </c>
    </row>
    <row r="7" spans="1:6">
      <c r="A7" s="3">
        <v>52001100036</v>
      </c>
      <c r="B7" s="2" t="s">
        <v>19</v>
      </c>
      <c r="C7" s="7">
        <v>0</v>
      </c>
      <c r="D7" s="9">
        <f>130.973/43560</f>
        <v>3.0067263544536274E-3</v>
      </c>
      <c r="E7" s="18">
        <v>750000</v>
      </c>
      <c r="F7" s="19">
        <f t="shared" si="1"/>
        <v>2255.0447658402204</v>
      </c>
    </row>
    <row r="8" spans="1:6">
      <c r="A8" s="3">
        <v>52001100054</v>
      </c>
      <c r="B8" s="2" t="s">
        <v>24</v>
      </c>
      <c r="C8" s="7">
        <v>5.54</v>
      </c>
      <c r="D8" s="9">
        <f>7206.989/43560</f>
        <v>0.1654497015610652</v>
      </c>
      <c r="E8" s="18">
        <v>750000</v>
      </c>
      <c r="F8" s="19">
        <f t="shared" si="1"/>
        <v>124087.2761707989</v>
      </c>
    </row>
    <row r="9" spans="1:6">
      <c r="A9" s="3">
        <v>52001100099</v>
      </c>
      <c r="B9" s="2" t="s">
        <v>25</v>
      </c>
      <c r="C9" s="5">
        <f>ROUND(329.65*10/43560,2)</f>
        <v>0.08</v>
      </c>
      <c r="D9" s="9">
        <f>3330.512/43560</f>
        <v>7.6458034894398536E-2</v>
      </c>
      <c r="E9" s="18">
        <v>750000</v>
      </c>
      <c r="F9" s="19">
        <f t="shared" si="1"/>
        <v>57343.526170798905</v>
      </c>
    </row>
    <row r="10" spans="1:6">
      <c r="A10" s="3">
        <v>52001100140</v>
      </c>
      <c r="B10" s="2" t="s">
        <v>8</v>
      </c>
      <c r="C10" s="7">
        <v>0.72</v>
      </c>
      <c r="D10" s="9">
        <f>8494.157/43560</f>
        <v>0.19499901285583102</v>
      </c>
      <c r="E10" s="18">
        <v>750000</v>
      </c>
      <c r="F10" s="19">
        <f t="shared" si="1"/>
        <v>146249.25964187327</v>
      </c>
    </row>
    <row r="11" spans="1:6">
      <c r="A11" s="3">
        <v>52001100025</v>
      </c>
      <c r="B11" s="2" t="s">
        <v>9</v>
      </c>
      <c r="C11" s="7">
        <v>0.81</v>
      </c>
      <c r="D11" s="9">
        <f>3365.146/43560</f>
        <v>7.7253122130394855E-2</v>
      </c>
      <c r="E11" s="18">
        <v>750000</v>
      </c>
      <c r="F11" s="19">
        <f t="shared" si="1"/>
        <v>57939.841597796141</v>
      </c>
    </row>
    <row r="12" spans="1:6">
      <c r="A12" s="3"/>
      <c r="B12" s="11" t="s">
        <v>27</v>
      </c>
      <c r="C12" s="21">
        <f>SUM(C4:C11)</f>
        <v>11.14</v>
      </c>
      <c r="D12" s="22">
        <f>SUM(D4:D11)-D4-D7</f>
        <v>1.1805982552800736</v>
      </c>
      <c r="E12" s="23"/>
      <c r="F12" s="20">
        <f>SUM(F4:F11)</f>
        <v>1014331.1983471075</v>
      </c>
    </row>
    <row r="13" spans="1:6">
      <c r="A13" s="3"/>
    </row>
    <row r="14" spans="1:6">
      <c r="A14" s="3"/>
      <c r="B14" s="11"/>
      <c r="C14" s="12"/>
      <c r="D14" s="13"/>
    </row>
    <row r="15" spans="1:6">
      <c r="A15" s="3"/>
    </row>
    <row r="16" spans="1:6">
      <c r="A16" s="3"/>
    </row>
    <row r="17" spans="1:1">
      <c r="A17" s="3"/>
    </row>
    <row r="18" spans="1:1">
      <c r="A18" s="3"/>
    </row>
    <row r="19" spans="1:1">
      <c r="A19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AC03-BA6E-4B17-B27E-EA70BDBDD057}">
  <dimension ref="A1:F14"/>
  <sheetViews>
    <sheetView workbookViewId="0">
      <selection activeCell="F13" sqref="F13"/>
    </sheetView>
  </sheetViews>
  <sheetFormatPr defaultRowHeight="15"/>
  <cols>
    <col min="1" max="1" width="15.7109375" customWidth="1"/>
    <col min="2" max="2" width="54.42578125" customWidth="1"/>
    <col min="3" max="4" width="15.7109375" customWidth="1"/>
    <col min="5" max="5" width="12.5703125" bestFit="1" customWidth="1"/>
    <col min="6" max="6" width="14.28515625" bestFit="1" customWidth="1"/>
  </cols>
  <sheetData>
    <row r="1" spans="1:6">
      <c r="A1" s="1" t="s">
        <v>3</v>
      </c>
      <c r="B1" s="1" t="s">
        <v>0</v>
      </c>
      <c r="C1" s="1" t="s">
        <v>2</v>
      </c>
      <c r="D1" s="1" t="s">
        <v>2</v>
      </c>
      <c r="E1" s="1" t="s">
        <v>28</v>
      </c>
      <c r="F1" s="1" t="s">
        <v>30</v>
      </c>
    </row>
    <row r="2" spans="1:6">
      <c r="A2" s="1" t="s">
        <v>4</v>
      </c>
      <c r="B2" s="1" t="s">
        <v>1</v>
      </c>
      <c r="C2" s="1" t="s">
        <v>6</v>
      </c>
      <c r="D2" s="1" t="s">
        <v>7</v>
      </c>
      <c r="E2" s="1" t="s">
        <v>29</v>
      </c>
      <c r="F2" s="1" t="s">
        <v>31</v>
      </c>
    </row>
    <row r="3" spans="1:6">
      <c r="A3" s="4"/>
      <c r="B3" s="4"/>
      <c r="C3" s="4"/>
      <c r="D3" s="4"/>
      <c r="E3" s="18"/>
      <c r="F3" s="19"/>
    </row>
    <row r="4" spans="1:6">
      <c r="A4" s="3">
        <v>52700200247</v>
      </c>
      <c r="B4" s="2" t="s">
        <v>22</v>
      </c>
      <c r="C4" s="10">
        <v>1.22</v>
      </c>
      <c r="D4" s="9">
        <f>7354.523/43560</f>
        <v>0.16883661616161616</v>
      </c>
      <c r="E4" s="18">
        <v>750000</v>
      </c>
      <c r="F4" s="19">
        <f t="shared" ref="F4" si="0">D4*E4</f>
        <v>126627.46212121211</v>
      </c>
    </row>
    <row r="5" spans="1:6">
      <c r="A5" s="3">
        <v>52700210013</v>
      </c>
      <c r="B5" s="2" t="s">
        <v>18</v>
      </c>
      <c r="C5" s="10">
        <v>2</v>
      </c>
      <c r="D5" s="9">
        <f>(13093.689+5485.317)/43560</f>
        <v>0.42651528925619836</v>
      </c>
      <c r="E5" s="18">
        <v>750000</v>
      </c>
      <c r="F5" s="19">
        <f>D5*E5</f>
        <v>319886.46694214875</v>
      </c>
    </row>
    <row r="6" spans="1:6">
      <c r="A6" s="3">
        <v>52700200521</v>
      </c>
      <c r="B6" s="2" t="s">
        <v>23</v>
      </c>
      <c r="C6" s="10">
        <v>0.77</v>
      </c>
      <c r="D6" s="9">
        <f>10451.05/43560</f>
        <v>0.23992309458218547</v>
      </c>
      <c r="E6" s="18">
        <v>750000</v>
      </c>
      <c r="F6" s="19">
        <f t="shared" ref="F6:F13" si="1">D6*E6</f>
        <v>179942.32093663909</v>
      </c>
    </row>
    <row r="7" spans="1:6">
      <c r="A7" s="3">
        <v>52001100036</v>
      </c>
      <c r="B7" s="2" t="s">
        <v>19</v>
      </c>
      <c r="C7" s="10">
        <v>0</v>
      </c>
      <c r="D7" s="9">
        <f>130.973/43560</f>
        <v>3.0067263544536274E-3</v>
      </c>
      <c r="E7" s="18">
        <v>750000</v>
      </c>
      <c r="F7" s="19">
        <f t="shared" si="1"/>
        <v>2255.0447658402204</v>
      </c>
    </row>
    <row r="8" spans="1:6">
      <c r="A8" s="3">
        <v>52001100036</v>
      </c>
      <c r="B8" s="2" t="s">
        <v>19</v>
      </c>
      <c r="C8" s="9">
        <v>0</v>
      </c>
      <c r="D8" s="9">
        <f>(1310.105+2298.008)/43560</f>
        <v>8.2830876951331497E-2</v>
      </c>
      <c r="E8" s="18">
        <v>750000</v>
      </c>
      <c r="F8" s="19">
        <f t="shared" si="1"/>
        <v>62123.157713498622</v>
      </c>
    </row>
    <row r="9" spans="1:6">
      <c r="A9" s="3">
        <v>52001100037</v>
      </c>
      <c r="B9" s="2" t="s">
        <v>19</v>
      </c>
      <c r="C9" s="9">
        <v>0</v>
      </c>
      <c r="D9" s="9">
        <f>(705.237+4040.961)/43560</f>
        <v>0.10895771349862257</v>
      </c>
      <c r="E9" s="18">
        <v>750000</v>
      </c>
      <c r="F9" s="19">
        <f t="shared" si="1"/>
        <v>81718.285123966925</v>
      </c>
    </row>
    <row r="10" spans="1:6">
      <c r="A10" s="3">
        <v>52700210013</v>
      </c>
      <c r="B10" s="2" t="s">
        <v>20</v>
      </c>
      <c r="C10" s="10">
        <v>2</v>
      </c>
      <c r="D10" s="9">
        <f>(6601.239+5526.063)/43560</f>
        <v>0.27840454545454546</v>
      </c>
      <c r="E10" s="18">
        <v>750000</v>
      </c>
      <c r="F10" s="19">
        <f t="shared" si="1"/>
        <v>208803.40909090909</v>
      </c>
    </row>
    <row r="11" spans="1:6">
      <c r="A11" s="3">
        <v>52700210008</v>
      </c>
      <c r="B11" s="2" t="s">
        <v>21</v>
      </c>
      <c r="C11" s="10">
        <v>2.08</v>
      </c>
      <c r="D11" s="9">
        <f>(6235.495+344.749)/43560</f>
        <v>0.15106161616161615</v>
      </c>
      <c r="E11" s="18">
        <v>750000</v>
      </c>
      <c r="F11" s="19">
        <f t="shared" si="1"/>
        <v>113296.21212121211</v>
      </c>
    </row>
    <row r="12" spans="1:6">
      <c r="A12" s="3">
        <v>52001100021</v>
      </c>
      <c r="B12" s="2" t="s">
        <v>18</v>
      </c>
      <c r="C12" s="10">
        <v>0.3</v>
      </c>
      <c r="D12" s="9">
        <f>9058.919/43560</f>
        <v>0.20796416437098256</v>
      </c>
      <c r="E12" s="18">
        <v>750000</v>
      </c>
      <c r="F12" s="19">
        <f t="shared" si="1"/>
        <v>155973.12327823692</v>
      </c>
    </row>
    <row r="13" spans="1:6">
      <c r="A13" s="3">
        <v>52700210017</v>
      </c>
      <c r="B13" s="2" t="s">
        <v>26</v>
      </c>
      <c r="C13" s="10">
        <v>0.97</v>
      </c>
      <c r="D13" s="9">
        <f>76.217/43560</f>
        <v>1.7497015610651973E-3</v>
      </c>
      <c r="E13" s="18">
        <v>750000</v>
      </c>
      <c r="F13" s="19">
        <f t="shared" si="1"/>
        <v>1312.276170798898</v>
      </c>
    </row>
    <row r="14" spans="1:6">
      <c r="B14" s="11" t="s">
        <v>27</v>
      </c>
      <c r="C14" s="14">
        <f>SUM(C4:C13)</f>
        <v>9.3400000000000016</v>
      </c>
      <c r="D14" s="14">
        <f>SUM(D4:D13)-D4-D7-D8-D9</f>
        <v>1.3056184113865932</v>
      </c>
      <c r="F14" s="20">
        <f>SUM(F4:F13)</f>
        <v>1251937.7582644625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114496-Alt 1</vt:lpstr>
      <vt:lpstr>114496-Alt 2</vt:lpstr>
      <vt:lpstr>114497-Alt 1</vt:lpstr>
      <vt:lpstr>114497-Alt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Durham, Paul</dc:creator>
  <cp:lastModifiedBy>Timothy Rowell</cp:lastModifiedBy>
  <dcterms:created xsi:type="dcterms:W3CDTF">2022-05-23T18:36:51Z</dcterms:created>
  <dcterms:modified xsi:type="dcterms:W3CDTF">2022-08-18T21:36:14Z</dcterms:modified>
</cp:coreProperties>
</file>