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Structures\Spreadsheets\"/>
    </mc:Choice>
  </mc:AlternateContent>
  <xr:revisionPtr revIDLastSave="0" documentId="13_ncr:1_{028DB8D3-D3BF-4FD6-B893-2D027EFB87EB}" xr6:coauthVersionLast="47" xr6:coauthVersionMax="47" xr10:uidLastSave="{00000000-0000-0000-0000-000000000000}"/>
  <bookViews>
    <workbookView xWindow="23880" yWindow="-2745" windowWidth="29040" windowHeight="15840" activeTab="3" xr2:uid="{49D083EC-6FF6-4FB0-B899-F8A0DB9D62FD}"/>
  </bookViews>
  <sheets>
    <sheet name="962" sheetId="4" r:id="rId1"/>
    <sheet name="971B" sheetId="1" r:id="rId2"/>
    <sheet name="972B" sheetId="5" r:id="rId3"/>
    <sheet name="Bridge over Walton Creek" sheetId="2" r:id="rId4"/>
    <sheet name="Sheet3" sheetId="3" r:id="rId5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6" i="1" l="1"/>
  <c r="X19" i="1"/>
  <c r="Y19" i="1" s="1"/>
  <c r="AA19" i="1" s="1"/>
  <c r="V19" i="1"/>
  <c r="AC53" i="2"/>
  <c r="AC52" i="2"/>
  <c r="Y51" i="2"/>
  <c r="AC51" i="2" s="1"/>
  <c r="AC50" i="2"/>
  <c r="AC49" i="2"/>
  <c r="Y49" i="2"/>
  <c r="Y48" i="2"/>
  <c r="AC48" i="2" s="1"/>
  <c r="AC47" i="2"/>
  <c r="AC46" i="2"/>
  <c r="AC43" i="2"/>
  <c r="AC41" i="2"/>
  <c r="AF41" i="2" s="1"/>
  <c r="AF43" i="2" l="1"/>
  <c r="AF57" i="2" s="1"/>
  <c r="AF58" i="2" s="1"/>
  <c r="AF60" i="2" s="1"/>
  <c r="AC55" i="2"/>
  <c r="AF55" i="2" s="1"/>
  <c r="AC19" i="2" l="1"/>
  <c r="AC13" i="2"/>
  <c r="AC16" i="2"/>
  <c r="AC18" i="2"/>
  <c r="AC12" i="2"/>
  <c r="Y15" i="2"/>
  <c r="Y17" i="2" s="1"/>
  <c r="AC17" i="2" s="1"/>
  <c r="Y14" i="2"/>
  <c r="AC14" i="2" s="1"/>
  <c r="AC28" i="2"/>
  <c r="AF28" i="2" s="1"/>
  <c r="AB26" i="2"/>
  <c r="AC26" i="2" s="1"/>
  <c r="AF26" i="2" s="1"/>
  <c r="AC24" i="2"/>
  <c r="AF24" i="2" s="1"/>
  <c r="AC23" i="2"/>
  <c r="AF23" i="2" s="1"/>
  <c r="AA9" i="2"/>
  <c r="AC9" i="2"/>
  <c r="AF9" i="2" s="1"/>
  <c r="AC8" i="2"/>
  <c r="AF8" i="2" s="1"/>
  <c r="AA8" i="2"/>
  <c r="C9" i="4"/>
  <c r="W17" i="1"/>
  <c r="Y17" i="1" s="1"/>
  <c r="AA17" i="1" s="1"/>
  <c r="Y16" i="1"/>
  <c r="C9" i="5"/>
  <c r="W87" i="5"/>
  <c r="Q75" i="5"/>
  <c r="O75" i="5"/>
  <c r="L75" i="5"/>
  <c r="O77" i="5"/>
  <c r="O78" i="5"/>
  <c r="O79" i="5"/>
  <c r="O80" i="5"/>
  <c r="O81" i="5"/>
  <c r="O82" i="5"/>
  <c r="O83" i="5"/>
  <c r="O84" i="5"/>
  <c r="Y75" i="5"/>
  <c r="Y76" i="5"/>
  <c r="Y77" i="5"/>
  <c r="Y78" i="5"/>
  <c r="Y79" i="5"/>
  <c r="Y80" i="5"/>
  <c r="Y81" i="5"/>
  <c r="AA81" i="5" s="1"/>
  <c r="Y82" i="5"/>
  <c r="AA82" i="5" s="1"/>
  <c r="Y83" i="5"/>
  <c r="Y84" i="5"/>
  <c r="O76" i="5"/>
  <c r="L77" i="5"/>
  <c r="Q77" i="5" s="1"/>
  <c r="L78" i="5"/>
  <c r="L79" i="5"/>
  <c r="L80" i="5"/>
  <c r="L81" i="5"/>
  <c r="Q81" i="5" s="1"/>
  <c r="L82" i="5"/>
  <c r="Q82" i="5" s="1"/>
  <c r="L83" i="5"/>
  <c r="Q83" i="5" s="1"/>
  <c r="L84" i="5"/>
  <c r="Q84" i="5" s="1"/>
  <c r="V75" i="5"/>
  <c r="AA75" i="5" s="1"/>
  <c r="V76" i="5"/>
  <c r="AA76" i="5" s="1"/>
  <c r="V77" i="5"/>
  <c r="AA77" i="5" s="1"/>
  <c r="V78" i="5"/>
  <c r="AA78" i="5" s="1"/>
  <c r="V79" i="5"/>
  <c r="AA79" i="5" s="1"/>
  <c r="V80" i="5"/>
  <c r="V81" i="5"/>
  <c r="V82" i="5"/>
  <c r="V83" i="5"/>
  <c r="AA83" i="5" s="1"/>
  <c r="V84" i="5"/>
  <c r="AA84" i="5" s="1"/>
  <c r="L76" i="5"/>
  <c r="Q76" i="5" s="1"/>
  <c r="V17" i="1"/>
  <c r="V16" i="1"/>
  <c r="AC15" i="2" l="1"/>
  <c r="AC21" i="2"/>
  <c r="AF21" i="2" s="1"/>
  <c r="AF30" i="2" s="1"/>
  <c r="Y18" i="1"/>
  <c r="AA18" i="1" s="1"/>
  <c r="AA16" i="1"/>
  <c r="AA21" i="1" s="1"/>
  <c r="AA80" i="5"/>
  <c r="AA86" i="5" s="1"/>
  <c r="Q80" i="5"/>
  <c r="Q79" i="5"/>
  <c r="Q86" i="5" s="1"/>
  <c r="M87" i="5" s="1"/>
  <c r="Q78" i="5"/>
  <c r="AF31" i="2" l="1"/>
  <c r="AF33" i="2" s="1"/>
  <c r="AA22" i="1"/>
  <c r="AA24" i="1" s="1"/>
</calcChain>
</file>

<file path=xl/sharedStrings.xml><?xml version="1.0" encoding="utf-8"?>
<sst xmlns="http://schemas.openxmlformats.org/spreadsheetml/2006/main" count="174" uniqueCount="110">
  <si>
    <t>Scenario 1</t>
  </si>
  <si>
    <t xml:space="preserve">meets all design Criteria </t>
  </si>
  <si>
    <t>gutter width</t>
  </si>
  <si>
    <t xml:space="preserve">buffer width </t>
  </si>
  <si>
    <t xml:space="preserve">path width </t>
  </si>
  <si>
    <t>graded shoulder width</t>
  </si>
  <si>
    <t>Scenario 2</t>
  </si>
  <si>
    <t>minimum acceptable criteria</t>
  </si>
  <si>
    <t>2' to face of barrier and 1' behind</t>
  </si>
  <si>
    <t>wall length</t>
  </si>
  <si>
    <t>Above Ground Surface Area</t>
  </si>
  <si>
    <t>max wall height</t>
  </si>
  <si>
    <t>max wall length</t>
  </si>
  <si>
    <t>Wall Type ??</t>
  </si>
  <si>
    <t>Wall cost ?</t>
  </si>
  <si>
    <t>SF</t>
  </si>
  <si>
    <t>FT</t>
  </si>
  <si>
    <t xml:space="preserve">Wall Type </t>
  </si>
  <si>
    <t>Wall Cost</t>
  </si>
  <si>
    <t>Above ground surface area</t>
  </si>
  <si>
    <t>ft</t>
  </si>
  <si>
    <t>sq ft</t>
  </si>
  <si>
    <t>Max wall height</t>
  </si>
  <si>
    <t>Location of Information from Great Parks.</t>
  </si>
  <si>
    <t>Scope from ODOT</t>
  </si>
  <si>
    <t>&lt;-- I should confirm this with Great Parks if you think this is going to make a big difference in cost one way or another.</t>
  </si>
  <si>
    <t>I need an estimated cost for this structure by midweek next week.</t>
  </si>
  <si>
    <t>I am turning in the feasibility study for this project on June 17th. I'll need at least a sturcutr narrative for this bridge for that.</t>
  </si>
  <si>
    <t>Modular block</t>
  </si>
  <si>
    <t>CIP Concrete Cantilever</t>
  </si>
  <si>
    <t>/ sf</t>
  </si>
  <si>
    <t>/ cy</t>
  </si>
  <si>
    <t>/ lb</t>
  </si>
  <si>
    <t>Wall</t>
  </si>
  <si>
    <t>Length</t>
  </si>
  <si>
    <t>Width</t>
  </si>
  <si>
    <t>Height</t>
  </si>
  <si>
    <t>Total</t>
  </si>
  <si>
    <t>cy</t>
  </si>
  <si>
    <t>Footing</t>
  </si>
  <si>
    <t>Rebar</t>
  </si>
  <si>
    <t>Use 2% of concrete</t>
  </si>
  <si>
    <t>lb</t>
  </si>
  <si>
    <t>Cost</t>
  </si>
  <si>
    <t>Increase by 30% for contingencies</t>
  </si>
  <si>
    <t>Based on recent ODOT bid</t>
  </si>
  <si>
    <t xml:space="preserve">histories, these walls cost </t>
  </si>
  <si>
    <t>Soldier Pile w/ CIP facing</t>
  </si>
  <si>
    <t>Qty</t>
  </si>
  <si>
    <t>Unit $</t>
  </si>
  <si>
    <t>Total $</t>
  </si>
  <si>
    <t>Avg. $</t>
  </si>
  <si>
    <t>Cost per SF</t>
  </si>
  <si>
    <t>(see calcs below aerial)</t>
  </si>
  <si>
    <t>Cost per SF =</t>
  </si>
  <si>
    <t>the embedment depth required. The Pike Street project</t>
  </si>
  <si>
    <t>had piles embedded 25 feet.</t>
  </si>
  <si>
    <t>Increase cost by 30% for</t>
  </si>
  <si>
    <t>contingencies</t>
  </si>
  <si>
    <t>Using average cost per exposed SF from Pike Street project in</t>
  </si>
  <si>
    <t>N KY in 11/2021. These are total costs for wall.</t>
  </si>
  <si>
    <t>The existing abutments were modified to support 12" deep prestressed concrete</t>
  </si>
  <si>
    <t>Prestressed box beam superstructure</t>
  </si>
  <si>
    <t>Final course asphalt</t>
  </si>
  <si>
    <t>No.</t>
  </si>
  <si>
    <t>Units</t>
  </si>
  <si>
    <t>Unit Cost</t>
  </si>
  <si>
    <t>Total Cost</t>
  </si>
  <si>
    <t>Intermediate course asphalt</t>
  </si>
  <si>
    <t>ea.</t>
  </si>
  <si>
    <t>Elastomeric bearing pads</t>
  </si>
  <si>
    <t>Modified twin stl. tube railing</t>
  </si>
  <si>
    <t>lf</t>
  </si>
  <si>
    <t>Class QC1 concrete, abutment</t>
  </si>
  <si>
    <t>Rear</t>
  </si>
  <si>
    <t>Forward</t>
  </si>
  <si>
    <t>17x36 PCBB</t>
  </si>
  <si>
    <t>17x48 PCBB</t>
  </si>
  <si>
    <t>box beams with a 3 1/2" wearing surface. To make railing work, 17" deep beams</t>
  </si>
  <si>
    <t>will be required.</t>
  </si>
  <si>
    <t>Prefabricated truss superstructure</t>
  </si>
  <si>
    <t>Since the existing abutments were modified to support prestressed concrete</t>
  </si>
  <si>
    <t>box beams, going to a prefab truss may require additional modifications to the</t>
  </si>
  <si>
    <t>beam seats.</t>
  </si>
  <si>
    <t>Class QC2 concrete</t>
  </si>
  <si>
    <t>Prefab truss</t>
  </si>
  <si>
    <t>Wall A</t>
  </si>
  <si>
    <t>Bidder 1</t>
  </si>
  <si>
    <t>Bidder 2</t>
  </si>
  <si>
    <t>PERFORATE PIPE - 4 IN</t>
  </si>
  <si>
    <t>STRUCTURE GRANULAR BACKFILL</t>
  </si>
  <si>
    <t>SOUNDATION PREPARATION</t>
  </si>
  <si>
    <t>PRE-DRILLING FOR PILES</t>
  </si>
  <si>
    <t>CONCRETE - CLASS A</t>
  </si>
  <si>
    <t>STEEL REINFORCEMENT</t>
  </si>
  <si>
    <t>CONCRETE SEALING</t>
  </si>
  <si>
    <t>TIMBER LAGGING</t>
  </si>
  <si>
    <t>DRAINAGE GEOCOMPOSITE</t>
  </si>
  <si>
    <t>PILES - STEEL W24X76</t>
  </si>
  <si>
    <t xml:space="preserve">Wall concrete - </t>
  </si>
  <si>
    <t>Footing concrete -</t>
  </si>
  <si>
    <t xml:space="preserve">Rebar - </t>
  </si>
  <si>
    <t>Increase by 10% for contingencies</t>
  </si>
  <si>
    <t>Geocomposite drain</t>
  </si>
  <si>
    <t xml:space="preserve">Geocomposite drain </t>
  </si>
  <si>
    <t>/ sy</t>
  </si>
  <si>
    <t>sy</t>
  </si>
  <si>
    <t>for walls alone</t>
  </si>
  <si>
    <t xml:space="preserve">This cost could increase significantly depending on </t>
  </si>
  <si>
    <t xml:space="preserve">   ($40k for  bridge, $25k for installation)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</si>
</sst>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3" borderId="0" xfId="0" applyFill="1"/>
    <xf numFmtId="6" fontId="0" fillId="3" borderId="0" xfId="0" applyNumberFormat="1" applyFill="1"/>
    <xf numFmtId="164" fontId="0" fillId="0" borderId="0" xfId="0" applyNumberFormat="1"/>
    <xf numFmtId="0" fontId="0" fillId="0" borderId="0" xfId="0" quotePrefix="1"/>
    <xf numFmtId="0" fontId="0" fillId="3" borderId="0" xfId="0" quotePrefix="1" applyFill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right"/>
    </xf>
    <xf numFmtId="165" fontId="0" fillId="0" borderId="0" xfId="0" applyNumberFormat="1"/>
    <xf numFmtId="164" fontId="0" fillId="3" borderId="0" xfId="0" applyNumberFormat="1" applyFill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1" xfId="0" applyNumberFormat="1" applyBorder="1"/>
    <xf numFmtId="164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47625</xdr:rowOff>
    </xdr:from>
    <xdr:to>
      <xdr:col>29</xdr:col>
      <xdr:colOff>319278</xdr:colOff>
      <xdr:row>51</xdr:row>
      <xdr:rowOff>146340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17FB74-0674-4E0F-806D-AB467575E5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004" t="167" b="2840"/>
        <a:stretch/>
      </xdr:blipFill>
      <xdr:spPr>
        <a:xfrm>
          <a:off x="4429125" y="428625"/>
          <a:ext cx="15400528" cy="9433215"/>
        </a:xfrm>
        <a:prstGeom prst="rect">
          <a:avLst/>
        </a:prstGeom>
      </xdr:spPr>
    </xdr:pic>
    <xdr:clientData/>
  </xdr:twoCellAnchor>
  <xdr:twoCellAnchor editAs="oneCell">
    <xdr:from>
      <xdr:col>30</xdr:col>
      <xdr:colOff>127000</xdr:colOff>
      <xdr:row>2</xdr:row>
      <xdr:rowOff>87453</xdr:rowOff>
    </xdr:from>
    <xdr:to>
      <xdr:col>56</xdr:col>
      <xdr:colOff>309562</xdr:colOff>
      <xdr:row>51</xdr:row>
      <xdr:rowOff>165258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3FB857F-D824-4D5E-90AD-66D6A88F9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149" t="19291" r="51171" b="-260"/>
        <a:stretch/>
      </xdr:blipFill>
      <xdr:spPr>
        <a:xfrm>
          <a:off x="20240625" y="468453"/>
          <a:ext cx="15867062" cy="9412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495301</xdr:colOff>
      <xdr:row>0</xdr:row>
      <xdr:rowOff>73661</xdr:rowOff>
    </xdr:from>
    <xdr:to>
      <xdr:col>17</xdr:col>
      <xdr:colOff>1185</xdr:colOff>
      <xdr:row>21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D7F6C2-8716-4D5B-B474-110AFF5E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01" y="73661"/>
          <a:ext cx="7430684" cy="3685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116840</xdr:rowOff>
    </xdr:from>
    <xdr:to>
      <xdr:col>10</xdr:col>
      <xdr:colOff>144554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9DF1D-8398-4E96-90F3-6F1D7016C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07840"/>
          <a:ext cx="7931242" cy="350266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42</xdr:row>
      <xdr:rowOff>25400</xdr:rowOff>
    </xdr:from>
    <xdr:to>
      <xdr:col>10</xdr:col>
      <xdr:colOff>177800</xdr:colOff>
      <xdr:row>64</xdr:row>
      <xdr:rowOff>99545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E9BF32-A365-45E7-A3AC-678C3EAB1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7493000"/>
          <a:ext cx="8026400" cy="3985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</xdr:colOff>
      <xdr:row>9</xdr:row>
      <xdr:rowOff>95250</xdr:rowOff>
    </xdr:from>
    <xdr:to>
      <xdr:col>59</xdr:col>
      <xdr:colOff>269271</xdr:colOff>
      <xdr:row>66</xdr:row>
      <xdr:rowOff>165259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196267-D434-490A-815B-45C3C7558A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61" t="863" r="2" b="-1"/>
        <a:stretch/>
      </xdr:blipFill>
      <xdr:spPr>
        <a:xfrm>
          <a:off x="5786437" y="1809750"/>
          <a:ext cx="35333178" cy="109285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15240</xdr:rowOff>
    </xdr:from>
    <xdr:to>
      <xdr:col>8</xdr:col>
      <xdr:colOff>30851</xdr:colOff>
      <xdr:row>9</xdr:row>
      <xdr:rowOff>7730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7E4102-CA78-4F5B-BCA3-6C02203D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381000"/>
          <a:ext cx="4282811" cy="1272650"/>
        </a:xfrm>
        <a:prstGeom prst="rect">
          <a:avLst/>
        </a:prstGeom>
      </xdr:spPr>
    </xdr:pic>
    <xdr:clientData/>
  </xdr:twoCellAnchor>
  <xdr:twoCellAnchor editAs="oneCell">
    <xdr:from>
      <xdr:col>1</xdr:col>
      <xdr:colOff>426720</xdr:colOff>
      <xdr:row>8</xdr:row>
      <xdr:rowOff>144780</xdr:rowOff>
    </xdr:from>
    <xdr:to>
      <xdr:col>7</xdr:col>
      <xdr:colOff>335589</xdr:colOff>
      <xdr:row>11</xdr:row>
      <xdr:rowOff>144828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44B2C5-EB6C-4384-A230-DB32AE1CD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" y="1607820"/>
          <a:ext cx="3566469" cy="548688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14</xdr:row>
      <xdr:rowOff>76200</xdr:rowOff>
    </xdr:from>
    <xdr:to>
      <xdr:col>17</xdr:col>
      <xdr:colOff>221843</xdr:colOff>
      <xdr:row>28</xdr:row>
      <xdr:rowOff>152628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1FA6CE-72B6-4B7C-AC20-4424C9EC0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40" y="2453640"/>
          <a:ext cx="9960203" cy="263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39D0-40A7-40F4-9F01-2B622730865B}">
  <dimension ref="A2:D19"/>
  <sheetViews>
    <sheetView zoomScale="80" zoomScaleNormal="80" workbookViewId="0">
      <selection activeCell="B4" sqref="B4"/>
    </sheetView>
  </sheetViews>
  <sheetFormatPr defaultRowHeight="15" x14ac:dyDescent="0.25"/>
  <cols>
    <col min="1" max="1" width="20.7109375" bestFit="1" customWidth="1"/>
    <col min="2" max="2" width="27.7109375" customWidth="1"/>
    <col min="3" max="3" width="12" customWidth="1"/>
  </cols>
  <sheetData>
    <row r="2" spans="1:4" x14ac:dyDescent="0.25">
      <c r="A2" t="s">
        <v>0</v>
      </c>
    </row>
    <row r="3" spans="1:4" x14ac:dyDescent="0.25">
      <c r="A3" t="s">
        <v>1</v>
      </c>
    </row>
    <row r="5" spans="1:4" x14ac:dyDescent="0.25">
      <c r="B5" t="s">
        <v>11</v>
      </c>
      <c r="C5">
        <v>6.5</v>
      </c>
      <c r="D5" t="s">
        <v>16</v>
      </c>
    </row>
    <row r="6" spans="1:4" x14ac:dyDescent="0.25">
      <c r="B6" t="s">
        <v>12</v>
      </c>
      <c r="C6">
        <v>215</v>
      </c>
      <c r="D6" t="s">
        <v>16</v>
      </c>
    </row>
    <row r="7" spans="1:4" x14ac:dyDescent="0.25">
      <c r="B7" t="s">
        <v>10</v>
      </c>
      <c r="C7">
        <v>972</v>
      </c>
      <c r="D7" t="s">
        <v>15</v>
      </c>
    </row>
    <row r="8" spans="1:4" x14ac:dyDescent="0.25">
      <c r="B8" s="1" t="s">
        <v>13</v>
      </c>
      <c r="C8" s="2" t="s">
        <v>28</v>
      </c>
      <c r="D8" s="2"/>
    </row>
    <row r="9" spans="1:4" x14ac:dyDescent="0.25">
      <c r="B9" s="1" t="s">
        <v>14</v>
      </c>
      <c r="C9" s="3">
        <f>(C7+C6*1.5)*C15*1.3</f>
        <v>126213.75</v>
      </c>
      <c r="D9" s="6"/>
    </row>
    <row r="14" spans="1:4" x14ac:dyDescent="0.25">
      <c r="B14" t="s">
        <v>45</v>
      </c>
    </row>
    <row r="15" spans="1:4" x14ac:dyDescent="0.25">
      <c r="B15" t="s">
        <v>46</v>
      </c>
      <c r="C15" s="4">
        <v>75</v>
      </c>
      <c r="D15" t="s">
        <v>30</v>
      </c>
    </row>
    <row r="16" spans="1:4" x14ac:dyDescent="0.25">
      <c r="B16" t="s">
        <v>107</v>
      </c>
    </row>
    <row r="18" spans="2:2" x14ac:dyDescent="0.25">
      <c r="B18" t="s">
        <v>57</v>
      </c>
    </row>
    <row r="19" spans="2:2" x14ac:dyDescent="0.25">
      <c r="B19" t="s">
        <v>58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EACA-6DFE-43F0-9896-6D43625C7143}">
  <dimension ref="A2:AA38"/>
  <sheetViews>
    <sheetView topLeftCell="A25" zoomScale="80" zoomScaleNormal="80" workbookViewId="0">
      <selection activeCell="B14" sqref="B14"/>
    </sheetView>
  </sheetViews>
  <sheetFormatPr defaultRowHeight="15" x14ac:dyDescent="0.25"/>
  <cols>
    <col min="1" max="1" width="20.7109375" bestFit="1" customWidth="1"/>
    <col min="2" max="2" width="23.140625" bestFit="1" customWidth="1"/>
  </cols>
  <sheetData>
    <row r="2" spans="1:27" x14ac:dyDescent="0.25">
      <c r="A2" t="s">
        <v>0</v>
      </c>
    </row>
    <row r="3" spans="1:27" x14ac:dyDescent="0.25">
      <c r="A3" t="s">
        <v>1</v>
      </c>
    </row>
    <row r="4" spans="1:27" x14ac:dyDescent="0.25">
      <c r="B4" t="s">
        <v>2</v>
      </c>
      <c r="C4">
        <v>1</v>
      </c>
      <c r="D4" t="s">
        <v>20</v>
      </c>
    </row>
    <row r="5" spans="1:27" x14ac:dyDescent="0.25">
      <c r="B5" t="s">
        <v>3</v>
      </c>
      <c r="C5">
        <v>5</v>
      </c>
      <c r="D5" t="s">
        <v>20</v>
      </c>
    </row>
    <row r="6" spans="1:27" x14ac:dyDescent="0.25">
      <c r="B6" t="s">
        <v>4</v>
      </c>
      <c r="C6">
        <v>12</v>
      </c>
      <c r="D6" t="s">
        <v>20</v>
      </c>
    </row>
    <row r="7" spans="1:27" x14ac:dyDescent="0.25">
      <c r="B7" t="s">
        <v>5</v>
      </c>
      <c r="C7">
        <v>5</v>
      </c>
      <c r="D7" t="s">
        <v>20</v>
      </c>
    </row>
    <row r="8" spans="1:27" x14ac:dyDescent="0.25">
      <c r="B8" t="s">
        <v>22</v>
      </c>
      <c r="C8">
        <v>11</v>
      </c>
      <c r="D8" t="s">
        <v>20</v>
      </c>
    </row>
    <row r="9" spans="1:27" x14ac:dyDescent="0.25">
      <c r="B9" t="s">
        <v>9</v>
      </c>
      <c r="C9">
        <v>125</v>
      </c>
      <c r="D9" t="s">
        <v>20</v>
      </c>
    </row>
    <row r="10" spans="1:27" x14ac:dyDescent="0.25">
      <c r="B10" t="s">
        <v>19</v>
      </c>
      <c r="C10">
        <v>864</v>
      </c>
      <c r="D10" t="s">
        <v>21</v>
      </c>
      <c r="U10" t="s">
        <v>99</v>
      </c>
      <c r="W10" s="4">
        <v>1300</v>
      </c>
      <c r="X10" s="5" t="s">
        <v>31</v>
      </c>
    </row>
    <row r="11" spans="1:27" x14ac:dyDescent="0.25">
      <c r="B11" s="1" t="s">
        <v>17</v>
      </c>
      <c r="C11" s="2" t="s">
        <v>29</v>
      </c>
      <c r="D11" s="2"/>
      <c r="E11" s="2"/>
      <c r="U11" t="s">
        <v>100</v>
      </c>
      <c r="W11" s="4">
        <v>600</v>
      </c>
      <c r="X11" s="5" t="s">
        <v>31</v>
      </c>
    </row>
    <row r="12" spans="1:27" x14ac:dyDescent="0.25">
      <c r="B12" s="1" t="s">
        <v>18</v>
      </c>
      <c r="C12" s="12">
        <v>225000</v>
      </c>
      <c r="U12" t="s">
        <v>101</v>
      </c>
      <c r="W12" s="11">
        <v>2</v>
      </c>
      <c r="X12" s="5" t="s">
        <v>32</v>
      </c>
    </row>
    <row r="13" spans="1:27" x14ac:dyDescent="0.25">
      <c r="V13" s="10" t="s">
        <v>104</v>
      </c>
      <c r="W13">
        <v>30</v>
      </c>
      <c r="X13" s="5" t="s">
        <v>105</v>
      </c>
    </row>
    <row r="15" spans="1:27" x14ac:dyDescent="0.25">
      <c r="V15" s="15" t="s">
        <v>34</v>
      </c>
      <c r="W15" s="15" t="s">
        <v>35</v>
      </c>
      <c r="X15" s="15" t="s">
        <v>36</v>
      </c>
      <c r="Y15" s="15" t="s">
        <v>37</v>
      </c>
      <c r="AA15" s="15" t="s">
        <v>43</v>
      </c>
    </row>
    <row r="16" spans="1:27" x14ac:dyDescent="0.25">
      <c r="U16" t="s">
        <v>33</v>
      </c>
      <c r="V16">
        <f>C9</f>
        <v>125</v>
      </c>
      <c r="W16">
        <v>1</v>
      </c>
      <c r="X16" s="7">
        <f>C10/C9+3</f>
        <v>9.911999999999999</v>
      </c>
      <c r="Y16" s="8">
        <f>X16*W16*V16/27</f>
        <v>45.888888888888879</v>
      </c>
      <c r="Z16" t="s">
        <v>38</v>
      </c>
      <c r="AA16" s="4">
        <f>Y16*W10</f>
        <v>59655.55555555554</v>
      </c>
    </row>
    <row r="17" spans="1:27" x14ac:dyDescent="0.25">
      <c r="U17" t="s">
        <v>39</v>
      </c>
      <c r="V17">
        <f>C9</f>
        <v>125</v>
      </c>
      <c r="W17" s="7">
        <f>X16*0.8</f>
        <v>7.9295999999999998</v>
      </c>
      <c r="X17">
        <v>2</v>
      </c>
      <c r="Y17" s="8">
        <f>X17*W17*V17/27</f>
        <v>73.422222222222217</v>
      </c>
      <c r="Z17" t="s">
        <v>38</v>
      </c>
      <c r="AA17" s="4">
        <f>Y17*W11</f>
        <v>44053.333333333328</v>
      </c>
    </row>
    <row r="18" spans="1:27" x14ac:dyDescent="0.25">
      <c r="U18" t="s">
        <v>40</v>
      </c>
      <c r="V18" t="s">
        <v>41</v>
      </c>
      <c r="Y18">
        <f>(Y16+Y17)*27*490*0.02</f>
        <v>31569.719999999998</v>
      </c>
      <c r="Z18" t="s">
        <v>42</v>
      </c>
      <c r="AA18" s="4">
        <f>Y18*W12</f>
        <v>63139.439999999995</v>
      </c>
    </row>
    <row r="19" spans="1:27" x14ac:dyDescent="0.25">
      <c r="U19" s="10" t="s">
        <v>103</v>
      </c>
      <c r="V19">
        <f>C9</f>
        <v>125</v>
      </c>
      <c r="W19" s="7">
        <v>1</v>
      </c>
      <c r="X19" s="7">
        <f>X16</f>
        <v>9.911999999999999</v>
      </c>
      <c r="Y19" s="8">
        <f>X19*W19*V19/9</f>
        <v>137.66666666666663</v>
      </c>
      <c r="Z19" t="s">
        <v>106</v>
      </c>
      <c r="AA19" s="4">
        <f>Y19*W13</f>
        <v>4129.9999999999991</v>
      </c>
    </row>
    <row r="20" spans="1:27" x14ac:dyDescent="0.25">
      <c r="AA20" s="9"/>
    </row>
    <row r="21" spans="1:27" x14ac:dyDescent="0.25">
      <c r="AA21" s="4">
        <f>SUM(AA16:AA20)</f>
        <v>170978.32888888888</v>
      </c>
    </row>
    <row r="22" spans="1:27" x14ac:dyDescent="0.25">
      <c r="Z22" s="10" t="s">
        <v>44</v>
      </c>
      <c r="AA22" s="4">
        <f>AA21*0.3</f>
        <v>51293.498666666659</v>
      </c>
    </row>
    <row r="23" spans="1:27" x14ac:dyDescent="0.25">
      <c r="AA23" s="9"/>
    </row>
    <row r="24" spans="1:27" x14ac:dyDescent="0.25">
      <c r="AA24" s="4">
        <f>AA21+AA22</f>
        <v>222271.82755555553</v>
      </c>
    </row>
    <row r="31" spans="1:27" x14ac:dyDescent="0.25">
      <c r="A31" t="s">
        <v>6</v>
      </c>
    </row>
    <row r="32" spans="1:27" x14ac:dyDescent="0.25">
      <c r="A32" t="s">
        <v>7</v>
      </c>
    </row>
    <row r="33" spans="2:5" x14ac:dyDescent="0.25">
      <c r="B33" t="s">
        <v>2</v>
      </c>
      <c r="C33">
        <v>1</v>
      </c>
    </row>
    <row r="34" spans="2:5" x14ac:dyDescent="0.25">
      <c r="B34" t="s">
        <v>3</v>
      </c>
      <c r="C34">
        <v>2</v>
      </c>
    </row>
    <row r="35" spans="2:5" x14ac:dyDescent="0.25">
      <c r="B35" t="s">
        <v>4</v>
      </c>
      <c r="C35">
        <v>10</v>
      </c>
    </row>
    <row r="36" spans="2:5" x14ac:dyDescent="0.25">
      <c r="B36" t="s">
        <v>5</v>
      </c>
      <c r="C36">
        <v>5</v>
      </c>
      <c r="E36" t="s">
        <v>8</v>
      </c>
    </row>
    <row r="37" spans="2:5" x14ac:dyDescent="0.25">
      <c r="B37" t="s">
        <v>22</v>
      </c>
      <c r="C37">
        <v>8</v>
      </c>
    </row>
    <row r="38" spans="2:5" x14ac:dyDescent="0.25">
      <c r="B38" t="s">
        <v>9</v>
      </c>
      <c r="C38">
        <v>100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BEAB-CBFA-4C4C-9C9B-010B234ABAB0}">
  <dimension ref="A2:AA87"/>
  <sheetViews>
    <sheetView topLeftCell="AD19" zoomScale="80" zoomScaleNormal="80" workbookViewId="0">
      <selection activeCell="B18" sqref="B18"/>
    </sheetView>
  </sheetViews>
  <sheetFormatPr defaultRowHeight="15" x14ac:dyDescent="0.25"/>
  <cols>
    <col min="1" max="1" width="20.7109375" bestFit="1" customWidth="1"/>
    <col min="2" max="2" width="27.7109375" customWidth="1"/>
    <col min="3" max="3" width="10.85546875" bestFit="1" customWidth="1"/>
    <col min="11" max="12" width="12" bestFit="1" customWidth="1"/>
    <col min="13" max="13" width="9.85546875" bestFit="1" customWidth="1"/>
    <col min="14" max="14" width="12" bestFit="1" customWidth="1"/>
    <col min="15" max="15" width="13.5703125" bestFit="1" customWidth="1"/>
    <col min="17" max="17" width="13.5703125" bestFit="1" customWidth="1"/>
    <col min="21" max="22" width="12" bestFit="1" customWidth="1"/>
    <col min="24" max="25" width="12" bestFit="1" customWidth="1"/>
    <col min="27" max="27" width="13.5703125" bestFit="1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5" spans="1:5" x14ac:dyDescent="0.25">
      <c r="B5" t="s">
        <v>11</v>
      </c>
      <c r="C5">
        <v>10</v>
      </c>
      <c r="D5" t="s">
        <v>16</v>
      </c>
    </row>
    <row r="6" spans="1:5" x14ac:dyDescent="0.25">
      <c r="B6" t="s">
        <v>12</v>
      </c>
      <c r="C6">
        <v>900</v>
      </c>
      <c r="D6" t="s">
        <v>16</v>
      </c>
    </row>
    <row r="7" spans="1:5" x14ac:dyDescent="0.25">
      <c r="B7" t="s">
        <v>10</v>
      </c>
      <c r="C7">
        <v>8707</v>
      </c>
      <c r="D7" t="s">
        <v>15</v>
      </c>
    </row>
    <row r="8" spans="1:5" x14ac:dyDescent="0.25">
      <c r="B8" s="1" t="s">
        <v>13</v>
      </c>
      <c r="C8" s="2" t="s">
        <v>47</v>
      </c>
      <c r="D8" s="2"/>
      <c r="E8" s="2"/>
    </row>
    <row r="9" spans="1:5" x14ac:dyDescent="0.25">
      <c r="B9" s="1" t="s">
        <v>14</v>
      </c>
      <c r="C9" s="12">
        <f>C7*C16</f>
        <v>2786240</v>
      </c>
    </row>
    <row r="11" spans="1:5" x14ac:dyDescent="0.25">
      <c r="B11" t="s">
        <v>59</v>
      </c>
    </row>
    <row r="12" spans="1:5" x14ac:dyDescent="0.25">
      <c r="B12" t="s">
        <v>60</v>
      </c>
    </row>
    <row r="13" spans="1:5" x14ac:dyDescent="0.25">
      <c r="B13" t="s">
        <v>53</v>
      </c>
    </row>
    <row r="16" spans="1:5" x14ac:dyDescent="0.25">
      <c r="B16" s="10" t="s">
        <v>54</v>
      </c>
      <c r="C16" s="4">
        <v>320</v>
      </c>
    </row>
    <row r="18" spans="2:2" x14ac:dyDescent="0.25">
      <c r="B18" t="s">
        <v>108</v>
      </c>
    </row>
    <row r="19" spans="2:2" x14ac:dyDescent="0.25">
      <c r="B19" t="s">
        <v>55</v>
      </c>
    </row>
    <row r="20" spans="2:2" x14ac:dyDescent="0.25">
      <c r="B20" t="s">
        <v>56</v>
      </c>
    </row>
    <row r="72" spans="5:27" x14ac:dyDescent="0.25">
      <c r="I72" s="19" t="s">
        <v>86</v>
      </c>
      <c r="J72" s="19"/>
      <c r="K72" s="19"/>
      <c r="L72" s="19"/>
      <c r="M72" s="19"/>
      <c r="N72" s="19"/>
      <c r="O72" s="19"/>
      <c r="P72" s="19"/>
      <c r="Q72" s="19"/>
      <c r="S72" s="19" t="s">
        <v>86</v>
      </c>
      <c r="T72" s="19"/>
      <c r="U72" s="19"/>
      <c r="V72" s="19"/>
      <c r="W72" s="19"/>
      <c r="X72" s="19"/>
      <c r="Y72" s="19"/>
      <c r="Z72" s="19"/>
      <c r="AA72" s="19"/>
    </row>
    <row r="73" spans="5:27" x14ac:dyDescent="0.25">
      <c r="K73" s="20" t="s">
        <v>87</v>
      </c>
      <c r="L73" s="20"/>
      <c r="N73" s="20" t="s">
        <v>88</v>
      </c>
      <c r="O73" s="20"/>
      <c r="U73" s="20" t="s">
        <v>87</v>
      </c>
      <c r="V73" s="20"/>
      <c r="X73" s="20" t="s">
        <v>88</v>
      </c>
      <c r="Y73" s="20"/>
    </row>
    <row r="74" spans="5:27" x14ac:dyDescent="0.25">
      <c r="I74" s="13" t="s">
        <v>48</v>
      </c>
      <c r="J74" s="13"/>
      <c r="K74" s="13" t="s">
        <v>49</v>
      </c>
      <c r="L74" s="13" t="s">
        <v>50</v>
      </c>
      <c r="N74" s="13" t="s">
        <v>49</v>
      </c>
      <c r="O74" s="13" t="s">
        <v>50</v>
      </c>
      <c r="Q74" s="13" t="s">
        <v>51</v>
      </c>
      <c r="S74" s="13" t="s">
        <v>48</v>
      </c>
      <c r="T74" s="13"/>
      <c r="U74" s="13" t="s">
        <v>49</v>
      </c>
      <c r="V74" s="13" t="s">
        <v>50</v>
      </c>
      <c r="X74" s="13" t="s">
        <v>49</v>
      </c>
      <c r="Y74" s="13" t="s">
        <v>50</v>
      </c>
      <c r="AA74" s="13" t="s">
        <v>51</v>
      </c>
    </row>
    <row r="75" spans="5:27" x14ac:dyDescent="0.25">
      <c r="E75" t="s">
        <v>89</v>
      </c>
      <c r="I75">
        <v>130</v>
      </c>
      <c r="K75" s="11">
        <v>19.78</v>
      </c>
      <c r="L75" s="11">
        <f t="shared" ref="L75:L84" si="0">I75*K75</f>
        <v>2571.4</v>
      </c>
      <c r="N75" s="11">
        <v>28.82</v>
      </c>
      <c r="O75" s="11">
        <f t="shared" ref="O75:O84" si="1">I75*N75</f>
        <v>3746.6</v>
      </c>
      <c r="Q75" s="11">
        <f t="shared" ref="Q75:Q84" si="2">(L75+O75)/2</f>
        <v>3159</v>
      </c>
      <c r="S75">
        <v>325</v>
      </c>
      <c r="U75" s="11">
        <v>21.22</v>
      </c>
      <c r="V75" s="11">
        <f t="shared" ref="V75:V84" si="3">S75*U75</f>
        <v>6896.5</v>
      </c>
      <c r="W75" s="11"/>
      <c r="X75" s="11">
        <v>34.200000000000003</v>
      </c>
      <c r="Y75" s="11">
        <f t="shared" ref="Y75:Y84" si="4">S75*X75</f>
        <v>11115.000000000002</v>
      </c>
      <c r="Z75" s="11"/>
      <c r="AA75" s="11">
        <f t="shared" ref="AA75:AA84" si="5">(V75+Y75)/2</f>
        <v>9005.75</v>
      </c>
    </row>
    <row r="76" spans="5:27" x14ac:dyDescent="0.25">
      <c r="E76" t="s">
        <v>90</v>
      </c>
      <c r="I76">
        <v>25</v>
      </c>
      <c r="K76" s="11">
        <v>112.89</v>
      </c>
      <c r="L76" s="11">
        <f t="shared" si="0"/>
        <v>2822.25</v>
      </c>
      <c r="M76" s="11"/>
      <c r="N76" s="11">
        <v>123.42</v>
      </c>
      <c r="O76" s="11">
        <f t="shared" si="1"/>
        <v>3085.5</v>
      </c>
      <c r="P76" s="11"/>
      <c r="Q76" s="11">
        <f t="shared" si="2"/>
        <v>2953.875</v>
      </c>
      <c r="S76">
        <v>50</v>
      </c>
      <c r="U76" s="11">
        <v>116.66</v>
      </c>
      <c r="V76" s="11">
        <f t="shared" si="3"/>
        <v>5833</v>
      </c>
      <c r="W76" s="11"/>
      <c r="X76" s="11">
        <v>85</v>
      </c>
      <c r="Y76" s="11">
        <f t="shared" si="4"/>
        <v>4250</v>
      </c>
      <c r="Z76" s="11"/>
      <c r="AA76" s="11">
        <f t="shared" si="5"/>
        <v>5041.5</v>
      </c>
    </row>
    <row r="77" spans="5:27" x14ac:dyDescent="0.25">
      <c r="E77" t="s">
        <v>91</v>
      </c>
      <c r="I77">
        <v>1</v>
      </c>
      <c r="K77" s="11">
        <v>220162.84</v>
      </c>
      <c r="L77" s="11">
        <f t="shared" si="0"/>
        <v>220162.84</v>
      </c>
      <c r="M77" s="11"/>
      <c r="N77" s="11">
        <v>47711.26</v>
      </c>
      <c r="O77" s="11">
        <f t="shared" si="1"/>
        <v>47711.26</v>
      </c>
      <c r="P77" s="11"/>
      <c r="Q77" s="11">
        <f t="shared" si="2"/>
        <v>133937.04999999999</v>
      </c>
      <c r="S77">
        <v>1</v>
      </c>
      <c r="U77" s="11">
        <v>152902.20000000001</v>
      </c>
      <c r="V77" s="11">
        <f t="shared" si="3"/>
        <v>152902.20000000001</v>
      </c>
      <c r="W77" s="11"/>
      <c r="X77" s="11">
        <v>95000</v>
      </c>
      <c r="Y77" s="11">
        <f t="shared" si="4"/>
        <v>95000</v>
      </c>
      <c r="Z77" s="11"/>
      <c r="AA77" s="11">
        <f t="shared" si="5"/>
        <v>123951.1</v>
      </c>
    </row>
    <row r="78" spans="5:27" x14ac:dyDescent="0.25">
      <c r="E78" t="s">
        <v>92</v>
      </c>
      <c r="I78">
        <v>529</v>
      </c>
      <c r="K78" s="11">
        <v>265.20999999999998</v>
      </c>
      <c r="L78" s="11">
        <f t="shared" si="0"/>
        <v>140296.09</v>
      </c>
      <c r="M78" s="11"/>
      <c r="N78" s="11">
        <v>190</v>
      </c>
      <c r="O78" s="11">
        <f t="shared" si="1"/>
        <v>100510</v>
      </c>
      <c r="P78" s="11"/>
      <c r="Q78" s="11">
        <f t="shared" si="2"/>
        <v>120403.045</v>
      </c>
      <c r="S78">
        <v>1537</v>
      </c>
      <c r="U78" s="11">
        <v>254.16</v>
      </c>
      <c r="V78" s="11">
        <f t="shared" si="3"/>
        <v>390643.92</v>
      </c>
      <c r="W78" s="11"/>
      <c r="X78" s="11">
        <v>405</v>
      </c>
      <c r="Y78" s="11">
        <f t="shared" si="4"/>
        <v>622485</v>
      </c>
      <c r="Z78" s="11"/>
      <c r="AA78" s="11">
        <f t="shared" si="5"/>
        <v>506564.45999999996</v>
      </c>
    </row>
    <row r="79" spans="5:27" x14ac:dyDescent="0.25">
      <c r="E79" t="s">
        <v>93</v>
      </c>
      <c r="I79">
        <v>55.3</v>
      </c>
      <c r="K79" s="11">
        <v>1614.1</v>
      </c>
      <c r="L79" s="11">
        <f t="shared" si="0"/>
        <v>89259.73</v>
      </c>
      <c r="M79" s="11"/>
      <c r="N79" s="11">
        <v>2556.5300000000002</v>
      </c>
      <c r="O79" s="11">
        <f t="shared" si="1"/>
        <v>141376.109</v>
      </c>
      <c r="P79" s="11"/>
      <c r="Q79" s="11">
        <f t="shared" si="2"/>
        <v>115317.91949999999</v>
      </c>
      <c r="S79">
        <v>186</v>
      </c>
      <c r="U79" s="11">
        <v>1425.35</v>
      </c>
      <c r="V79" s="11">
        <f t="shared" si="3"/>
        <v>265115.09999999998</v>
      </c>
      <c r="W79" s="11"/>
      <c r="X79" s="11">
        <v>1800</v>
      </c>
      <c r="Y79" s="11">
        <f t="shared" si="4"/>
        <v>334800</v>
      </c>
      <c r="Z79" s="11"/>
      <c r="AA79" s="11">
        <f t="shared" si="5"/>
        <v>299957.55</v>
      </c>
    </row>
    <row r="80" spans="5:27" x14ac:dyDescent="0.25">
      <c r="E80" t="s">
        <v>94</v>
      </c>
      <c r="I80">
        <v>7152</v>
      </c>
      <c r="K80" s="11">
        <v>1.7</v>
      </c>
      <c r="L80" s="11">
        <f t="shared" si="0"/>
        <v>12158.4</v>
      </c>
      <c r="M80" s="11"/>
      <c r="N80" s="11">
        <v>2.97</v>
      </c>
      <c r="O80" s="11">
        <f t="shared" si="1"/>
        <v>21241.440000000002</v>
      </c>
      <c r="P80" s="11"/>
      <c r="Q80" s="11">
        <f t="shared" si="2"/>
        <v>16699.920000000002</v>
      </c>
      <c r="S80">
        <v>27184</v>
      </c>
      <c r="U80" s="11">
        <v>1.75</v>
      </c>
      <c r="V80" s="11">
        <f t="shared" si="3"/>
        <v>47572</v>
      </c>
      <c r="W80" s="11"/>
      <c r="X80" s="11">
        <v>1.71</v>
      </c>
      <c r="Y80" s="11">
        <f t="shared" si="4"/>
        <v>46484.639999999999</v>
      </c>
      <c r="Z80" s="11"/>
      <c r="AA80" s="11">
        <f t="shared" si="5"/>
        <v>47028.32</v>
      </c>
    </row>
    <row r="81" spans="5:27" x14ac:dyDescent="0.25">
      <c r="E81" t="s">
        <v>95</v>
      </c>
      <c r="I81">
        <v>1532</v>
      </c>
      <c r="K81" s="11">
        <v>2.6</v>
      </c>
      <c r="L81" s="11">
        <f t="shared" si="0"/>
        <v>3983.2000000000003</v>
      </c>
      <c r="M81" s="11"/>
      <c r="N81" s="11">
        <v>6.3</v>
      </c>
      <c r="O81" s="11">
        <f t="shared" si="1"/>
        <v>9651.6</v>
      </c>
      <c r="P81" s="11"/>
      <c r="Q81" s="11">
        <f t="shared" si="2"/>
        <v>6817.4000000000005</v>
      </c>
      <c r="S81">
        <v>5175</v>
      </c>
      <c r="U81" s="11">
        <v>2.62</v>
      </c>
      <c r="V81" s="11">
        <f t="shared" si="3"/>
        <v>13558.5</v>
      </c>
      <c r="W81" s="11"/>
      <c r="X81" s="11">
        <v>4</v>
      </c>
      <c r="Y81" s="11">
        <f t="shared" si="4"/>
        <v>20700</v>
      </c>
      <c r="Z81" s="11"/>
      <c r="AA81" s="11">
        <f t="shared" si="5"/>
        <v>17129.25</v>
      </c>
    </row>
    <row r="82" spans="5:27" x14ac:dyDescent="0.25">
      <c r="E82" t="s">
        <v>96</v>
      </c>
      <c r="I82">
        <v>1338</v>
      </c>
      <c r="K82" s="11">
        <v>21.3</v>
      </c>
      <c r="L82" s="11">
        <f t="shared" si="0"/>
        <v>28499.4</v>
      </c>
      <c r="M82" s="11"/>
      <c r="N82" s="11">
        <v>18</v>
      </c>
      <c r="O82" s="11">
        <f t="shared" si="1"/>
        <v>24084</v>
      </c>
      <c r="P82" s="11"/>
      <c r="Q82" s="11">
        <f t="shared" si="2"/>
        <v>26291.7</v>
      </c>
      <c r="S82">
        <v>4782</v>
      </c>
      <c r="U82" s="11">
        <v>22.74</v>
      </c>
      <c r="V82" s="11">
        <f t="shared" si="3"/>
        <v>108742.68</v>
      </c>
      <c r="W82" s="11"/>
      <c r="X82" s="11">
        <v>20</v>
      </c>
      <c r="Y82" s="11">
        <f t="shared" si="4"/>
        <v>95640</v>
      </c>
      <c r="Z82" s="11"/>
      <c r="AA82" s="11">
        <f t="shared" si="5"/>
        <v>102191.34</v>
      </c>
    </row>
    <row r="83" spans="5:27" x14ac:dyDescent="0.25">
      <c r="E83" t="s">
        <v>97</v>
      </c>
      <c r="I83">
        <v>70</v>
      </c>
      <c r="K83" s="11">
        <v>38.340000000000003</v>
      </c>
      <c r="L83" s="11">
        <f t="shared" si="0"/>
        <v>2683.8</v>
      </c>
      <c r="M83" s="11"/>
      <c r="N83" s="11">
        <v>54.89</v>
      </c>
      <c r="O83" s="11">
        <f t="shared" si="1"/>
        <v>3842.3</v>
      </c>
      <c r="P83" s="11"/>
      <c r="Q83" s="11">
        <f t="shared" si="2"/>
        <v>3263.05</v>
      </c>
      <c r="S83">
        <v>241</v>
      </c>
      <c r="U83" s="11">
        <v>45.97</v>
      </c>
      <c r="V83" s="11">
        <f t="shared" si="3"/>
        <v>11078.77</v>
      </c>
      <c r="W83" s="11"/>
      <c r="X83" s="11">
        <v>45</v>
      </c>
      <c r="Y83" s="11">
        <f t="shared" si="4"/>
        <v>10845</v>
      </c>
      <c r="Z83" s="11"/>
      <c r="AA83" s="11">
        <f t="shared" si="5"/>
        <v>10961.885</v>
      </c>
    </row>
    <row r="84" spans="5:27" x14ac:dyDescent="0.25">
      <c r="E84" t="s">
        <v>98</v>
      </c>
      <c r="I84">
        <v>522</v>
      </c>
      <c r="K84" s="11">
        <v>247.42</v>
      </c>
      <c r="L84" s="11">
        <f t="shared" si="0"/>
        <v>129153.23999999999</v>
      </c>
      <c r="M84" s="11"/>
      <c r="N84" s="11">
        <v>180</v>
      </c>
      <c r="O84" s="11">
        <f t="shared" si="1"/>
        <v>93960</v>
      </c>
      <c r="P84" s="11"/>
      <c r="Q84" s="11">
        <f t="shared" si="2"/>
        <v>111556.62</v>
      </c>
      <c r="S84">
        <v>1517</v>
      </c>
      <c r="U84" s="11">
        <v>247.02</v>
      </c>
      <c r="V84" s="11">
        <f t="shared" si="3"/>
        <v>374729.34</v>
      </c>
      <c r="W84" s="11"/>
      <c r="X84" s="11">
        <v>185</v>
      </c>
      <c r="Y84" s="11">
        <f t="shared" si="4"/>
        <v>280645</v>
      </c>
      <c r="Z84" s="11"/>
      <c r="AA84" s="11">
        <f t="shared" si="5"/>
        <v>327687.17000000004</v>
      </c>
    </row>
    <row r="85" spans="5:27" x14ac:dyDescent="0.25">
      <c r="Q85" s="9"/>
      <c r="AA85" s="9"/>
    </row>
    <row r="86" spans="5:27" x14ac:dyDescent="0.25">
      <c r="Q86" s="11">
        <f>SUM(Q75:Q85)</f>
        <v>540399.57949999999</v>
      </c>
      <c r="AA86" s="11">
        <f>SUM(AA75:AA85)</f>
        <v>1449518.3249999997</v>
      </c>
    </row>
    <row r="87" spans="5:27" x14ac:dyDescent="0.25">
      <c r="L87" t="s">
        <v>52</v>
      </c>
      <c r="M87" s="11">
        <f>Q86/I81</f>
        <v>352.74123988250653</v>
      </c>
      <c r="V87" t="s">
        <v>52</v>
      </c>
      <c r="W87" s="11">
        <f>AA86/S81</f>
        <v>280.1001594202898</v>
      </c>
    </row>
  </sheetData>
  <mergeCells count="6">
    <mergeCell ref="I72:Q72"/>
    <mergeCell ref="K73:L73"/>
    <mergeCell ref="N73:O73"/>
    <mergeCell ref="S72:AA72"/>
    <mergeCell ref="U73:V73"/>
    <mergeCell ref="X73:Y7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1F5B-9430-4A0C-BCF5-BC90A3697D47}">
  <dimension ref="B2:AG60"/>
  <sheetViews>
    <sheetView tabSelected="1" topLeftCell="G28" workbookViewId="0">
      <selection activeCell="AE43" sqref="AE43"/>
    </sheetView>
  </sheetViews>
  <sheetFormatPr defaultRowHeight="15" x14ac:dyDescent="0.25"/>
  <sheetData>
    <row r="2" spans="2:32" x14ac:dyDescent="0.25">
      <c r="B2" s="1" t="s">
        <v>24</v>
      </c>
      <c r="C2" s="1"/>
      <c r="D2" s="1"/>
      <c r="E2" s="1"/>
      <c r="F2" s="1"/>
      <c r="G2" s="1"/>
      <c r="H2" s="1"/>
      <c r="V2" s="14" t="s">
        <v>62</v>
      </c>
    </row>
    <row r="3" spans="2:32" x14ac:dyDescent="0.25">
      <c r="V3" t="s">
        <v>61</v>
      </c>
    </row>
    <row r="4" spans="2:32" x14ac:dyDescent="0.25">
      <c r="V4" t="s">
        <v>78</v>
      </c>
    </row>
    <row r="5" spans="2:32" x14ac:dyDescent="0.25">
      <c r="V5" t="s">
        <v>79</v>
      </c>
    </row>
    <row r="6" spans="2:32" x14ac:dyDescent="0.25">
      <c r="Y6" s="15" t="s">
        <v>34</v>
      </c>
      <c r="Z6" s="15" t="s">
        <v>35</v>
      </c>
      <c r="AA6" s="15" t="s">
        <v>36</v>
      </c>
      <c r="AB6" s="15" t="s">
        <v>64</v>
      </c>
      <c r="AC6" s="15" t="s">
        <v>37</v>
      </c>
      <c r="AD6" s="15" t="s">
        <v>65</v>
      </c>
      <c r="AE6" s="15" t="s">
        <v>66</v>
      </c>
      <c r="AF6" s="15" t="s">
        <v>67</v>
      </c>
    </row>
    <row r="8" spans="2:32" x14ac:dyDescent="0.25">
      <c r="U8">
        <v>441</v>
      </c>
      <c r="V8" t="s">
        <v>63</v>
      </c>
      <c r="Y8" s="13">
        <v>26</v>
      </c>
      <c r="Z8" s="13">
        <v>14</v>
      </c>
      <c r="AA8" s="13">
        <f>1.5/12</f>
        <v>0.125</v>
      </c>
      <c r="AB8" s="13">
        <v>1</v>
      </c>
      <c r="AC8">
        <f>CEILING(Y8*Z8*AA8*AB8/27,1)</f>
        <v>2</v>
      </c>
      <c r="AD8" t="s">
        <v>38</v>
      </c>
      <c r="AE8" s="4">
        <v>850</v>
      </c>
      <c r="AF8" s="4">
        <f>AC8*AE8</f>
        <v>1700</v>
      </c>
    </row>
    <row r="9" spans="2:32" x14ac:dyDescent="0.25">
      <c r="U9">
        <v>441</v>
      </c>
      <c r="V9" t="s">
        <v>68</v>
      </c>
      <c r="Y9" s="13">
        <v>26</v>
      </c>
      <c r="Z9" s="13">
        <v>14</v>
      </c>
      <c r="AA9" s="16">
        <f>2/12</f>
        <v>0.16666666666666666</v>
      </c>
      <c r="AB9" s="13">
        <v>1</v>
      </c>
      <c r="AC9">
        <f>CEILING(Y9*Z9*AA9*AB9/27,1)</f>
        <v>3</v>
      </c>
      <c r="AD9" t="s">
        <v>38</v>
      </c>
      <c r="AE9" s="4">
        <v>850</v>
      </c>
      <c r="AF9" s="4">
        <f>AC9*AE9</f>
        <v>2550</v>
      </c>
    </row>
    <row r="10" spans="2:32" x14ac:dyDescent="0.25">
      <c r="I10" t="s">
        <v>25</v>
      </c>
      <c r="AE10" s="4"/>
      <c r="AF10" s="4"/>
    </row>
    <row r="11" spans="2:32" x14ac:dyDescent="0.25">
      <c r="U11">
        <v>511</v>
      </c>
      <c r="V11" t="s">
        <v>73</v>
      </c>
      <c r="AE11" s="4"/>
      <c r="AF11" s="4"/>
    </row>
    <row r="12" spans="2:32" x14ac:dyDescent="0.25">
      <c r="W12" t="s">
        <v>74</v>
      </c>
      <c r="Y12" s="13">
        <v>36.375</v>
      </c>
      <c r="Z12" s="16">
        <v>2.5833330000000001</v>
      </c>
      <c r="AA12" s="13">
        <v>1</v>
      </c>
      <c r="AB12" s="13">
        <v>1</v>
      </c>
      <c r="AC12" s="7">
        <f>Y12*Z12*AA12*AB12/27</f>
        <v>3.480323625</v>
      </c>
      <c r="AD12" t="s">
        <v>38</v>
      </c>
      <c r="AE12" s="4"/>
      <c r="AF12" s="4"/>
    </row>
    <row r="13" spans="2:32" x14ac:dyDescent="0.25">
      <c r="Y13" s="13">
        <v>14.125</v>
      </c>
      <c r="Z13" s="16">
        <v>1</v>
      </c>
      <c r="AA13" s="16">
        <v>2</v>
      </c>
      <c r="AB13" s="13">
        <v>1</v>
      </c>
      <c r="AC13" s="7">
        <f t="shared" ref="AC13:AC18" si="0">Y13*Z13*AA13*AB13/27</f>
        <v>1.0462962962962963</v>
      </c>
      <c r="AE13" s="4"/>
      <c r="AF13" s="4"/>
    </row>
    <row r="14" spans="2:32" x14ac:dyDescent="0.25">
      <c r="B14" s="1" t="s">
        <v>23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Y14" s="13">
        <f>Y12-Y13</f>
        <v>22.25</v>
      </c>
      <c r="Z14" s="16">
        <v>2.5833330000000001</v>
      </c>
      <c r="AA14" s="16">
        <v>2</v>
      </c>
      <c r="AB14" s="13">
        <v>1</v>
      </c>
      <c r="AC14" s="7">
        <f t="shared" si="0"/>
        <v>4.2577154999999998</v>
      </c>
      <c r="AE14" s="4"/>
      <c r="AF14" s="4"/>
    </row>
    <row r="15" spans="2:32" x14ac:dyDescent="0.25">
      <c r="W15" t="s">
        <v>75</v>
      </c>
      <c r="Y15" s="13">
        <f>7.5+1+14.125+1+5.5</f>
        <v>29.125</v>
      </c>
      <c r="Z15" s="16">
        <v>2.5833330000000001</v>
      </c>
      <c r="AA15" s="13">
        <v>1</v>
      </c>
      <c r="AB15" s="13">
        <v>1</v>
      </c>
      <c r="AC15" s="7">
        <f t="shared" si="0"/>
        <v>2.7866508750000003</v>
      </c>
      <c r="AE15" s="4"/>
      <c r="AF15" s="4"/>
    </row>
    <row r="16" spans="2:32" x14ac:dyDescent="0.25">
      <c r="Y16" s="13">
        <v>14.125</v>
      </c>
      <c r="Z16" s="16">
        <v>1</v>
      </c>
      <c r="AA16" s="16">
        <v>2</v>
      </c>
      <c r="AB16" s="13">
        <v>1</v>
      </c>
      <c r="AC16" s="7">
        <f t="shared" si="0"/>
        <v>1.0462962962962963</v>
      </c>
      <c r="AE16" s="4"/>
      <c r="AF16" s="4"/>
    </row>
    <row r="17" spans="2:32" x14ac:dyDescent="0.25">
      <c r="Y17" s="13">
        <f>Y15-Y16</f>
        <v>15</v>
      </c>
      <c r="Z17" s="16">
        <v>2.5833330000000001</v>
      </c>
      <c r="AA17" s="16">
        <v>2</v>
      </c>
      <c r="AB17" s="13">
        <v>1</v>
      </c>
      <c r="AC17" s="7">
        <f t="shared" si="0"/>
        <v>2.8703699999999999</v>
      </c>
      <c r="AE17" s="4"/>
      <c r="AF17" s="4"/>
    </row>
    <row r="18" spans="2:32" x14ac:dyDescent="0.25">
      <c r="Y18" s="13">
        <v>-7.5</v>
      </c>
      <c r="Z18" s="16">
        <v>2.5833330000000001</v>
      </c>
      <c r="AA18" s="16">
        <v>1</v>
      </c>
      <c r="AB18" s="13">
        <v>1</v>
      </c>
      <c r="AC18" s="7">
        <f t="shared" si="0"/>
        <v>-0.71759249999999997</v>
      </c>
      <c r="AE18" s="4"/>
      <c r="AF18" s="4"/>
    </row>
    <row r="19" spans="2:32" x14ac:dyDescent="0.25">
      <c r="Y19" s="13">
        <v>-5.5</v>
      </c>
      <c r="Z19" s="16">
        <v>2.5833330000000001</v>
      </c>
      <c r="AA19" s="16">
        <v>1</v>
      </c>
      <c r="AB19" s="13">
        <v>1</v>
      </c>
      <c r="AC19" s="7">
        <f t="shared" ref="AC19" si="1">Y19*Z19*AA19*AB19/27</f>
        <v>-0.52623450000000005</v>
      </c>
      <c r="AE19" s="4"/>
      <c r="AF19" s="4"/>
    </row>
    <row r="20" spans="2:32" x14ac:dyDescent="0.25">
      <c r="AC20" s="9"/>
      <c r="AE20" s="4"/>
      <c r="AF20" s="4"/>
    </row>
    <row r="21" spans="2:32" x14ac:dyDescent="0.25">
      <c r="AC21" s="8">
        <f>SUM(AC12:AC20)</f>
        <v>14.243825592592593</v>
      </c>
      <c r="AD21" t="s">
        <v>38</v>
      </c>
      <c r="AE21" s="4">
        <v>2500</v>
      </c>
      <c r="AF21" s="4">
        <f t="shared" ref="AF21" si="2">AC21*AE21</f>
        <v>35609.563981481486</v>
      </c>
    </row>
    <row r="23" spans="2:32" x14ac:dyDescent="0.25">
      <c r="U23">
        <v>515</v>
      </c>
      <c r="V23" t="s">
        <v>76</v>
      </c>
      <c r="Y23" s="13">
        <v>1</v>
      </c>
      <c r="Z23" s="13">
        <v>1</v>
      </c>
      <c r="AA23" s="13">
        <v>1</v>
      </c>
      <c r="AB23" s="13">
        <v>2</v>
      </c>
      <c r="AC23">
        <f>Y23*Z23*AA23*AB23</f>
        <v>2</v>
      </c>
      <c r="AD23" t="s">
        <v>69</v>
      </c>
      <c r="AE23" s="4">
        <v>20000</v>
      </c>
      <c r="AF23" s="4">
        <f>AC23*AE23</f>
        <v>40000</v>
      </c>
    </row>
    <row r="24" spans="2:32" x14ac:dyDescent="0.25">
      <c r="U24">
        <v>515</v>
      </c>
      <c r="V24" t="s">
        <v>77</v>
      </c>
      <c r="Y24" s="13">
        <v>1</v>
      </c>
      <c r="Z24" s="13">
        <v>1</v>
      </c>
      <c r="AA24" s="13">
        <v>1</v>
      </c>
      <c r="AB24" s="13">
        <v>2</v>
      </c>
      <c r="AC24">
        <f>Y24*Z24*AA24*AB24</f>
        <v>2</v>
      </c>
      <c r="AD24" t="s">
        <v>69</v>
      </c>
      <c r="AE24" s="4">
        <v>15000</v>
      </c>
      <c r="AF24" s="4">
        <f>AC24*AE24</f>
        <v>30000</v>
      </c>
    </row>
    <row r="25" spans="2:32" x14ac:dyDescent="0.25">
      <c r="AE25" s="4"/>
      <c r="AF25" s="4"/>
    </row>
    <row r="26" spans="2:32" x14ac:dyDescent="0.25">
      <c r="U26">
        <v>516</v>
      </c>
      <c r="V26" t="s">
        <v>70</v>
      </c>
      <c r="Y26" s="13">
        <v>1</v>
      </c>
      <c r="Z26" s="13">
        <v>1</v>
      </c>
      <c r="AA26" s="13">
        <v>1</v>
      </c>
      <c r="AB26" s="13">
        <f>(AB23+AB24)*2*2</f>
        <v>16</v>
      </c>
      <c r="AC26">
        <f>Y26*Z26*AA26*AB26</f>
        <v>16</v>
      </c>
      <c r="AD26" t="s">
        <v>69</v>
      </c>
      <c r="AE26" s="4">
        <v>200</v>
      </c>
      <c r="AF26" s="4">
        <f>AC26*AE26</f>
        <v>3200</v>
      </c>
    </row>
    <row r="27" spans="2:32" x14ac:dyDescent="0.25">
      <c r="AE27" s="4"/>
      <c r="AF27" s="4"/>
    </row>
    <row r="28" spans="2:32" x14ac:dyDescent="0.25">
      <c r="U28">
        <v>517</v>
      </c>
      <c r="V28" t="s">
        <v>71</v>
      </c>
      <c r="Y28" s="13">
        <v>26</v>
      </c>
      <c r="Z28" s="13">
        <v>1</v>
      </c>
      <c r="AA28" s="13">
        <v>1</v>
      </c>
      <c r="AB28" s="13">
        <v>2</v>
      </c>
      <c r="AC28">
        <f>Y28*Z28*AA28*AB28</f>
        <v>52</v>
      </c>
      <c r="AD28" t="s">
        <v>72</v>
      </c>
      <c r="AE28" s="4">
        <v>450</v>
      </c>
      <c r="AF28" s="4">
        <f>AC28*AE28</f>
        <v>23400</v>
      </c>
    </row>
    <row r="29" spans="2:32" x14ac:dyDescent="0.25">
      <c r="AE29" s="4"/>
      <c r="AF29" s="17"/>
    </row>
    <row r="30" spans="2:32" x14ac:dyDescent="0.25">
      <c r="AF30" s="4">
        <f>SUM(AF7:AF29)</f>
        <v>136459.56398148148</v>
      </c>
    </row>
    <row r="31" spans="2:32" x14ac:dyDescent="0.25">
      <c r="B31" s="1" t="s">
        <v>26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AE31" s="10" t="s">
        <v>102</v>
      </c>
      <c r="AF31" s="4">
        <f>0.1*AF30</f>
        <v>13645.956398148148</v>
      </c>
    </row>
    <row r="32" spans="2:32" x14ac:dyDescent="0.25">
      <c r="AF32" s="9"/>
    </row>
    <row r="33" spans="2:33" x14ac:dyDescent="0.25">
      <c r="AF33" s="18">
        <f>AF30+AF31</f>
        <v>150105.52037962963</v>
      </c>
    </row>
    <row r="35" spans="2:33" x14ac:dyDescent="0.25">
      <c r="V35" s="14" t="s">
        <v>80</v>
      </c>
    </row>
    <row r="36" spans="2:33" x14ac:dyDescent="0.25">
      <c r="V36" t="s">
        <v>81</v>
      </c>
    </row>
    <row r="37" spans="2:33" x14ac:dyDescent="0.25">
      <c r="V37" t="s">
        <v>82</v>
      </c>
    </row>
    <row r="38" spans="2:33" x14ac:dyDescent="0.25">
      <c r="B38" s="1" t="s">
        <v>27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V38" t="s">
        <v>83</v>
      </c>
    </row>
    <row r="39" spans="2:33" x14ac:dyDescent="0.25">
      <c r="Y39" s="15" t="s">
        <v>34</v>
      </c>
      <c r="Z39" s="15" t="s">
        <v>35</v>
      </c>
      <c r="AA39" s="15" t="s">
        <v>36</v>
      </c>
      <c r="AB39" s="15" t="s">
        <v>64</v>
      </c>
      <c r="AC39" s="15" t="s">
        <v>37</v>
      </c>
      <c r="AD39" s="15" t="s">
        <v>65</v>
      </c>
      <c r="AE39" s="15" t="s">
        <v>66</v>
      </c>
      <c r="AF39" s="15" t="s">
        <v>67</v>
      </c>
    </row>
    <row r="41" spans="2:33" x14ac:dyDescent="0.25">
      <c r="U41">
        <v>511</v>
      </c>
      <c r="V41" t="s">
        <v>84</v>
      </c>
      <c r="Y41" s="13">
        <v>26</v>
      </c>
      <c r="Z41" s="13">
        <v>14</v>
      </c>
      <c r="AA41" s="13">
        <v>0.5</v>
      </c>
      <c r="AB41" s="13">
        <v>1</v>
      </c>
      <c r="AC41">
        <f>CEILING(Y41*Z41*AA41*AB41/27,1)</f>
        <v>7</v>
      </c>
      <c r="AD41" t="s">
        <v>38</v>
      </c>
      <c r="AE41" s="4">
        <v>1500</v>
      </c>
      <c r="AF41" s="4">
        <f>AC41*AE41</f>
        <v>10500</v>
      </c>
    </row>
    <row r="43" spans="2:33" x14ac:dyDescent="0.25">
      <c r="V43" t="s">
        <v>85</v>
      </c>
      <c r="Y43" s="13">
        <v>1</v>
      </c>
      <c r="Z43" s="13">
        <v>1</v>
      </c>
      <c r="AA43" s="13">
        <v>1</v>
      </c>
      <c r="AB43" s="13">
        <v>1</v>
      </c>
      <c r="AC43">
        <f>Y43*Z43*AA43*AB43</f>
        <v>1</v>
      </c>
      <c r="AD43" t="s">
        <v>69</v>
      </c>
      <c r="AE43" s="4">
        <v>65000</v>
      </c>
      <c r="AF43" s="4">
        <f>AC43*AE43</f>
        <v>65000</v>
      </c>
      <c r="AG43" t="s">
        <v>109</v>
      </c>
    </row>
    <row r="45" spans="2:33" x14ac:dyDescent="0.25">
      <c r="U45">
        <v>511</v>
      </c>
      <c r="V45" t="s">
        <v>73</v>
      </c>
      <c r="AE45" s="4"/>
      <c r="AF45" s="4"/>
    </row>
    <row r="46" spans="2:33" x14ac:dyDescent="0.25">
      <c r="W46" t="s">
        <v>74</v>
      </c>
      <c r="Y46" s="13">
        <v>36.375</v>
      </c>
      <c r="Z46" s="16">
        <v>2.5833330000000001</v>
      </c>
      <c r="AA46" s="13">
        <v>1</v>
      </c>
      <c r="AB46" s="13">
        <v>1</v>
      </c>
      <c r="AC46" s="7">
        <f>Y46*Z46*AA46*AB46/27</f>
        <v>3.480323625</v>
      </c>
      <c r="AD46" t="s">
        <v>38</v>
      </c>
      <c r="AE46" s="4"/>
      <c r="AF46" s="4"/>
    </row>
    <row r="47" spans="2:33" x14ac:dyDescent="0.25">
      <c r="Y47" s="13">
        <v>14.125</v>
      </c>
      <c r="Z47" s="16">
        <v>1</v>
      </c>
      <c r="AA47" s="16">
        <v>2</v>
      </c>
      <c r="AB47" s="13">
        <v>1</v>
      </c>
      <c r="AC47" s="7">
        <f t="shared" ref="AC47:AC53" si="3">Y47*Z47*AA47*AB47/27</f>
        <v>1.0462962962962963</v>
      </c>
      <c r="AE47" s="4"/>
      <c r="AF47" s="4"/>
    </row>
    <row r="48" spans="2:33" x14ac:dyDescent="0.25">
      <c r="Y48" s="13">
        <f>Y46-Y47</f>
        <v>22.25</v>
      </c>
      <c r="Z48" s="16">
        <v>2.5833330000000001</v>
      </c>
      <c r="AA48" s="16">
        <v>2</v>
      </c>
      <c r="AB48" s="13">
        <v>1</v>
      </c>
      <c r="AC48" s="7">
        <f t="shared" si="3"/>
        <v>4.2577154999999998</v>
      </c>
      <c r="AE48" s="4"/>
      <c r="AF48" s="4"/>
    </row>
    <row r="49" spans="23:32" x14ac:dyDescent="0.25">
      <c r="W49" t="s">
        <v>75</v>
      </c>
      <c r="Y49" s="13">
        <f>7.5+1+14.125+1+5.5</f>
        <v>29.125</v>
      </c>
      <c r="Z49" s="16">
        <v>2.5833330000000001</v>
      </c>
      <c r="AA49" s="13">
        <v>1</v>
      </c>
      <c r="AB49" s="13">
        <v>1</v>
      </c>
      <c r="AC49" s="7">
        <f t="shared" si="3"/>
        <v>2.7866508750000003</v>
      </c>
      <c r="AE49" s="4"/>
      <c r="AF49" s="4"/>
    </row>
    <row r="50" spans="23:32" x14ac:dyDescent="0.25">
      <c r="Y50" s="13">
        <v>14.125</v>
      </c>
      <c r="Z50" s="16">
        <v>1</v>
      </c>
      <c r="AA50" s="16">
        <v>2</v>
      </c>
      <c r="AB50" s="13">
        <v>1</v>
      </c>
      <c r="AC50" s="7">
        <f t="shared" si="3"/>
        <v>1.0462962962962963</v>
      </c>
      <c r="AE50" s="4"/>
      <c r="AF50" s="4"/>
    </row>
    <row r="51" spans="23:32" x14ac:dyDescent="0.25">
      <c r="Y51" s="13">
        <f>Y49-Y50</f>
        <v>15</v>
      </c>
      <c r="Z51" s="16">
        <v>2.5833330000000001</v>
      </c>
      <c r="AA51" s="16">
        <v>2</v>
      </c>
      <c r="AB51" s="13">
        <v>1</v>
      </c>
      <c r="AC51" s="7">
        <f t="shared" si="3"/>
        <v>2.8703699999999999</v>
      </c>
      <c r="AE51" s="4"/>
      <c r="AF51" s="4"/>
    </row>
    <row r="52" spans="23:32" x14ac:dyDescent="0.25">
      <c r="Y52" s="13">
        <v>-7.5</v>
      </c>
      <c r="Z52" s="16">
        <v>2.5833330000000001</v>
      </c>
      <c r="AA52" s="16">
        <v>1</v>
      </c>
      <c r="AB52" s="13">
        <v>1</v>
      </c>
      <c r="AC52" s="7">
        <f t="shared" si="3"/>
        <v>-0.71759249999999997</v>
      </c>
      <c r="AE52" s="4"/>
      <c r="AF52" s="4"/>
    </row>
    <row r="53" spans="23:32" x14ac:dyDescent="0.25">
      <c r="Y53" s="13">
        <v>-5.5</v>
      </c>
      <c r="Z53" s="16">
        <v>2.5833330000000001</v>
      </c>
      <c r="AA53" s="16">
        <v>1</v>
      </c>
      <c r="AB53" s="13">
        <v>1</v>
      </c>
      <c r="AC53" s="7">
        <f t="shared" si="3"/>
        <v>-0.52623450000000005</v>
      </c>
      <c r="AE53" s="4"/>
      <c r="AF53" s="4"/>
    </row>
    <row r="54" spans="23:32" x14ac:dyDescent="0.25">
      <c r="AC54" s="9"/>
      <c r="AE54" s="4"/>
      <c r="AF54" s="4"/>
    </row>
    <row r="55" spans="23:32" x14ac:dyDescent="0.25">
      <c r="AC55" s="8">
        <f>SUM(AC46:AC54)</f>
        <v>14.243825592592593</v>
      </c>
      <c r="AD55" t="s">
        <v>38</v>
      </c>
      <c r="AE55" s="4">
        <v>2500</v>
      </c>
      <c r="AF55" s="4">
        <f t="shared" ref="AF55" si="4">AC55*AE55</f>
        <v>35609.563981481486</v>
      </c>
    </row>
    <row r="56" spans="23:32" x14ac:dyDescent="0.25">
      <c r="AF56" s="17"/>
    </row>
    <row r="57" spans="23:32" x14ac:dyDescent="0.25">
      <c r="AF57" s="4">
        <f>SUM(AF40:AF56)</f>
        <v>111109.56398148148</v>
      </c>
    </row>
    <row r="58" spans="23:32" x14ac:dyDescent="0.25">
      <c r="AE58" s="10" t="s">
        <v>102</v>
      </c>
      <c r="AF58" s="4">
        <f>0.1*AF57</f>
        <v>11110.956398148148</v>
      </c>
    </row>
    <row r="59" spans="23:32" x14ac:dyDescent="0.25">
      <c r="AF59" s="9"/>
    </row>
    <row r="60" spans="23:32" x14ac:dyDescent="0.25">
      <c r="AF60" s="18">
        <f>AF57+AF58</f>
        <v>122220.52037962963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42D8-9451-4114-9382-D4B5F91B252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962</vt:lpstr>
      <vt:lpstr>971B</vt:lpstr>
      <vt:lpstr>972B</vt:lpstr>
      <vt:lpstr>Bridge over Walton Creek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Morman, Zach</dc:creator>
  <cp:lastModifiedBy>Sturdevant, Michael</cp:lastModifiedBy>
  <dcterms:created xsi:type="dcterms:W3CDTF">2022-05-04T19:22:14Z</dcterms:created>
  <dcterms:modified xsi:type="dcterms:W3CDTF">2022-05-19T12:18:06Z</dcterms:modified>
</cp:coreProperties>
</file>