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pw_work\arcadispw01\eric.theller\dms78767\"/>
    </mc:Choice>
  </mc:AlternateContent>
  <xr:revisionPtr revIDLastSave="0" documentId="13_ncr:1_{897B8773-BEA4-495D-89E2-5AEA1534E292}" xr6:coauthVersionLast="47" xr6:coauthVersionMax="47" xr10:uidLastSave="{00000000-0000-0000-0000-000000000000}"/>
  <bookViews>
    <workbookView xWindow="17355" yWindow="-16320" windowWidth="29040" windowHeight="15720" activeTab="9" xr2:uid="{BE22AA07-BBE2-49B4-9C5A-604E7B066224}"/>
  </bookViews>
  <sheets>
    <sheet name="Sheet1" sheetId="1" r:id="rId1"/>
    <sheet name="Sheet2" sheetId="2" r:id="rId2"/>
    <sheet name="Sheet3" sheetId="3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9" l="1"/>
  <c r="M62" i="9" s="1"/>
  <c r="K16" i="9"/>
  <c r="I46" i="8"/>
  <c r="K46" i="8" s="1"/>
  <c r="P35" i="8"/>
  <c r="I57" i="7"/>
  <c r="K57" i="7" s="1"/>
  <c r="K63" i="7" s="1"/>
  <c r="L43" i="11"/>
  <c r="L28" i="11"/>
  <c r="L51" i="9"/>
  <c r="L41" i="9"/>
  <c r="L28" i="7"/>
  <c r="L56" i="6"/>
  <c r="L49" i="6"/>
  <c r="L40" i="6"/>
  <c r="L18" i="6"/>
  <c r="L28" i="5"/>
  <c r="L10" i="5"/>
  <c r="M39" i="3"/>
  <c r="K39" i="3"/>
  <c r="K30" i="3"/>
  <c r="M30" i="3"/>
  <c r="P50" i="2"/>
  <c r="P49" i="2"/>
  <c r="L49" i="2" s="1"/>
  <c r="Q41" i="2"/>
  <c r="L41" i="2" s="1"/>
  <c r="Y43" i="2"/>
  <c r="K43" i="2" s="1"/>
  <c r="K27" i="2"/>
  <c r="I54" i="1"/>
  <c r="I53" i="1"/>
  <c r="I34" i="1"/>
  <c r="Y16" i="1"/>
  <c r="Y14" i="1"/>
  <c r="I14" i="1"/>
  <c r="L46" i="11"/>
  <c r="L26" i="11"/>
  <c r="L18" i="11"/>
  <c r="L16" i="11"/>
  <c r="L56" i="10"/>
  <c r="L45" i="10"/>
  <c r="L42" i="10"/>
  <c r="L38" i="10"/>
  <c r="L50" i="9"/>
  <c r="L17" i="9"/>
  <c r="L41" i="7"/>
  <c r="L45" i="6"/>
  <c r="L42" i="6"/>
  <c r="L59" i="5"/>
  <c r="L63" i="5" s="1"/>
  <c r="L59" i="11" s="1"/>
  <c r="L35" i="5"/>
  <c r="L27" i="5"/>
  <c r="L12" i="5"/>
  <c r="L49" i="3"/>
  <c r="L46" i="3"/>
  <c r="L62" i="3" s="1"/>
  <c r="L58" i="11" s="1"/>
  <c r="L26" i="1"/>
  <c r="L41" i="11"/>
  <c r="L36" i="11"/>
  <c r="L35" i="11"/>
  <c r="L31" i="11"/>
  <c r="L30" i="11"/>
  <c r="L24" i="11"/>
  <c r="L51" i="10"/>
  <c r="L53" i="9"/>
  <c r="L22" i="9"/>
  <c r="L29" i="8"/>
  <c r="L30" i="8"/>
  <c r="J65" i="8"/>
  <c r="J65" i="11" s="1"/>
  <c r="N65" i="8"/>
  <c r="N65" i="11" s="1"/>
  <c r="O65" i="8"/>
  <c r="Q65" i="8"/>
  <c r="R65" i="8"/>
  <c r="R65" i="11" s="1"/>
  <c r="S65" i="8"/>
  <c r="S65" i="11" s="1"/>
  <c r="T65" i="8"/>
  <c r="T65" i="11" s="1"/>
  <c r="U65" i="8"/>
  <c r="U65" i="11" s="1"/>
  <c r="V65" i="8"/>
  <c r="V65" i="11" s="1"/>
  <c r="W65" i="8"/>
  <c r="W65" i="11" s="1"/>
  <c r="X65" i="8"/>
  <c r="X65" i="11" s="1"/>
  <c r="Z65" i="8"/>
  <c r="Z65" i="11" s="1"/>
  <c r="AA65" i="8"/>
  <c r="AA65" i="11" s="1"/>
  <c r="L52" i="7"/>
  <c r="L51" i="7"/>
  <c r="L38" i="6"/>
  <c r="L33" i="6"/>
  <c r="P33" i="6"/>
  <c r="P62" i="6"/>
  <c r="P61" i="11" s="1"/>
  <c r="L27" i="6"/>
  <c r="L24" i="6"/>
  <c r="L51" i="5"/>
  <c r="L50" i="5"/>
  <c r="L27" i="3"/>
  <c r="L18" i="3"/>
  <c r="L59" i="2"/>
  <c r="L60" i="2"/>
  <c r="L53" i="2"/>
  <c r="L21" i="2"/>
  <c r="L58" i="1"/>
  <c r="L51" i="1"/>
  <c r="L46" i="1"/>
  <c r="L45" i="1"/>
  <c r="L27" i="1"/>
  <c r="L42" i="11"/>
  <c r="L52" i="11" s="1"/>
  <c r="L38" i="11"/>
  <c r="L32" i="11"/>
  <c r="L47" i="10"/>
  <c r="L15" i="9"/>
  <c r="L34" i="5"/>
  <c r="L44" i="1"/>
  <c r="L18" i="1"/>
  <c r="L19" i="1"/>
  <c r="L54" i="11"/>
  <c r="L56" i="11"/>
  <c r="L70" i="11"/>
  <c r="L63" i="10"/>
  <c r="J52" i="11"/>
  <c r="K52" i="11"/>
  <c r="M52" i="11"/>
  <c r="O52" i="11"/>
  <c r="Q52" i="11"/>
  <c r="R52" i="11"/>
  <c r="S52" i="11"/>
  <c r="T52" i="11"/>
  <c r="U52" i="11"/>
  <c r="V52" i="11"/>
  <c r="W52" i="11"/>
  <c r="X52" i="11"/>
  <c r="Y52" i="11"/>
  <c r="Z52" i="11"/>
  <c r="AA52" i="11"/>
  <c r="I52" i="11"/>
  <c r="J51" i="11"/>
  <c r="K51" i="11"/>
  <c r="M51" i="11"/>
  <c r="S51" i="11"/>
  <c r="T51" i="11"/>
  <c r="U51" i="11"/>
  <c r="V51" i="11"/>
  <c r="W51" i="11"/>
  <c r="X51" i="11"/>
  <c r="Y51" i="11"/>
  <c r="Z51" i="11"/>
  <c r="AA51" i="11"/>
  <c r="I51" i="11"/>
  <c r="J63" i="10"/>
  <c r="J70" i="11" s="1"/>
  <c r="K63" i="10"/>
  <c r="K70" i="11" s="1"/>
  <c r="M63" i="10"/>
  <c r="M70" i="11" s="1"/>
  <c r="N63" i="10"/>
  <c r="N70" i="11" s="1"/>
  <c r="O63" i="10"/>
  <c r="O70" i="11" s="1"/>
  <c r="Q63" i="10"/>
  <c r="Q70" i="11" s="1"/>
  <c r="R63" i="10"/>
  <c r="R70" i="11" s="1"/>
  <c r="S63" i="10"/>
  <c r="S70" i="11" s="1"/>
  <c r="T63" i="10"/>
  <c r="T70" i="11" s="1"/>
  <c r="U63" i="10"/>
  <c r="U70" i="11" s="1"/>
  <c r="V63" i="10"/>
  <c r="V70" i="11" s="1"/>
  <c r="W63" i="10"/>
  <c r="X63" i="10"/>
  <c r="X70" i="11" s="1"/>
  <c r="Y63" i="10"/>
  <c r="Y70" i="11" s="1"/>
  <c r="Z63" i="10"/>
  <c r="Z70" i="11" s="1"/>
  <c r="AA63" i="10"/>
  <c r="AA70" i="11" s="1"/>
  <c r="I63" i="10"/>
  <c r="I70" i="11" s="1"/>
  <c r="J62" i="10"/>
  <c r="J69" i="11" s="1"/>
  <c r="O62" i="10"/>
  <c r="O69" i="11" s="1"/>
  <c r="S62" i="10"/>
  <c r="S69" i="11" s="1"/>
  <c r="T62" i="10"/>
  <c r="T69" i="11" s="1"/>
  <c r="U62" i="10"/>
  <c r="U69" i="11" s="1"/>
  <c r="V62" i="10"/>
  <c r="V69" i="11" s="1"/>
  <c r="W62" i="10"/>
  <c r="W69" i="11" s="1"/>
  <c r="X62" i="10"/>
  <c r="X69" i="11" s="1"/>
  <c r="Z62" i="10"/>
  <c r="Z69" i="11" s="1"/>
  <c r="AA62" i="10"/>
  <c r="AA69" i="11" s="1"/>
  <c r="J63" i="9"/>
  <c r="J68" i="11" s="1"/>
  <c r="K63" i="9"/>
  <c r="K68" i="11" s="1"/>
  <c r="M63" i="9"/>
  <c r="M68" i="11" s="1"/>
  <c r="S63" i="9"/>
  <c r="S68" i="11" s="1"/>
  <c r="T63" i="9"/>
  <c r="T68" i="11" s="1"/>
  <c r="U63" i="9"/>
  <c r="V63" i="9"/>
  <c r="W63" i="9"/>
  <c r="X63" i="9"/>
  <c r="Y63" i="9"/>
  <c r="Y68" i="11" s="1"/>
  <c r="Z63" i="9"/>
  <c r="AA63" i="9"/>
  <c r="AA68" i="11" s="1"/>
  <c r="I63" i="9"/>
  <c r="I68" i="11" s="1"/>
  <c r="J62" i="9"/>
  <c r="S62" i="9"/>
  <c r="T62" i="9"/>
  <c r="U62" i="9"/>
  <c r="V62" i="9"/>
  <c r="V67" i="11" s="1"/>
  <c r="W62" i="9"/>
  <c r="X62" i="9"/>
  <c r="Z62" i="9"/>
  <c r="AA62" i="9"/>
  <c r="J66" i="8"/>
  <c r="J66" i="11" s="1"/>
  <c r="K66" i="8"/>
  <c r="K66" i="11" s="1"/>
  <c r="M66" i="8"/>
  <c r="M66" i="11" s="1"/>
  <c r="N66" i="8"/>
  <c r="N66" i="11" s="1"/>
  <c r="Q66" i="8"/>
  <c r="Q66" i="11" s="1"/>
  <c r="S66" i="8"/>
  <c r="S66" i="11" s="1"/>
  <c r="T66" i="8"/>
  <c r="T66" i="11" s="1"/>
  <c r="U66" i="8"/>
  <c r="U66" i="11" s="1"/>
  <c r="V66" i="8"/>
  <c r="V66" i="11" s="1"/>
  <c r="W66" i="8"/>
  <c r="Y66" i="8"/>
  <c r="Y66" i="11" s="1"/>
  <c r="Z66" i="8"/>
  <c r="Z66" i="11" s="1"/>
  <c r="AA66" i="8"/>
  <c r="AA66" i="11" s="1"/>
  <c r="I66" i="8"/>
  <c r="I66" i="11" s="1"/>
  <c r="J64" i="7"/>
  <c r="K64" i="7"/>
  <c r="K64" i="11" s="1"/>
  <c r="M64" i="7"/>
  <c r="M64" i="11" s="1"/>
  <c r="S64" i="7"/>
  <c r="S64" i="11" s="1"/>
  <c r="T64" i="7"/>
  <c r="T64" i="11" s="1"/>
  <c r="U64" i="7"/>
  <c r="U64" i="11" s="1"/>
  <c r="V64" i="7"/>
  <c r="V64" i="11" s="1"/>
  <c r="W64" i="7"/>
  <c r="W64" i="11" s="1"/>
  <c r="X64" i="7"/>
  <c r="X64" i="11" s="1"/>
  <c r="Y64" i="7"/>
  <c r="Y64" i="11" s="1"/>
  <c r="Z64" i="7"/>
  <c r="Z64" i="11" s="1"/>
  <c r="I64" i="7"/>
  <c r="I64" i="11" s="1"/>
  <c r="J63" i="7"/>
  <c r="J63" i="11" s="1"/>
  <c r="N63" i="7"/>
  <c r="Q63" i="7"/>
  <c r="R63" i="7"/>
  <c r="S63" i="7"/>
  <c r="S63" i="11" s="1"/>
  <c r="T63" i="7"/>
  <c r="T63" i="11" s="1"/>
  <c r="U63" i="7"/>
  <c r="U63" i="11" s="1"/>
  <c r="V63" i="7"/>
  <c r="V63" i="11" s="1"/>
  <c r="W63" i="7"/>
  <c r="W63" i="11" s="1"/>
  <c r="X63" i="7"/>
  <c r="Z63" i="7"/>
  <c r="Z63" i="11" s="1"/>
  <c r="J63" i="6"/>
  <c r="J62" i="11" s="1"/>
  <c r="K63" i="6"/>
  <c r="K62" i="11" s="1"/>
  <c r="M63" i="6"/>
  <c r="M62" i="11" s="1"/>
  <c r="N63" i="6"/>
  <c r="S63" i="6"/>
  <c r="S62" i="11" s="1"/>
  <c r="T63" i="6"/>
  <c r="T62" i="11" s="1"/>
  <c r="U63" i="6"/>
  <c r="U62" i="11" s="1"/>
  <c r="V63" i="6"/>
  <c r="V62" i="11" s="1"/>
  <c r="W63" i="6"/>
  <c r="W62" i="11" s="1"/>
  <c r="X63" i="6"/>
  <c r="X62" i="11" s="1"/>
  <c r="Y63" i="6"/>
  <c r="Y62" i="11" s="1"/>
  <c r="Z63" i="6"/>
  <c r="Z62" i="11" s="1"/>
  <c r="AA63" i="6"/>
  <c r="AA62" i="11" s="1"/>
  <c r="I63" i="6"/>
  <c r="I62" i="11" s="1"/>
  <c r="J62" i="6"/>
  <c r="K62" i="6"/>
  <c r="K61" i="11" s="1"/>
  <c r="M62" i="6"/>
  <c r="M61" i="11" s="1"/>
  <c r="N62" i="6"/>
  <c r="N61" i="11" s="1"/>
  <c r="O62" i="6"/>
  <c r="Q62" i="6"/>
  <c r="Q61" i="11" s="1"/>
  <c r="R62" i="6"/>
  <c r="R61" i="11" s="1"/>
  <c r="S62" i="6"/>
  <c r="S61" i="11" s="1"/>
  <c r="T62" i="6"/>
  <c r="U62" i="6"/>
  <c r="U61" i="11" s="1"/>
  <c r="V62" i="6"/>
  <c r="V61" i="11" s="1"/>
  <c r="W62" i="6"/>
  <c r="W61" i="11" s="1"/>
  <c r="X62" i="6"/>
  <c r="X61" i="11" s="1"/>
  <c r="Y62" i="6"/>
  <c r="Y61" i="11" s="1"/>
  <c r="Z62" i="6"/>
  <c r="Z61" i="11" s="1"/>
  <c r="AA62" i="6"/>
  <c r="AA61" i="11" s="1"/>
  <c r="I62" i="6"/>
  <c r="I61" i="11" s="1"/>
  <c r="J64" i="5"/>
  <c r="J60" i="11" s="1"/>
  <c r="K64" i="5"/>
  <c r="K60" i="11" s="1"/>
  <c r="M64" i="5"/>
  <c r="M60" i="11" s="1"/>
  <c r="N64" i="5"/>
  <c r="N60" i="11" s="1"/>
  <c r="O64" i="5"/>
  <c r="O60" i="11" s="1"/>
  <c r="P64" i="5"/>
  <c r="P60" i="11" s="1"/>
  <c r="S64" i="5"/>
  <c r="S60" i="11" s="1"/>
  <c r="T64" i="5"/>
  <c r="T60" i="11" s="1"/>
  <c r="U64" i="5"/>
  <c r="U60" i="11" s="1"/>
  <c r="V64" i="5"/>
  <c r="V60" i="11" s="1"/>
  <c r="W64" i="5"/>
  <c r="W60" i="11" s="1"/>
  <c r="X64" i="5"/>
  <c r="X60" i="11" s="1"/>
  <c r="Y64" i="5"/>
  <c r="Y60" i="11" s="1"/>
  <c r="Z64" i="5"/>
  <c r="Z60" i="11" s="1"/>
  <c r="AA64" i="5"/>
  <c r="AA60" i="11" s="1"/>
  <c r="I64" i="5"/>
  <c r="I60" i="11" s="1"/>
  <c r="J63" i="5"/>
  <c r="J59" i="11" s="1"/>
  <c r="K63" i="5"/>
  <c r="M63" i="5"/>
  <c r="N63" i="5"/>
  <c r="N59" i="11" s="1"/>
  <c r="O63" i="5"/>
  <c r="O59" i="11" s="1"/>
  <c r="P63" i="5"/>
  <c r="P59" i="11" s="1"/>
  <c r="Q63" i="5"/>
  <c r="R63" i="5"/>
  <c r="R59" i="11" s="1"/>
  <c r="S63" i="5"/>
  <c r="S59" i="11" s="1"/>
  <c r="T63" i="5"/>
  <c r="T59" i="11" s="1"/>
  <c r="U63" i="5"/>
  <c r="U59" i="11" s="1"/>
  <c r="V63" i="5"/>
  <c r="V59" i="11" s="1"/>
  <c r="W63" i="5"/>
  <c r="W59" i="11" s="1"/>
  <c r="X63" i="5"/>
  <c r="X59" i="11" s="1"/>
  <c r="Y63" i="5"/>
  <c r="Y59" i="11" s="1"/>
  <c r="Z63" i="5"/>
  <c r="Z59" i="11" s="1"/>
  <c r="AA63" i="5"/>
  <c r="AA59" i="11" s="1"/>
  <c r="I63" i="5"/>
  <c r="I59" i="11" s="1"/>
  <c r="J62" i="3"/>
  <c r="J58" i="11" s="1"/>
  <c r="K62" i="3"/>
  <c r="M62" i="3"/>
  <c r="M58" i="11" s="1"/>
  <c r="N62" i="3"/>
  <c r="N58" i="11" s="1"/>
  <c r="O62" i="3"/>
  <c r="O58" i="11" s="1"/>
  <c r="Q62" i="3"/>
  <c r="R62" i="3"/>
  <c r="S62" i="3"/>
  <c r="S58" i="11" s="1"/>
  <c r="T62" i="3"/>
  <c r="T58" i="11" s="1"/>
  <c r="U62" i="3"/>
  <c r="U58" i="11" s="1"/>
  <c r="V62" i="3"/>
  <c r="V58" i="11" s="1"/>
  <c r="W62" i="3"/>
  <c r="X62" i="3"/>
  <c r="Y62" i="3"/>
  <c r="Y58" i="11" s="1"/>
  <c r="Z62" i="3"/>
  <c r="Z58" i="11" s="1"/>
  <c r="AA62" i="3"/>
  <c r="I62" i="3"/>
  <c r="I58" i="11" s="1"/>
  <c r="J61" i="3"/>
  <c r="J57" i="11" s="1"/>
  <c r="O61" i="3"/>
  <c r="O57" i="11" s="1"/>
  <c r="R61" i="3"/>
  <c r="R57" i="11" s="1"/>
  <c r="S61" i="3"/>
  <c r="S57" i="11" s="1"/>
  <c r="T61" i="3"/>
  <c r="T57" i="11" s="1"/>
  <c r="U61" i="3"/>
  <c r="U57" i="11" s="1"/>
  <c r="V61" i="3"/>
  <c r="V57" i="11" s="1"/>
  <c r="W61" i="3"/>
  <c r="W57" i="11" s="1"/>
  <c r="X61" i="3"/>
  <c r="Z61" i="3"/>
  <c r="Z57" i="11" s="1"/>
  <c r="AA61" i="3"/>
  <c r="J63" i="2"/>
  <c r="J55" i="11" s="1"/>
  <c r="O63" i="2"/>
  <c r="O55" i="11" s="1"/>
  <c r="S63" i="2"/>
  <c r="S55" i="11" s="1"/>
  <c r="T63" i="2"/>
  <c r="T55" i="11" s="1"/>
  <c r="U63" i="2"/>
  <c r="U55" i="11" s="1"/>
  <c r="V63" i="2"/>
  <c r="V55" i="11" s="1"/>
  <c r="W63" i="2"/>
  <c r="W55" i="11" s="1"/>
  <c r="X63" i="2"/>
  <c r="X55" i="11" s="1"/>
  <c r="Z63" i="2"/>
  <c r="Z55" i="11" s="1"/>
  <c r="AA63" i="2"/>
  <c r="Z61" i="1"/>
  <c r="Z53" i="11" s="1"/>
  <c r="W61" i="1"/>
  <c r="W53" i="11" s="1"/>
  <c r="V61" i="1"/>
  <c r="V53" i="11" s="1"/>
  <c r="U61" i="1"/>
  <c r="U53" i="11" s="1"/>
  <c r="T61" i="1"/>
  <c r="T53" i="11" s="1"/>
  <c r="S61" i="1"/>
  <c r="S53" i="11" s="1"/>
  <c r="O61" i="1"/>
  <c r="O53" i="11" s="1"/>
  <c r="J61" i="1"/>
  <c r="J53" i="11" s="1"/>
  <c r="W70" i="11"/>
  <c r="O61" i="11"/>
  <c r="T61" i="11"/>
  <c r="K58" i="11"/>
  <c r="Q58" i="11"/>
  <c r="J67" i="11"/>
  <c r="J61" i="11"/>
  <c r="P10" i="11"/>
  <c r="R14" i="11"/>
  <c r="R13" i="11"/>
  <c r="Y15" i="10"/>
  <c r="I15" i="10" s="1"/>
  <c r="M15" i="10" s="1"/>
  <c r="N13" i="10"/>
  <c r="L13" i="10" s="1"/>
  <c r="Q18" i="10"/>
  <c r="L18" i="10" s="1"/>
  <c r="Q17" i="10"/>
  <c r="L17" i="10" s="1"/>
  <c r="N15" i="9"/>
  <c r="N62" i="9" s="1"/>
  <c r="P63" i="8"/>
  <c r="L63" i="8" s="1"/>
  <c r="P64" i="8"/>
  <c r="W66" i="11"/>
  <c r="P61" i="8"/>
  <c r="P20" i="9"/>
  <c r="P19" i="9"/>
  <c r="L19" i="9" s="1"/>
  <c r="Q17" i="9"/>
  <c r="Y16" i="9"/>
  <c r="Y62" i="9" s="1"/>
  <c r="O16" i="8"/>
  <c r="L16" i="8" s="1"/>
  <c r="P15" i="8"/>
  <c r="R19" i="8"/>
  <c r="R66" i="8" s="1"/>
  <c r="R66" i="11" s="1"/>
  <c r="O18" i="8"/>
  <c r="L18" i="8" s="1"/>
  <c r="X17" i="8"/>
  <c r="X66" i="8" s="1"/>
  <c r="X66" i="11" s="1"/>
  <c r="Q12" i="7"/>
  <c r="L12" i="7" s="1"/>
  <c r="N25" i="3"/>
  <c r="L25" i="3" s="1"/>
  <c r="N44" i="3"/>
  <c r="N61" i="3" s="1"/>
  <c r="R18" i="5"/>
  <c r="R64" i="5" s="1"/>
  <c r="P19" i="3"/>
  <c r="Q18" i="3"/>
  <c r="Q17" i="3"/>
  <c r="Q61" i="3" s="1"/>
  <c r="X15" i="3"/>
  <c r="P14" i="3"/>
  <c r="P13" i="3"/>
  <c r="Y35" i="2"/>
  <c r="M35" i="2" s="1"/>
  <c r="Y14" i="2"/>
  <c r="M14" i="2" s="1"/>
  <c r="Y13" i="2"/>
  <c r="M13" i="2" s="1"/>
  <c r="Y35" i="1"/>
  <c r="Y36" i="1"/>
  <c r="Y33" i="1"/>
  <c r="P16" i="2"/>
  <c r="R18" i="7"/>
  <c r="R64" i="7" s="1"/>
  <c r="P59" i="3"/>
  <c r="P62" i="3" s="1"/>
  <c r="O60" i="8"/>
  <c r="L60" i="8" s="1"/>
  <c r="O42" i="8"/>
  <c r="L42" i="8" s="1"/>
  <c r="P40" i="8"/>
  <c r="O61" i="7"/>
  <c r="O63" i="7" s="1"/>
  <c r="P23" i="7"/>
  <c r="X42" i="1"/>
  <c r="X61" i="1" s="1"/>
  <c r="J56" i="11"/>
  <c r="K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I56" i="11"/>
  <c r="J54" i="11"/>
  <c r="K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I54" i="11"/>
  <c r="U68" i="11"/>
  <c r="V68" i="11"/>
  <c r="W68" i="11"/>
  <c r="X68" i="11"/>
  <c r="Z68" i="11"/>
  <c r="W58" i="11"/>
  <c r="X58" i="11"/>
  <c r="P43" i="6"/>
  <c r="R52" i="6"/>
  <c r="R63" i="6" s="1"/>
  <c r="P54" i="10"/>
  <c r="P63" i="10" s="1"/>
  <c r="Q27" i="7"/>
  <c r="L27" i="7" s="1"/>
  <c r="O39" i="7"/>
  <c r="L39" i="7" s="1"/>
  <c r="O40" i="6"/>
  <c r="O63" i="6" s="1"/>
  <c r="Q35" i="5"/>
  <c r="Q64" i="5" s="1"/>
  <c r="P43" i="10"/>
  <c r="P38" i="6"/>
  <c r="Y42" i="3"/>
  <c r="M42" i="3"/>
  <c r="P54" i="6"/>
  <c r="P50" i="6"/>
  <c r="Q50" i="11"/>
  <c r="Q46" i="11"/>
  <c r="O49" i="11"/>
  <c r="O47" i="11"/>
  <c r="O44" i="11"/>
  <c r="O43" i="11"/>
  <c r="N42" i="11"/>
  <c r="N52" i="11" s="1"/>
  <c r="P41" i="11"/>
  <c r="Q16" i="11"/>
  <c r="N39" i="11"/>
  <c r="N38" i="11"/>
  <c r="R37" i="11"/>
  <c r="R51" i="11" s="1"/>
  <c r="P36" i="11"/>
  <c r="P35" i="11"/>
  <c r="R33" i="11"/>
  <c r="N32" i="11"/>
  <c r="P30" i="11"/>
  <c r="P31" i="11"/>
  <c r="O28" i="11"/>
  <c r="P27" i="11"/>
  <c r="Q26" i="11"/>
  <c r="P24" i="11"/>
  <c r="P21" i="11"/>
  <c r="Q18" i="11"/>
  <c r="Q56" i="10"/>
  <c r="Q45" i="10"/>
  <c r="Q42" i="10"/>
  <c r="Y40" i="10"/>
  <c r="K40" i="10" s="1"/>
  <c r="P39" i="10"/>
  <c r="L39" i="10" s="1"/>
  <c r="Q38" i="10"/>
  <c r="P37" i="10"/>
  <c r="P36" i="10"/>
  <c r="L36" i="10" s="1"/>
  <c r="P34" i="10"/>
  <c r="P33" i="10"/>
  <c r="L33" i="10" s="1"/>
  <c r="P32" i="10"/>
  <c r="L32" i="10" s="1"/>
  <c r="P31" i="10"/>
  <c r="Y29" i="10"/>
  <c r="M29" i="10" s="1"/>
  <c r="P28" i="10"/>
  <c r="L28" i="10" s="1"/>
  <c r="N27" i="10"/>
  <c r="L27" i="10" s="1"/>
  <c r="P26" i="10"/>
  <c r="N24" i="10"/>
  <c r="L24" i="10" s="1"/>
  <c r="P23" i="10"/>
  <c r="P21" i="10"/>
  <c r="L21" i="10" s="1"/>
  <c r="P20" i="10"/>
  <c r="P19" i="10"/>
  <c r="O41" i="9"/>
  <c r="Q40" i="9"/>
  <c r="L40" i="9" s="1"/>
  <c r="P38" i="9"/>
  <c r="R36" i="9"/>
  <c r="P28" i="9"/>
  <c r="O26" i="9"/>
  <c r="L26" i="9" s="1"/>
  <c r="Q25" i="9"/>
  <c r="L25" i="9" s="1"/>
  <c r="P24" i="9"/>
  <c r="P22" i="9"/>
  <c r="P52" i="8"/>
  <c r="P53" i="8"/>
  <c r="L53" i="8" s="1"/>
  <c r="P54" i="8"/>
  <c r="L54" i="8" s="1"/>
  <c r="P55" i="8"/>
  <c r="P50" i="8"/>
  <c r="N47" i="10"/>
  <c r="R52" i="10"/>
  <c r="R62" i="10" s="1"/>
  <c r="P49" i="10"/>
  <c r="P51" i="10"/>
  <c r="Q48" i="10"/>
  <c r="L48" i="10" s="1"/>
  <c r="P46" i="10"/>
  <c r="P61" i="9"/>
  <c r="L61" i="9" s="1"/>
  <c r="Q60" i="9"/>
  <c r="P47" i="8"/>
  <c r="P45" i="8"/>
  <c r="L45" i="8" s="1"/>
  <c r="P44" i="8"/>
  <c r="P28" i="8"/>
  <c r="P37" i="8"/>
  <c r="Y34" i="8"/>
  <c r="K34" i="8" s="1"/>
  <c r="P27" i="8"/>
  <c r="P29" i="8"/>
  <c r="P30" i="8"/>
  <c r="O58" i="9"/>
  <c r="N57" i="9"/>
  <c r="L57" i="9" s="1"/>
  <c r="R56" i="9"/>
  <c r="R63" i="9" s="1"/>
  <c r="N55" i="9"/>
  <c r="N63" i="9" s="1"/>
  <c r="P53" i="9"/>
  <c r="P52" i="9"/>
  <c r="O51" i="9"/>
  <c r="Q50" i="9"/>
  <c r="P49" i="9"/>
  <c r="R47" i="9"/>
  <c r="R62" i="9" s="1"/>
  <c r="P46" i="9"/>
  <c r="P22" i="8"/>
  <c r="L22" i="8" s="1"/>
  <c r="P23" i="8"/>
  <c r="L23" i="8" s="1"/>
  <c r="P24" i="8"/>
  <c r="P21" i="8"/>
  <c r="P58" i="7"/>
  <c r="Y57" i="7"/>
  <c r="M57" i="7" s="1"/>
  <c r="M63" i="7" s="1"/>
  <c r="P53" i="7"/>
  <c r="Q41" i="7"/>
  <c r="N30" i="7"/>
  <c r="L30" i="7" s="1"/>
  <c r="P29" i="7"/>
  <c r="O28" i="7"/>
  <c r="O22" i="7"/>
  <c r="N21" i="7"/>
  <c r="P52" i="7"/>
  <c r="P51" i="7"/>
  <c r="O56" i="6"/>
  <c r="O49" i="6"/>
  <c r="Q45" i="6"/>
  <c r="Q42" i="6"/>
  <c r="P37" i="3"/>
  <c r="P36" i="3"/>
  <c r="P35" i="3"/>
  <c r="L35" i="3" s="1"/>
  <c r="P31" i="3"/>
  <c r="Y39" i="3"/>
  <c r="P28" i="3"/>
  <c r="P27" i="3"/>
  <c r="P24" i="3"/>
  <c r="P23" i="3"/>
  <c r="P22" i="3"/>
  <c r="Y21" i="3"/>
  <c r="Y61" i="3" s="1"/>
  <c r="P60" i="2"/>
  <c r="P59" i="2"/>
  <c r="Y62" i="2"/>
  <c r="M62" i="2" s="1"/>
  <c r="Y61" i="2"/>
  <c r="I61" i="2"/>
  <c r="M61" i="2" s="1"/>
  <c r="P54" i="2"/>
  <c r="R46" i="2"/>
  <c r="R63" i="2" s="1"/>
  <c r="N45" i="2"/>
  <c r="L45" i="2" s="1"/>
  <c r="P39" i="2"/>
  <c r="P38" i="2"/>
  <c r="Q44" i="2"/>
  <c r="L44" i="2" s="1"/>
  <c r="Q34" i="2"/>
  <c r="L34" i="2" s="1"/>
  <c r="P32" i="2"/>
  <c r="L32" i="2" s="1"/>
  <c r="P31" i="2"/>
  <c r="L31" i="2" s="1"/>
  <c r="Y30" i="2"/>
  <c r="M30" i="2"/>
  <c r="P29" i="2"/>
  <c r="Y27" i="2"/>
  <c r="P24" i="2"/>
  <c r="P23" i="2"/>
  <c r="Q19" i="2"/>
  <c r="L19" i="2" s="1"/>
  <c r="Q21" i="2"/>
  <c r="Q20" i="2"/>
  <c r="L20" i="2" s="1"/>
  <c r="K18" i="2"/>
  <c r="Y18" i="2"/>
  <c r="P47" i="1"/>
  <c r="Y60" i="1"/>
  <c r="M60" i="1" s="1"/>
  <c r="Y54" i="1"/>
  <c r="M53" i="1"/>
  <c r="Q58" i="1"/>
  <c r="Q57" i="1"/>
  <c r="Y56" i="1"/>
  <c r="Q51" i="1"/>
  <c r="Q48" i="1"/>
  <c r="Q46" i="1"/>
  <c r="Q45" i="1"/>
  <c r="N44" i="1"/>
  <c r="N61" i="1" s="1"/>
  <c r="R41" i="1"/>
  <c r="P40" i="1"/>
  <c r="P39" i="1"/>
  <c r="Y38" i="1"/>
  <c r="P30" i="1"/>
  <c r="P29" i="1"/>
  <c r="Q28" i="1"/>
  <c r="Q27" i="1"/>
  <c r="Q26" i="1"/>
  <c r="R22" i="1"/>
  <c r="R61" i="1" s="1"/>
  <c r="P19" i="1"/>
  <c r="P20" i="1"/>
  <c r="P18" i="1"/>
  <c r="P17" i="1"/>
  <c r="K14" i="1"/>
  <c r="Q13" i="1"/>
  <c r="Q12" i="1"/>
  <c r="K29" i="10" l="1"/>
  <c r="L55" i="9"/>
  <c r="L63" i="9" s="1"/>
  <c r="L68" i="11" s="1"/>
  <c r="Q63" i="9"/>
  <c r="Y65" i="8"/>
  <c r="L66" i="8"/>
  <c r="L66" i="11" s="1"/>
  <c r="M34" i="8"/>
  <c r="P65" i="8"/>
  <c r="I65" i="8"/>
  <c r="I65" i="11" s="1"/>
  <c r="Q64" i="7"/>
  <c r="Q64" i="11" s="1"/>
  <c r="L61" i="7"/>
  <c r="N64" i="7"/>
  <c r="L44" i="3"/>
  <c r="L17" i="3"/>
  <c r="L61" i="3" s="1"/>
  <c r="L57" i="11" s="1"/>
  <c r="P61" i="3"/>
  <c r="K21" i="3"/>
  <c r="M21" i="3"/>
  <c r="K62" i="2"/>
  <c r="M43" i="2"/>
  <c r="K35" i="2"/>
  <c r="Y63" i="2"/>
  <c r="Y55" i="11" s="1"/>
  <c r="L64" i="7"/>
  <c r="L64" i="11" s="1"/>
  <c r="L63" i="6"/>
  <c r="L62" i="11" s="1"/>
  <c r="L64" i="5"/>
  <c r="L60" i="11" s="1"/>
  <c r="L62" i="10"/>
  <c r="L69" i="11" s="1"/>
  <c r="L62" i="9"/>
  <c r="L67" i="11" s="1"/>
  <c r="L65" i="8"/>
  <c r="L65" i="11" s="1"/>
  <c r="P66" i="8"/>
  <c r="P66" i="11" s="1"/>
  <c r="L63" i="7"/>
  <c r="L63" i="11" s="1"/>
  <c r="L62" i="6"/>
  <c r="L61" i="11" s="1"/>
  <c r="L63" i="2"/>
  <c r="L55" i="11" s="1"/>
  <c r="L51" i="11"/>
  <c r="L61" i="1"/>
  <c r="L53" i="11" s="1"/>
  <c r="Q51" i="11"/>
  <c r="O51" i="11"/>
  <c r="N51" i="11"/>
  <c r="P52" i="11"/>
  <c r="P51" i="11"/>
  <c r="N62" i="10"/>
  <c r="N69" i="11" s="1"/>
  <c r="P62" i="10"/>
  <c r="P69" i="11" s="1"/>
  <c r="Q62" i="10"/>
  <c r="Q69" i="11" s="1"/>
  <c r="I62" i="10"/>
  <c r="I69" i="11" s="1"/>
  <c r="Y62" i="10"/>
  <c r="Y69" i="11" s="1"/>
  <c r="O62" i="9"/>
  <c r="Q62" i="9"/>
  <c r="P62" i="9"/>
  <c r="P63" i="9"/>
  <c r="P68" i="11" s="1"/>
  <c r="O63" i="9"/>
  <c r="O68" i="11" s="1"/>
  <c r="I62" i="9"/>
  <c r="I67" i="11" s="1"/>
  <c r="P65" i="11"/>
  <c r="O66" i="8"/>
  <c r="O66" i="11" s="1"/>
  <c r="P64" i="7"/>
  <c r="P64" i="11" s="1"/>
  <c r="Y63" i="7"/>
  <c r="Y63" i="11" s="1"/>
  <c r="P63" i="7"/>
  <c r="P63" i="11" s="1"/>
  <c r="I63" i="7"/>
  <c r="O64" i="7"/>
  <c r="O64" i="11" s="1"/>
  <c r="Q63" i="6"/>
  <c r="Q62" i="11" s="1"/>
  <c r="P63" i="6"/>
  <c r="P62" i="11" s="1"/>
  <c r="P63" i="2"/>
  <c r="P55" i="11" s="1"/>
  <c r="Q63" i="2"/>
  <c r="Q55" i="11" s="1"/>
  <c r="N63" i="2"/>
  <c r="N55" i="11" s="1"/>
  <c r="Q61" i="1"/>
  <c r="Q53" i="11" s="1"/>
  <c r="P61" i="1"/>
  <c r="P53" i="11" s="1"/>
  <c r="Y61" i="1"/>
  <c r="Y53" i="11" s="1"/>
  <c r="X53" i="11"/>
  <c r="R55" i="11"/>
  <c r="R53" i="11"/>
  <c r="P70" i="11"/>
  <c r="R68" i="11"/>
  <c r="R62" i="11"/>
  <c r="R60" i="11"/>
  <c r="P58" i="11"/>
  <c r="X57" i="11"/>
  <c r="N57" i="11"/>
  <c r="J71" i="11"/>
  <c r="N53" i="11"/>
  <c r="K15" i="10"/>
  <c r="K62" i="10" s="1"/>
  <c r="K69" i="11" s="1"/>
  <c r="Y65" i="11"/>
  <c r="K62" i="9"/>
  <c r="N68" i="11"/>
  <c r="N64" i="11"/>
  <c r="R64" i="11"/>
  <c r="O62" i="11"/>
  <c r="Q68" i="11"/>
  <c r="P57" i="11"/>
  <c r="Q57" i="11"/>
  <c r="K13" i="2"/>
  <c r="K33" i="1"/>
  <c r="M36" i="1"/>
  <c r="M33" i="1"/>
  <c r="M35" i="1"/>
  <c r="K35" i="1"/>
  <c r="M34" i="1"/>
  <c r="K34" i="1"/>
  <c r="K36" i="1"/>
  <c r="K14" i="2"/>
  <c r="Q65" i="11"/>
  <c r="O65" i="11"/>
  <c r="R63" i="11"/>
  <c r="W72" i="11"/>
  <c r="U72" i="11"/>
  <c r="V72" i="11"/>
  <c r="Y72" i="11"/>
  <c r="X72" i="11"/>
  <c r="Q60" i="11"/>
  <c r="S72" i="11"/>
  <c r="T72" i="11"/>
  <c r="K72" i="11"/>
  <c r="V71" i="11"/>
  <c r="M72" i="11"/>
  <c r="AA72" i="11"/>
  <c r="J72" i="11"/>
  <c r="I72" i="11"/>
  <c r="Z72" i="11"/>
  <c r="N62" i="11"/>
  <c r="Q59" i="11"/>
  <c r="Y57" i="11"/>
  <c r="R58" i="11"/>
  <c r="R69" i="11"/>
  <c r="M61" i="3"/>
  <c r="K60" i="1"/>
  <c r="M14" i="1"/>
  <c r="K42" i="3"/>
  <c r="M40" i="10"/>
  <c r="M62" i="10" s="1"/>
  <c r="M46" i="8"/>
  <c r="M65" i="8" s="1"/>
  <c r="K65" i="8"/>
  <c r="Q63" i="11"/>
  <c r="X63" i="11"/>
  <c r="O63" i="11"/>
  <c r="N63" i="11"/>
  <c r="K63" i="11"/>
  <c r="M63" i="11"/>
  <c r="M59" i="11"/>
  <c r="K59" i="11"/>
  <c r="K61" i="2"/>
  <c r="M27" i="2"/>
  <c r="K30" i="2"/>
  <c r="M18" i="2"/>
  <c r="K54" i="1"/>
  <c r="M54" i="1"/>
  <c r="K53" i="1"/>
  <c r="K38" i="1"/>
  <c r="M38" i="1"/>
  <c r="K16" i="1"/>
  <c r="M16" i="1"/>
  <c r="L72" i="11" l="1"/>
  <c r="L71" i="11"/>
  <c r="K61" i="3"/>
  <c r="K57" i="11" s="1"/>
  <c r="I61" i="3"/>
  <c r="I57" i="11" s="1"/>
  <c r="M63" i="2"/>
  <c r="M55" i="11" s="1"/>
  <c r="K63" i="2"/>
  <c r="K55" i="11" s="1"/>
  <c r="I63" i="2"/>
  <c r="I55" i="11" s="1"/>
  <c r="K61" i="1"/>
  <c r="K53" i="11" s="1"/>
  <c r="I61" i="1"/>
  <c r="I53" i="11" s="1"/>
  <c r="M61" i="1"/>
  <c r="M53" i="11" s="1"/>
  <c r="J73" i="11"/>
  <c r="M69" i="11"/>
  <c r="K65" i="11"/>
  <c r="M65" i="11"/>
  <c r="R72" i="11"/>
  <c r="N72" i="11"/>
  <c r="P72" i="11"/>
  <c r="O72" i="11"/>
  <c r="Q72" i="11"/>
  <c r="V73" i="11"/>
  <c r="M57" i="11"/>
  <c r="Z67" i="11"/>
  <c r="Z71" i="11" s="1"/>
  <c r="Z73" i="11" s="1"/>
  <c r="AA67" i="11"/>
  <c r="AA71" i="11" s="1"/>
  <c r="AA73" i="11" s="1"/>
  <c r="O67" i="11"/>
  <c r="O71" i="11" s="1"/>
  <c r="U67" i="11"/>
  <c r="U71" i="11" s="1"/>
  <c r="U73" i="11" s="1"/>
  <c r="T67" i="11"/>
  <c r="T71" i="11" s="1"/>
  <c r="T73" i="11" s="1"/>
  <c r="W67" i="11"/>
  <c r="W71" i="11" s="1"/>
  <c r="W73" i="11" s="1"/>
  <c r="Q67" i="11"/>
  <c r="Q71" i="11" s="1"/>
  <c r="S67" i="11"/>
  <c r="S71" i="11" s="1"/>
  <c r="S73" i="11" s="1"/>
  <c r="Y67" i="11"/>
  <c r="Y71" i="11" s="1"/>
  <c r="Y73" i="11" s="1"/>
  <c r="N67" i="11"/>
  <c r="N71" i="11" s="1"/>
  <c r="R67" i="11"/>
  <c r="R71" i="11" s="1"/>
  <c r="X67" i="11"/>
  <c r="X71" i="11" s="1"/>
  <c r="X73" i="11" s="1"/>
  <c r="P67" i="11"/>
  <c r="P71" i="11" s="1"/>
  <c r="L73" i="11" l="1"/>
  <c r="O73" i="11"/>
  <c r="N73" i="11"/>
  <c r="R73" i="11"/>
  <c r="P73" i="11"/>
  <c r="Q73" i="11"/>
  <c r="K67" i="11"/>
  <c r="K71" i="11" s="1"/>
  <c r="K73" i="11" s="1"/>
  <c r="M67" i="11"/>
  <c r="M71" i="11" s="1"/>
  <c r="M73" i="11" s="1"/>
  <c r="I63" i="11"/>
  <c r="I71" i="11" s="1"/>
  <c r="I73" i="11" s="1"/>
</calcChain>
</file>

<file path=xl/sharedStrings.xml><?xml version="1.0" encoding="utf-8"?>
<sst xmlns="http://schemas.openxmlformats.org/spreadsheetml/2006/main" count="2659" uniqueCount="506">
  <si>
    <t>LOCATION</t>
  </si>
  <si>
    <t>STATION</t>
  </si>
  <si>
    <t>SIDE</t>
  </si>
  <si>
    <t>FROM</t>
  </si>
  <si>
    <t>TO</t>
  </si>
  <si>
    <t>TOTALS CARRIED TO GENERAL SUMMARY</t>
  </si>
  <si>
    <t>EACH</t>
  </si>
  <si>
    <t>LT.</t>
  </si>
  <si>
    <t>RT.</t>
  </si>
  <si>
    <t>FT</t>
  </si>
  <si>
    <t>WORK ZONE EDGE LINE, CLASS I</t>
  </si>
  <si>
    <t>MI</t>
  </si>
  <si>
    <t>WORK ZONE CHANNELIZING LINE, CLASS I</t>
  </si>
  <si>
    <t>WORK ZONE LANE LINE, CLASS I</t>
  </si>
  <si>
    <t>WORK ZONE CENTER LINE, CLASS I</t>
  </si>
  <si>
    <t>WORK ZONE DOTTED LINE, CLASS I</t>
  </si>
  <si>
    <t>WORK ZONE TRANSVERSE/DIAGONAL LINE, CLASS I</t>
  </si>
  <si>
    <t>WORK ZONE STOP LINE, CLASS I</t>
  </si>
  <si>
    <t>WORK ZONE CROSSWALK LINE, CLASS I</t>
  </si>
  <si>
    <t>WORK ZONE ARROW, CLASS I</t>
  </si>
  <si>
    <t>PAVEMENT FOR MAINTAINING TRAFFIC, CLASS A</t>
  </si>
  <si>
    <t>SY</t>
  </si>
  <si>
    <t>PORTABLE BARRIER, UNANCHORED</t>
  </si>
  <si>
    <t>WORK ZONE IMPACT ATTENUATOR, 24" WIDE HAZARDS (UNIDIRECTIONAL)</t>
  </si>
  <si>
    <t>INCREASED BARRIER DELINEATION</t>
  </si>
  <si>
    <t>BARRIER REFLECTOR, TYPE I</t>
  </si>
  <si>
    <t>OBJECT MARKER, ONE WAY</t>
  </si>
  <si>
    <t>REF. NO.</t>
  </si>
  <si>
    <t>WIA-1</t>
  </si>
  <si>
    <t>WIA-2</t>
  </si>
  <si>
    <t>SR-51</t>
  </si>
  <si>
    <t>RAMP C-D</t>
  </si>
  <si>
    <t>WCH-1</t>
  </si>
  <si>
    <t>WCH-2</t>
  </si>
  <si>
    <t>PB-1</t>
  </si>
  <si>
    <t>PHASE 1</t>
  </si>
  <si>
    <t>PB-2</t>
  </si>
  <si>
    <t>SR-51/RAMP C-D</t>
  </si>
  <si>
    <t>WEW-1</t>
  </si>
  <si>
    <t>WEY-1</t>
  </si>
  <si>
    <t>WEY-2</t>
  </si>
  <si>
    <t>WEW-2</t>
  </si>
  <si>
    <t>RT./LT.</t>
  </si>
  <si>
    <t>SHEET</t>
  </si>
  <si>
    <t>$MP102</t>
  </si>
  <si>
    <t>$MP103</t>
  </si>
  <si>
    <t>WCH-3</t>
  </si>
  <si>
    <t>WCH-4</t>
  </si>
  <si>
    <t>R/W US-23</t>
  </si>
  <si>
    <t>WCH-5</t>
  </si>
  <si>
    <t>WEY-3</t>
  </si>
  <si>
    <t>WEW-3</t>
  </si>
  <si>
    <t>$MP107</t>
  </si>
  <si>
    <t>PB-4</t>
  </si>
  <si>
    <t>WEY-4</t>
  </si>
  <si>
    <t>WDL-1</t>
  </si>
  <si>
    <t>WDL-2</t>
  </si>
  <si>
    <t>TP-1</t>
  </si>
  <si>
    <t>WL-1</t>
  </si>
  <si>
    <t>WCH-6</t>
  </si>
  <si>
    <t>WCH-7</t>
  </si>
  <si>
    <t>RAMP A</t>
  </si>
  <si>
    <t>LT./RT.</t>
  </si>
  <si>
    <t>WCH-8</t>
  </si>
  <si>
    <t>WEW-5</t>
  </si>
  <si>
    <t>WIA-3</t>
  </si>
  <si>
    <t>$MP108</t>
  </si>
  <si>
    <t>$MP109</t>
  </si>
  <si>
    <t>WEY-5</t>
  </si>
  <si>
    <t>PB-5</t>
  </si>
  <si>
    <t>PB-6</t>
  </si>
  <si>
    <t>PBY</t>
  </si>
  <si>
    <t xml:space="preserve">RT. </t>
  </si>
  <si>
    <t>WIA-4</t>
  </si>
  <si>
    <t>PB-7</t>
  </si>
  <si>
    <t>WCH-9</t>
  </si>
  <si>
    <t>WCH-10</t>
  </si>
  <si>
    <t>WCH-11</t>
  </si>
  <si>
    <t>WEW-6</t>
  </si>
  <si>
    <t>WEY-6</t>
  </si>
  <si>
    <t>WIA-5</t>
  </si>
  <si>
    <t>WIA-6</t>
  </si>
  <si>
    <t>RAMP C</t>
  </si>
  <si>
    <t>RAMP D</t>
  </si>
  <si>
    <t xml:space="preserve"> R/W US-23/RAMP D</t>
  </si>
  <si>
    <t>$MP110</t>
  </si>
  <si>
    <t>$MP111</t>
  </si>
  <si>
    <t>WCH-12</t>
  </si>
  <si>
    <t>PHASE 2</t>
  </si>
  <si>
    <t>$MP202</t>
  </si>
  <si>
    <t>WSL-1</t>
  </si>
  <si>
    <t>WCH-13</t>
  </si>
  <si>
    <t>WA-1</t>
  </si>
  <si>
    <t>WIA-7</t>
  </si>
  <si>
    <t>WEW-7</t>
  </si>
  <si>
    <t>WA-2</t>
  </si>
  <si>
    <t>PB-8</t>
  </si>
  <si>
    <t>WEY-7</t>
  </si>
  <si>
    <t>WEY-8</t>
  </si>
  <si>
    <t>PB-9</t>
  </si>
  <si>
    <t>WEW-8</t>
  </si>
  <si>
    <t>$MP207</t>
  </si>
  <si>
    <t>WCH-14</t>
  </si>
  <si>
    <t>WCH-15</t>
  </si>
  <si>
    <t>WEY-9</t>
  </si>
  <si>
    <t>R/W US-24</t>
  </si>
  <si>
    <t>R/W US-25</t>
  </si>
  <si>
    <t>$MP209</t>
  </si>
  <si>
    <t>TP-2</t>
  </si>
  <si>
    <t>PB-10</t>
  </si>
  <si>
    <t>WEY-10</t>
  </si>
  <si>
    <t>WEY-11</t>
  </si>
  <si>
    <t>WEW-10</t>
  </si>
  <si>
    <t>WEW-9</t>
  </si>
  <si>
    <t>WIA-9</t>
  </si>
  <si>
    <t>TP-3</t>
  </si>
  <si>
    <t>PB-12</t>
  </si>
  <si>
    <t>WEW-13</t>
  </si>
  <si>
    <t>WEW-14</t>
  </si>
  <si>
    <t>WIA-10</t>
  </si>
  <si>
    <t>WEW-12</t>
  </si>
  <si>
    <t>WIA-8</t>
  </si>
  <si>
    <t>PHASE 3</t>
  </si>
  <si>
    <t>$MP301</t>
  </si>
  <si>
    <t>160+59</t>
  </si>
  <si>
    <t>162+34</t>
  </si>
  <si>
    <t>160+86</t>
  </si>
  <si>
    <t>161+52</t>
  </si>
  <si>
    <t>161+53</t>
  </si>
  <si>
    <t>161+68</t>
  </si>
  <si>
    <t>162+18</t>
  </si>
  <si>
    <t>162+95</t>
  </si>
  <si>
    <t>162+61</t>
  </si>
  <si>
    <t>163+35</t>
  </si>
  <si>
    <t>HARROUN RD.</t>
  </si>
  <si>
    <t>166+50</t>
  </si>
  <si>
    <t>163+80</t>
  </si>
  <si>
    <t>164+33</t>
  </si>
  <si>
    <t>163+90</t>
  </si>
  <si>
    <t>164+56</t>
  </si>
  <si>
    <t>165+22</t>
  </si>
  <si>
    <t>165+88</t>
  </si>
  <si>
    <t>$MP302</t>
  </si>
  <si>
    <t>166+90</t>
  </si>
  <si>
    <t>LT</t>
  </si>
  <si>
    <t>167+22</t>
  </si>
  <si>
    <t>167+63</t>
  </si>
  <si>
    <t>15+50</t>
  </si>
  <si>
    <t>168+20</t>
  </si>
  <si>
    <t>171+33</t>
  </si>
  <si>
    <t>175+51</t>
  </si>
  <si>
    <t>168+30</t>
  </si>
  <si>
    <t>168+96</t>
  </si>
  <si>
    <t>169+62</t>
  </si>
  <si>
    <t>170+28</t>
  </si>
  <si>
    <t>174+75</t>
  </si>
  <si>
    <t>175+41</t>
  </si>
  <si>
    <t>10+00</t>
  </si>
  <si>
    <t>11+00</t>
  </si>
  <si>
    <t>11+10</t>
  </si>
  <si>
    <t>11+74</t>
  </si>
  <si>
    <t>12+40</t>
  </si>
  <si>
    <t>170+40</t>
  </si>
  <si>
    <t>175+18</t>
  </si>
  <si>
    <t>$MP303</t>
  </si>
  <si>
    <t>963+50</t>
  </si>
  <si>
    <t>$MP304</t>
  </si>
  <si>
    <t>192+17</t>
  </si>
  <si>
    <t>194+39</t>
  </si>
  <si>
    <t>192+27</t>
  </si>
  <si>
    <t>192+94</t>
  </si>
  <si>
    <t>193+60</t>
  </si>
  <si>
    <t>194+26</t>
  </si>
  <si>
    <t>$MP306</t>
  </si>
  <si>
    <t>SR-184</t>
  </si>
  <si>
    <t>37+40</t>
  </si>
  <si>
    <t>42+35</t>
  </si>
  <si>
    <t>37+62</t>
  </si>
  <si>
    <t>39+92</t>
  </si>
  <si>
    <t>45+67</t>
  </si>
  <si>
    <t>42+97</t>
  </si>
  <si>
    <t>$MP309</t>
  </si>
  <si>
    <t>16+89</t>
  </si>
  <si>
    <t>16+60</t>
  </si>
  <si>
    <t>$MP310</t>
  </si>
  <si>
    <t>971+18</t>
  </si>
  <si>
    <t>PHASE 3A</t>
  </si>
  <si>
    <t>$MP302A</t>
  </si>
  <si>
    <t>170+00</t>
  </si>
  <si>
    <t>14+12</t>
  </si>
  <si>
    <t>17+50</t>
  </si>
  <si>
    <t>12+90</t>
  </si>
  <si>
    <t>WCH-16</t>
  </si>
  <si>
    <t>WA-3</t>
  </si>
  <si>
    <t>WA-4</t>
  </si>
  <si>
    <t>WCH-17</t>
  </si>
  <si>
    <t>WCH-18</t>
  </si>
  <si>
    <t>WDL-3</t>
  </si>
  <si>
    <t>WDL-4</t>
  </si>
  <si>
    <t>WA-5</t>
  </si>
  <si>
    <t>WA-6</t>
  </si>
  <si>
    <t>WA-7</t>
  </si>
  <si>
    <t>WCL-2</t>
  </si>
  <si>
    <t>WCL-1</t>
  </si>
  <si>
    <t>WSL-2</t>
  </si>
  <si>
    <t>WCH-19</t>
  </si>
  <si>
    <t>WA-8</t>
  </si>
  <si>
    <t>WA-9</t>
  </si>
  <si>
    <t>WA-10</t>
  </si>
  <si>
    <t>WSL-3</t>
  </si>
  <si>
    <t>WEW-15</t>
  </si>
  <si>
    <t>WSL-4</t>
  </si>
  <si>
    <t>WCH-20</t>
  </si>
  <si>
    <t>WCL-3</t>
  </si>
  <si>
    <t>WA-11</t>
  </si>
  <si>
    <t>WA-12</t>
  </si>
  <si>
    <t>WA-13</t>
  </si>
  <si>
    <t>WA-14</t>
  </si>
  <si>
    <t>WA-15</t>
  </si>
  <si>
    <t>WL-2</t>
  </si>
  <si>
    <t>WSL-5</t>
  </si>
  <si>
    <t>WEW-16</t>
  </si>
  <si>
    <t>WSL-6</t>
  </si>
  <si>
    <t>WA-16</t>
  </si>
  <si>
    <t>TP-4</t>
  </si>
  <si>
    <t>WIA-11</t>
  </si>
  <si>
    <t>PB-13</t>
  </si>
  <si>
    <t>WA-17</t>
  </si>
  <si>
    <t>WA-18</t>
  </si>
  <si>
    <t>WEY-12</t>
  </si>
  <si>
    <t>WEY-13</t>
  </si>
  <si>
    <t>PB-14</t>
  </si>
  <si>
    <t>WCH-21</t>
  </si>
  <si>
    <t>WA-19</t>
  </si>
  <si>
    <t>WA-20</t>
  </si>
  <si>
    <t>WA-21</t>
  </si>
  <si>
    <t>WA-22</t>
  </si>
  <si>
    <t>WSL-7</t>
  </si>
  <si>
    <t>WA-23</t>
  </si>
  <si>
    <t>WA-24</t>
  </si>
  <si>
    <t>WEW-17</t>
  </si>
  <si>
    <t>WEY-14</t>
  </si>
  <si>
    <t>WEY-15</t>
  </si>
  <si>
    <t>WDL-5</t>
  </si>
  <si>
    <t>WEW-18</t>
  </si>
  <si>
    <t>WA-25</t>
  </si>
  <si>
    <t>WA-26</t>
  </si>
  <si>
    <t>PHASE 4</t>
  </si>
  <si>
    <t>WDLY-1</t>
  </si>
  <si>
    <t>SR-52</t>
  </si>
  <si>
    <t>$MP401</t>
  </si>
  <si>
    <t>WCH-23</t>
  </si>
  <si>
    <t>WCH-24</t>
  </si>
  <si>
    <t>WCL-4</t>
  </si>
  <si>
    <t>WEW-19</t>
  </si>
  <si>
    <t>WA-27</t>
  </si>
  <si>
    <t>WDLY-2</t>
  </si>
  <si>
    <t>WEW-20</t>
  </si>
  <si>
    <t>WSL-8</t>
  </si>
  <si>
    <t>WCL-5</t>
  </si>
  <si>
    <t>WA-28</t>
  </si>
  <si>
    <t>WA-29</t>
  </si>
  <si>
    <t>WA-30</t>
  </si>
  <si>
    <t>WA-31</t>
  </si>
  <si>
    <t>WA-32</t>
  </si>
  <si>
    <t>WA-33</t>
  </si>
  <si>
    <t>WA-34</t>
  </si>
  <si>
    <t>WA-35</t>
  </si>
  <si>
    <t>WA-36</t>
  </si>
  <si>
    <t>HARROUN RD</t>
  </si>
  <si>
    <t>WCH-25</t>
  </si>
  <si>
    <t>RT,</t>
  </si>
  <si>
    <t>WA-37</t>
  </si>
  <si>
    <t>WSL-9</t>
  </si>
  <si>
    <t>WA-38</t>
  </si>
  <si>
    <t>WA-39</t>
  </si>
  <si>
    <t>WA-40</t>
  </si>
  <si>
    <t>WA-41</t>
  </si>
  <si>
    <t>WA-42</t>
  </si>
  <si>
    <t>WA-43</t>
  </si>
  <si>
    <t>WSL-10</t>
  </si>
  <si>
    <t>WEW-21</t>
  </si>
  <si>
    <t>WL-4</t>
  </si>
  <si>
    <t>WCH-26</t>
  </si>
  <si>
    <t>$MP402</t>
  </si>
  <si>
    <t>WA-44</t>
  </si>
  <si>
    <t>WA-45</t>
  </si>
  <si>
    <t>WA-46</t>
  </si>
  <si>
    <t>WA-47</t>
  </si>
  <si>
    <t>WA-48</t>
  </si>
  <si>
    <t>WA-49</t>
  </si>
  <si>
    <t>WSL-11</t>
  </si>
  <si>
    <t>WIA-13</t>
  </si>
  <si>
    <t>WSL-12</t>
  </si>
  <si>
    <t>WEY-16</t>
  </si>
  <si>
    <t>WEY-17</t>
  </si>
  <si>
    <t>WEW-22</t>
  </si>
  <si>
    <t>PB-15</t>
  </si>
  <si>
    <t>WIA-14</t>
  </si>
  <si>
    <t>WEW-23</t>
  </si>
  <si>
    <t>WA-50</t>
  </si>
  <si>
    <t>169-22</t>
  </si>
  <si>
    <t>$MP406</t>
  </si>
  <si>
    <t>WEW-24</t>
  </si>
  <si>
    <t>WCL-6</t>
  </si>
  <si>
    <t>TP-6</t>
  </si>
  <si>
    <t>WCL-7</t>
  </si>
  <si>
    <t>WDL-6</t>
  </si>
  <si>
    <t>$MP409</t>
  </si>
  <si>
    <t>PHASE 5A</t>
  </si>
  <si>
    <t>$MP502A</t>
  </si>
  <si>
    <t>WSL-14</t>
  </si>
  <si>
    <t>WEY-18</t>
  </si>
  <si>
    <t>WEY-19</t>
  </si>
  <si>
    <t>WEW-25</t>
  </si>
  <si>
    <t>WA-52</t>
  </si>
  <si>
    <t>WA-51</t>
  </si>
  <si>
    <t>$MP503A</t>
  </si>
  <si>
    <t>WEW-26</t>
  </si>
  <si>
    <t>WL-5</t>
  </si>
  <si>
    <t>PB-16</t>
  </si>
  <si>
    <t>$MP504A</t>
  </si>
  <si>
    <t>WSL-15</t>
  </si>
  <si>
    <t>WEW-27</t>
  </si>
  <si>
    <t>WCH-29</t>
  </si>
  <si>
    <t>WCL-8</t>
  </si>
  <si>
    <t>WA-53</t>
  </si>
  <si>
    <t>WA-54</t>
  </si>
  <si>
    <t>WA-55</t>
  </si>
  <si>
    <t>WA-56</t>
  </si>
  <si>
    <t>WDL-7</t>
  </si>
  <si>
    <t>WSL-16</t>
  </si>
  <si>
    <t>WCH-30</t>
  </si>
  <si>
    <t>WCL-9</t>
  </si>
  <si>
    <t>SR-184/SR-51</t>
  </si>
  <si>
    <t>WA-57</t>
  </si>
  <si>
    <t>WA-58</t>
  </si>
  <si>
    <t>WA-59</t>
  </si>
  <si>
    <t>$MP505A</t>
  </si>
  <si>
    <t>$MP506A</t>
  </si>
  <si>
    <t>WL-6</t>
  </si>
  <si>
    <t>WDL-8</t>
  </si>
  <si>
    <t>WL-7</t>
  </si>
  <si>
    <t>WCL-10</t>
  </si>
  <si>
    <t>$MP507A</t>
  </si>
  <si>
    <t>$MP508A</t>
  </si>
  <si>
    <t>WCH-31</t>
  </si>
  <si>
    <t>WDL-9</t>
  </si>
  <si>
    <t>$MP509A</t>
  </si>
  <si>
    <t>RAMP D/ R/W US-23</t>
  </si>
  <si>
    <t>WCH-33</t>
  </si>
  <si>
    <t>WEY-21</t>
  </si>
  <si>
    <t>RAMP B</t>
  </si>
  <si>
    <t>$MP510A</t>
  </si>
  <si>
    <t>WCH-34</t>
  </si>
  <si>
    <t>$MP512A</t>
  </si>
  <si>
    <t>PHASE 4A</t>
  </si>
  <si>
    <t>$MP402A</t>
  </si>
  <si>
    <t>$MP409A</t>
  </si>
  <si>
    <t>WEW-30</t>
  </si>
  <si>
    <t>WCH-35</t>
  </si>
  <si>
    <t>WL-8</t>
  </si>
  <si>
    <t>WEW-35</t>
  </si>
  <si>
    <t>WIA-15</t>
  </si>
  <si>
    <t>WEW-31</t>
  </si>
  <si>
    <t>WEW-32</t>
  </si>
  <si>
    <t>WEW-33</t>
  </si>
  <si>
    <t>WEY-22</t>
  </si>
  <si>
    <t>WEY-23</t>
  </si>
  <si>
    <t>WEY-24</t>
  </si>
  <si>
    <t>WEW-34</t>
  </si>
  <si>
    <t>WA-60</t>
  </si>
  <si>
    <t>WA-61</t>
  </si>
  <si>
    <t>WEW-36</t>
  </si>
  <si>
    <t>WA-62</t>
  </si>
  <si>
    <t>WA-64</t>
  </si>
  <si>
    <t>WEY-25</t>
  </si>
  <si>
    <t>WEY-26</t>
  </si>
  <si>
    <t>WEY-27</t>
  </si>
  <si>
    <t>WCH-36</t>
  </si>
  <si>
    <t>WEW-37</t>
  </si>
  <si>
    <t>WEW-38</t>
  </si>
  <si>
    <t>WEW-39</t>
  </si>
  <si>
    <t>PHASE 5B</t>
  </si>
  <si>
    <t>WSL-17</t>
  </si>
  <si>
    <t>10+84</t>
  </si>
  <si>
    <t>WA-65</t>
  </si>
  <si>
    <t>WA-66</t>
  </si>
  <si>
    <t>WA-67</t>
  </si>
  <si>
    <t>WA-68</t>
  </si>
  <si>
    <t>$MP502B</t>
  </si>
  <si>
    <t>$MP504B</t>
  </si>
  <si>
    <t>WSL-18</t>
  </si>
  <si>
    <t>WDLY-3</t>
  </si>
  <si>
    <t>SR-184/ SR-51</t>
  </si>
  <si>
    <t>WDL-10</t>
  </si>
  <si>
    <t>WSL-19</t>
  </si>
  <si>
    <t>WA-69</t>
  </si>
  <si>
    <t>WCH-37</t>
  </si>
  <si>
    <t>WCH-38</t>
  </si>
  <si>
    <t>RAMP A-B/RAMP A</t>
  </si>
  <si>
    <t>RAMP A-B</t>
  </si>
  <si>
    <t>WA-70</t>
  </si>
  <si>
    <t>WA-71</t>
  </si>
  <si>
    <t xml:space="preserve">RAMP A </t>
  </si>
  <si>
    <t>WEW-40</t>
  </si>
  <si>
    <t>WEY-28</t>
  </si>
  <si>
    <t>WCH-39</t>
  </si>
  <si>
    <t xml:space="preserve">LT. </t>
  </si>
  <si>
    <t>WEW-41</t>
  </si>
  <si>
    <t>WCL-11</t>
  </si>
  <si>
    <t>WEY-29</t>
  </si>
  <si>
    <t>WEY-30</t>
  </si>
  <si>
    <t>WL-9</t>
  </si>
  <si>
    <t>WDL-11</t>
  </si>
  <si>
    <t>$MP505B</t>
  </si>
  <si>
    <t>WL-10</t>
  </si>
  <si>
    <t>$MP506B</t>
  </si>
  <si>
    <t>WCL-12</t>
  </si>
  <si>
    <t>WCL-13</t>
  </si>
  <si>
    <t>WEW-42</t>
  </si>
  <si>
    <t>$MP508B</t>
  </si>
  <si>
    <t>$MP509B</t>
  </si>
  <si>
    <t>DUAL PORTABLE BARRIER TRANSITION/TERMINATION</t>
  </si>
  <si>
    <t>TOTALS THIS SHEET</t>
  </si>
  <si>
    <t>TOTALS FROM SHEET</t>
  </si>
  <si>
    <t>WIA-16</t>
  </si>
  <si>
    <t>PB-11</t>
  </si>
  <si>
    <t>WEY-35</t>
  </si>
  <si>
    <t>WEY-36</t>
  </si>
  <si>
    <t>WEY-37</t>
  </si>
  <si>
    <t>LT/RT.</t>
  </si>
  <si>
    <t>TOTALS THIS SHEET CARRIED TO SHEET</t>
  </si>
  <si>
    <t>TP-5</t>
  </si>
  <si>
    <t>WCH-20A</t>
  </si>
  <si>
    <t>WDLY-1A</t>
  </si>
  <si>
    <t>WTLY-1</t>
  </si>
  <si>
    <t>WCL-3A</t>
  </si>
  <si>
    <t>WORK ZONE TRANSVERSE/DIAGONAL LINE, CLASS I, (YELLOW)</t>
  </si>
  <si>
    <t>WCL-5A</t>
  </si>
  <si>
    <t>WCH-25A</t>
  </si>
  <si>
    <t>WTLY-2</t>
  </si>
  <si>
    <t>WEW-39A</t>
  </si>
  <si>
    <t>TP-1A</t>
  </si>
  <si>
    <t>WEW-20A</t>
  </si>
  <si>
    <t>WA-27A</t>
  </si>
  <si>
    <t>WA-27B</t>
  </si>
  <si>
    <t>WTL-1</t>
  </si>
  <si>
    <t>DUAL PORTABLE BARRIER TRANSITION/ TERMINATION</t>
  </si>
  <si>
    <t>WORK ZONE TRANSVERSE/ DIAGONAL LINE, CLASS I</t>
  </si>
  <si>
    <t>WORK ZONE TRANSVERSE/ DIAGONAL LINE, CLASS I, (YELLOW)</t>
  </si>
  <si>
    <t>PARTICIPATION</t>
  </si>
  <si>
    <t>01/NHS/21</t>
  </si>
  <si>
    <t>02/S&gt;2/04</t>
  </si>
  <si>
    <t>WA-63</t>
  </si>
  <si>
    <t>SPLIT TOTALS CARRIED TO GENERAL SUMMARY</t>
  </si>
  <si>
    <t>WA-15A</t>
  </si>
  <si>
    <t>TP-1B</t>
  </si>
  <si>
    <t>47+38</t>
  </si>
  <si>
    <t>46+71</t>
  </si>
  <si>
    <t>46+00</t>
  </si>
  <si>
    <t>GLASGOW RD</t>
  </si>
  <si>
    <t>701+56</t>
  </si>
  <si>
    <t>TEMP NB RAMPS</t>
  </si>
  <si>
    <t>801+18</t>
  </si>
  <si>
    <t>801+28</t>
  </si>
  <si>
    <t>801+95</t>
  </si>
  <si>
    <t>47+40</t>
  </si>
  <si>
    <t>47+37</t>
  </si>
  <si>
    <t>46+74</t>
  </si>
  <si>
    <t>46+68</t>
  </si>
  <si>
    <t>SR-51/ GLASGOW RD</t>
  </si>
  <si>
    <t>701+04</t>
  </si>
  <si>
    <t>TP-7</t>
  </si>
  <si>
    <t>WCL-4A</t>
  </si>
  <si>
    <t>WSL-10A</t>
  </si>
  <si>
    <t>10+26</t>
  </si>
  <si>
    <t>RAMP C-D/GLASGOW RD</t>
  </si>
  <si>
    <t>WEW-27A</t>
  </si>
  <si>
    <t>WSL-13A</t>
  </si>
  <si>
    <t>WCL-7A</t>
  </si>
  <si>
    <t>175+11</t>
  </si>
  <si>
    <t>702+09</t>
  </si>
  <si>
    <t>SR-51/GLASGOW RD</t>
  </si>
  <si>
    <t>701+02</t>
  </si>
  <si>
    <t>12+36</t>
  </si>
  <si>
    <t>15+89</t>
  </si>
  <si>
    <t>WSL-14A</t>
  </si>
  <si>
    <t>WCL-7B</t>
  </si>
  <si>
    <t>WEW-32A</t>
  </si>
  <si>
    <t>HARRIUN RD./SR-51</t>
  </si>
  <si>
    <t>WDLW-1</t>
  </si>
  <si>
    <t>WDLW-2</t>
  </si>
  <si>
    <t>SR-51/HARROUN RD</t>
  </si>
  <si>
    <t>PB-19</t>
  </si>
  <si>
    <t>PB-20</t>
  </si>
  <si>
    <t>PB-22</t>
  </si>
  <si>
    <t>PB-21</t>
  </si>
  <si>
    <t>WIA-17</t>
  </si>
  <si>
    <t>PBA-18</t>
  </si>
  <si>
    <t>$MP211</t>
  </si>
  <si>
    <t>WORK ZONE RAISED PAVEMENT MARKER</t>
  </si>
  <si>
    <t>WL-1A</t>
  </si>
  <si>
    <t>$MP112</t>
  </si>
  <si>
    <t>01/NHS/22</t>
  </si>
  <si>
    <t>TP-8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</si>
</sst>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0\+00"/>
    <numFmt numFmtId="166" formatCode="0.000"/>
  </numFmts>
  <fonts count="18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rgb="FF000000"/>
      <name val="Calibri"/>
      <family val="2"/>
      <scheme val="minor"/>
    </font>
    <font>
      <i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4"/>
      <name val="Arial"/>
      <family val="2"/>
    </font>
    <font>
      <b/>
      <i/>
      <sz val="14"/>
      <color theme="1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2" borderId="0" applyNumberFormat="0" applyBorder="0" applyAlignment="0" applyProtection="0"/>
  </cellStyleXfs>
  <cellXfs count="20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165" fontId="1" fillId="0" borderId="16" xfId="0" applyNumberFormat="1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7" fillId="0" borderId="0" xfId="0" applyNumberFormat="1" applyFont="1"/>
    <xf numFmtId="0" fontId="7" fillId="0" borderId="0" xfId="0" applyFont="1"/>
    <xf numFmtId="165" fontId="1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" fontId="9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1" fillId="0" borderId="3" xfId="0" applyFont="1" applyBorder="1" applyAlignment="1">
      <alignment vertical="center"/>
    </xf>
    <xf numFmtId="2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5" fontId="1" fillId="0" borderId="43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" fontId="17" fillId="0" borderId="28" xfId="1" applyNumberFormat="1" applyFont="1" applyFill="1" applyBorder="1" applyAlignment="1">
      <alignment horizontal="center" vertical="center"/>
    </xf>
    <xf numFmtId="0" fontId="17" fillId="0" borderId="28" xfId="1" applyFont="1" applyFill="1" applyBorder="1" applyAlignment="1">
      <alignment horizontal="center" vertical="center"/>
    </xf>
    <xf numFmtId="2" fontId="17" fillId="0" borderId="28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8" fillId="0" borderId="32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2" fontId="10" fillId="0" borderId="41" xfId="0" applyNumberFormat="1" applyFont="1" applyBorder="1" applyAlignment="1">
      <alignment horizontal="center" vertical="center"/>
    </xf>
    <xf numFmtId="2" fontId="10" fillId="0" borderId="42" xfId="0" applyNumberFormat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10" fillId="0" borderId="41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" fontId="17" fillId="0" borderId="41" xfId="1" applyNumberFormat="1" applyFont="1" applyFill="1" applyBorder="1" applyAlignment="1">
      <alignment horizontal="center" vertical="center"/>
    </xf>
    <xf numFmtId="0" fontId="17" fillId="0" borderId="42" xfId="1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70AA-55D7-4E59-9280-6B69FA349973}">
  <sheetPr codeName="Sheet1"/>
  <dimension ref="A1:Z62"/>
  <sheetViews>
    <sheetView topLeftCell="A30" zoomScale="80" zoomScaleNormal="80" workbookViewId="0">
      <selection activeCell="Z62" sqref="A1:Z62"/>
    </sheetView>
  </sheetViews>
  <sheetFormatPr defaultRowHeight="15" x14ac:dyDescent="0.25"/>
  <cols>
    <col min="1" max="1" width="12.42578125" customWidth="1"/>
    <col min="2" max="2" width="12.7109375" customWidth="1"/>
    <col min="3" max="3" width="22.28515625" customWidth="1"/>
    <col min="4" max="4" width="9.140625" customWidth="1"/>
    <col min="5" max="5" width="8.7109375" customWidth="1"/>
    <col min="6" max="6" width="8.28515625" bestFit="1" customWidth="1"/>
    <col min="7" max="8" width="9.140625" customWidth="1"/>
    <col min="23" max="23" width="9" customWidth="1"/>
    <col min="24" max="24" width="10.28515625" bestFit="1" customWidth="1"/>
    <col min="26" max="26" width="8.85546875" customWidth="1"/>
  </cols>
  <sheetData>
    <row r="1" spans="1:26" ht="15" customHeight="1" x14ac:dyDescent="0.25">
      <c r="A1" s="114" t="s">
        <v>43</v>
      </c>
      <c r="B1" s="114" t="s">
        <v>27</v>
      </c>
      <c r="C1" s="114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</row>
    <row r="2" spans="1:26" ht="17.45" customHeight="1" x14ac:dyDescent="0.25">
      <c r="A2" s="115"/>
      <c r="B2" s="115"/>
      <c r="C2" s="115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16</v>
      </c>
      <c r="T2" s="111" t="s">
        <v>17</v>
      </c>
      <c r="U2" s="111" t="s">
        <v>18</v>
      </c>
      <c r="V2" s="111" t="s">
        <v>450</v>
      </c>
      <c r="W2" s="111" t="s">
        <v>19</v>
      </c>
      <c r="X2" s="111" t="s">
        <v>20</v>
      </c>
      <c r="Y2" s="111" t="s">
        <v>22</v>
      </c>
      <c r="Z2" s="111" t="s">
        <v>448</v>
      </c>
    </row>
    <row r="3" spans="1:26" ht="16.149999999999999" customHeight="1" x14ac:dyDescent="0.25">
      <c r="A3" s="115"/>
      <c r="B3" s="115"/>
      <c r="C3" s="115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 ht="16.149999999999999" customHeight="1" x14ac:dyDescent="0.25">
      <c r="A4" s="115"/>
      <c r="B4" s="115"/>
      <c r="C4" s="115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18" customHeight="1" x14ac:dyDescent="0.25">
      <c r="A5" s="115"/>
      <c r="B5" s="115"/>
      <c r="C5" s="115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.600000000000001" customHeight="1" x14ac:dyDescent="0.25">
      <c r="A6" s="115"/>
      <c r="B6" s="115"/>
      <c r="C6" s="115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5" customHeight="1" x14ac:dyDescent="0.25">
      <c r="A7" s="115"/>
      <c r="B7" s="115"/>
      <c r="C7" s="115"/>
      <c r="D7" s="118"/>
      <c r="E7" s="118"/>
      <c r="F7" s="120"/>
      <c r="G7" s="126"/>
      <c r="H7" s="127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</row>
    <row r="8" spans="1:26" ht="17.45" customHeight="1" thickBot="1" x14ac:dyDescent="0.3">
      <c r="A8" s="116"/>
      <c r="B8" s="116"/>
      <c r="C8" s="116"/>
      <c r="D8" s="53" t="s">
        <v>3</v>
      </c>
      <c r="E8" s="53" t="s">
        <v>4</v>
      </c>
      <c r="F8" s="121"/>
      <c r="G8" s="128"/>
      <c r="H8" s="129"/>
      <c r="I8" s="2" t="s">
        <v>9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11</v>
      </c>
      <c r="O8" s="2" t="s">
        <v>11</v>
      </c>
      <c r="P8" s="2" t="s">
        <v>11</v>
      </c>
      <c r="Q8" s="2" t="s">
        <v>9</v>
      </c>
      <c r="R8" s="2" t="s">
        <v>9</v>
      </c>
      <c r="S8" s="2" t="s">
        <v>9</v>
      </c>
      <c r="T8" s="2" t="s">
        <v>9</v>
      </c>
      <c r="U8" s="2" t="s">
        <v>9</v>
      </c>
      <c r="V8" s="2" t="s">
        <v>9</v>
      </c>
      <c r="W8" s="2" t="s">
        <v>6</v>
      </c>
      <c r="X8" s="2" t="s">
        <v>21</v>
      </c>
      <c r="Y8" s="2" t="s">
        <v>9</v>
      </c>
      <c r="Z8" s="2" t="s">
        <v>6</v>
      </c>
    </row>
    <row r="9" spans="1:26" x14ac:dyDescent="0.25">
      <c r="A9" s="130" t="s">
        <v>35</v>
      </c>
      <c r="B9" s="131"/>
      <c r="C9" s="131"/>
      <c r="D9" s="131"/>
      <c r="E9" s="131"/>
      <c r="F9" s="131"/>
      <c r="G9" s="131"/>
      <c r="H9" s="13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49" t="s">
        <v>44</v>
      </c>
      <c r="B10" s="16" t="s">
        <v>28</v>
      </c>
      <c r="C10" s="8" t="s">
        <v>30</v>
      </c>
      <c r="D10" s="107">
        <v>17394</v>
      </c>
      <c r="E10" s="108"/>
      <c r="F10" s="5" t="s">
        <v>8</v>
      </c>
      <c r="G10" s="109" t="s">
        <v>452</v>
      </c>
      <c r="H10" s="110"/>
      <c r="I10" s="3"/>
      <c r="J10" s="3">
        <v>1</v>
      </c>
      <c r="K10" s="9"/>
      <c r="L10" s="9"/>
      <c r="M10" s="9"/>
      <c r="N10" s="4"/>
      <c r="O10" s="4"/>
      <c r="P10" s="4"/>
      <c r="Q10" s="9"/>
      <c r="R10" s="9"/>
      <c r="S10" s="4"/>
      <c r="T10" s="4"/>
      <c r="U10" s="4"/>
      <c r="V10" s="4"/>
      <c r="W10" s="4"/>
      <c r="X10" s="4"/>
      <c r="Y10" s="9"/>
      <c r="Z10" s="4"/>
    </row>
    <row r="11" spans="1:26" x14ac:dyDescent="0.25">
      <c r="A11" s="49" t="s">
        <v>44</v>
      </c>
      <c r="B11" s="16" t="s">
        <v>29</v>
      </c>
      <c r="C11" s="10" t="s">
        <v>31</v>
      </c>
      <c r="D11" s="107">
        <v>1129</v>
      </c>
      <c r="E11" s="108"/>
      <c r="F11" s="5" t="s">
        <v>7</v>
      </c>
      <c r="G11" s="97" t="s">
        <v>452</v>
      </c>
      <c r="H11" s="98"/>
      <c r="I11" s="5"/>
      <c r="J11" s="5">
        <v>1</v>
      </c>
      <c r="K11" s="7"/>
      <c r="L11" s="7"/>
      <c r="M11" s="7"/>
      <c r="N11" s="6"/>
      <c r="O11" s="6"/>
      <c r="P11" s="6"/>
      <c r="Q11" s="7"/>
      <c r="R11" s="7"/>
      <c r="S11" s="6"/>
      <c r="T11" s="6"/>
      <c r="U11" s="6"/>
      <c r="V11" s="6"/>
      <c r="W11" s="6"/>
      <c r="X11" s="6"/>
      <c r="Y11" s="7"/>
      <c r="Z11" s="6"/>
    </row>
    <row r="12" spans="1:26" x14ac:dyDescent="0.25">
      <c r="A12" s="49" t="s">
        <v>44</v>
      </c>
      <c r="B12" s="16" t="s">
        <v>32</v>
      </c>
      <c r="C12" s="10" t="s">
        <v>31</v>
      </c>
      <c r="D12" s="12">
        <v>1124</v>
      </c>
      <c r="E12" s="12">
        <v>1167</v>
      </c>
      <c r="F12" s="5" t="s">
        <v>8</v>
      </c>
      <c r="G12" s="97" t="s">
        <v>452</v>
      </c>
      <c r="H12" s="98"/>
      <c r="I12" s="5"/>
      <c r="J12" s="5"/>
      <c r="K12" s="7"/>
      <c r="L12" s="7">
        <v>3</v>
      </c>
      <c r="M12" s="7"/>
      <c r="N12" s="6"/>
      <c r="O12" s="6"/>
      <c r="P12" s="6"/>
      <c r="Q12" s="7">
        <f>E12-D12</f>
        <v>43</v>
      </c>
      <c r="R12" s="7"/>
      <c r="S12" s="6"/>
      <c r="T12" s="6"/>
      <c r="U12" s="6"/>
      <c r="V12" s="6"/>
      <c r="W12" s="6"/>
      <c r="X12" s="7"/>
      <c r="Y12" s="7"/>
      <c r="Z12" s="6"/>
    </row>
    <row r="13" spans="1:26" x14ac:dyDescent="0.25">
      <c r="A13" s="49" t="s">
        <v>44</v>
      </c>
      <c r="B13" s="16" t="s">
        <v>33</v>
      </c>
      <c r="C13" s="10" t="s">
        <v>31</v>
      </c>
      <c r="D13" s="12">
        <v>1154</v>
      </c>
      <c r="E13" s="12">
        <v>1167</v>
      </c>
      <c r="F13" s="5" t="s">
        <v>8</v>
      </c>
      <c r="G13" s="97" t="s">
        <v>452</v>
      </c>
      <c r="H13" s="98"/>
      <c r="I13" s="5"/>
      <c r="J13" s="5"/>
      <c r="K13" s="7"/>
      <c r="L13" s="7">
        <v>3</v>
      </c>
      <c r="M13" s="7"/>
      <c r="N13" s="6"/>
      <c r="O13" s="6"/>
      <c r="P13" s="6"/>
      <c r="Q13" s="7">
        <f>E13-D13</f>
        <v>13</v>
      </c>
      <c r="R13" s="7"/>
      <c r="S13" s="6"/>
      <c r="T13" s="6"/>
      <c r="U13" s="6"/>
      <c r="V13" s="6"/>
      <c r="W13" s="6"/>
      <c r="X13" s="7"/>
      <c r="Y13" s="7"/>
      <c r="Z13" s="6"/>
    </row>
    <row r="14" spans="1:26" x14ac:dyDescent="0.25">
      <c r="A14" s="49" t="s">
        <v>44</v>
      </c>
      <c r="B14" s="16" t="s">
        <v>34</v>
      </c>
      <c r="C14" s="8" t="s">
        <v>31</v>
      </c>
      <c r="D14" s="12">
        <v>1129</v>
      </c>
      <c r="E14" s="12">
        <v>1550</v>
      </c>
      <c r="F14" s="5" t="s">
        <v>7</v>
      </c>
      <c r="G14" s="97" t="s">
        <v>452</v>
      </c>
      <c r="H14" s="98"/>
      <c r="I14" s="7">
        <f>83+54+260</f>
        <v>397</v>
      </c>
      <c r="J14" s="5"/>
      <c r="K14" s="7">
        <f>ROUNDUP((Y14/50)*3,0)</f>
        <v>24</v>
      </c>
      <c r="L14" s="7"/>
      <c r="M14" s="7">
        <f>ROUNDUP(Y14/50,0)</f>
        <v>8</v>
      </c>
      <c r="N14" s="6"/>
      <c r="O14" s="6"/>
      <c r="P14" s="6"/>
      <c r="Q14" s="7"/>
      <c r="R14" s="7"/>
      <c r="S14" s="6"/>
      <c r="T14" s="6"/>
      <c r="U14" s="6"/>
      <c r="V14" s="6"/>
      <c r="W14" s="6"/>
      <c r="X14" s="7"/>
      <c r="Y14" s="7">
        <f xml:space="preserve"> 83+54+260</f>
        <v>397</v>
      </c>
      <c r="Z14" s="6"/>
    </row>
    <row r="15" spans="1:26" x14ac:dyDescent="0.25">
      <c r="A15" s="49"/>
      <c r="B15" s="16"/>
      <c r="C15" s="8"/>
      <c r="D15" s="107"/>
      <c r="E15" s="108"/>
      <c r="F15" s="5"/>
      <c r="G15" s="97"/>
      <c r="H15" s="98"/>
      <c r="I15" s="7"/>
      <c r="J15" s="5"/>
      <c r="K15" s="7"/>
      <c r="L15" s="7"/>
      <c r="M15" s="7"/>
      <c r="N15" s="6"/>
      <c r="O15" s="6"/>
      <c r="P15" s="46"/>
      <c r="Q15" s="7"/>
      <c r="R15" s="7"/>
      <c r="S15" s="6"/>
      <c r="T15" s="6"/>
      <c r="U15" s="6"/>
      <c r="V15" s="6"/>
      <c r="W15" s="6"/>
      <c r="X15" s="7"/>
      <c r="Y15" s="7"/>
      <c r="Z15" s="6"/>
    </row>
    <row r="16" spans="1:26" x14ac:dyDescent="0.25">
      <c r="A16" s="49" t="s">
        <v>44</v>
      </c>
      <c r="B16" s="16" t="s">
        <v>36</v>
      </c>
      <c r="C16" s="8" t="s">
        <v>37</v>
      </c>
      <c r="D16" s="12">
        <v>17394</v>
      </c>
      <c r="E16" s="12">
        <v>1550</v>
      </c>
      <c r="F16" s="5" t="s">
        <v>8</v>
      </c>
      <c r="G16" s="97" t="s">
        <v>452</v>
      </c>
      <c r="H16" s="98"/>
      <c r="I16" s="7">
        <v>290</v>
      </c>
      <c r="J16" s="5"/>
      <c r="K16" s="7">
        <f>ROUNDUP((Y16/50)*3,0)</f>
        <v>34</v>
      </c>
      <c r="L16" s="7"/>
      <c r="M16" s="7">
        <f>ROUNDUP(Y16/50,0)</f>
        <v>12</v>
      </c>
      <c r="N16" s="6"/>
      <c r="O16" s="6"/>
      <c r="P16" s="6"/>
      <c r="Q16" s="7"/>
      <c r="R16" s="7"/>
      <c r="S16" s="6"/>
      <c r="T16" s="6"/>
      <c r="U16" s="6"/>
      <c r="V16" s="6"/>
      <c r="W16" s="6"/>
      <c r="X16" s="6"/>
      <c r="Y16" s="7">
        <f>290+35+58+168</f>
        <v>551</v>
      </c>
      <c r="Z16" s="6"/>
    </row>
    <row r="17" spans="1:26" x14ac:dyDescent="0.25">
      <c r="A17" s="49" t="s">
        <v>44</v>
      </c>
      <c r="B17" s="16" t="s">
        <v>38</v>
      </c>
      <c r="C17" s="8" t="s">
        <v>37</v>
      </c>
      <c r="D17" s="12">
        <v>17418</v>
      </c>
      <c r="E17" s="12">
        <v>1550</v>
      </c>
      <c r="F17" s="5" t="s">
        <v>42</v>
      </c>
      <c r="G17" s="97" t="s">
        <v>452</v>
      </c>
      <c r="H17" s="98"/>
      <c r="I17" s="5"/>
      <c r="J17" s="5"/>
      <c r="K17" s="7"/>
      <c r="M17" s="7"/>
      <c r="N17" s="6"/>
      <c r="O17" s="6"/>
      <c r="P17" s="6">
        <f>((247+288)/5280)</f>
        <v>0.10132575757575757</v>
      </c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49" t="s">
        <v>44</v>
      </c>
      <c r="B18" s="16" t="s">
        <v>39</v>
      </c>
      <c r="C18" s="8" t="s">
        <v>31</v>
      </c>
      <c r="D18" s="12">
        <v>1129</v>
      </c>
      <c r="E18" s="12">
        <v>1550</v>
      </c>
      <c r="F18" s="5" t="s">
        <v>7</v>
      </c>
      <c r="G18" s="97" t="s">
        <v>452</v>
      </c>
      <c r="H18" s="98"/>
      <c r="I18" s="5"/>
      <c r="J18" s="5"/>
      <c r="K18" s="7"/>
      <c r="L18" s="7">
        <f xml:space="preserve"> ROUNDUP((P18*5280)/80, 0)</f>
        <v>6</v>
      </c>
      <c r="M18" s="7"/>
      <c r="N18" s="6"/>
      <c r="O18" s="6"/>
      <c r="P18" s="6">
        <f>(E18-D18)/5280</f>
        <v>7.9734848484848492E-2</v>
      </c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49" t="s">
        <v>44</v>
      </c>
      <c r="B19" s="16" t="s">
        <v>40</v>
      </c>
      <c r="C19" s="8" t="s">
        <v>31</v>
      </c>
      <c r="D19" s="12">
        <v>1144</v>
      </c>
      <c r="E19" s="12">
        <v>1550</v>
      </c>
      <c r="F19" s="5" t="s">
        <v>7</v>
      </c>
      <c r="G19" s="97" t="s">
        <v>452</v>
      </c>
      <c r="H19" s="98"/>
      <c r="I19" s="5"/>
      <c r="J19" s="5"/>
      <c r="K19" s="7"/>
      <c r="L19" s="7">
        <f xml:space="preserve"> (86/80) + (((P19*5280)-86)/40)</f>
        <v>9.0749999999999993</v>
      </c>
      <c r="M19" s="7"/>
      <c r="N19" s="6"/>
      <c r="O19" s="6"/>
      <c r="P19" s="6">
        <f>(E19-D19)/5280</f>
        <v>7.6893939393939389E-2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49" t="s">
        <v>44</v>
      </c>
      <c r="B20" s="16" t="s">
        <v>41</v>
      </c>
      <c r="C20" s="8" t="s">
        <v>31</v>
      </c>
      <c r="D20" s="12">
        <v>1151</v>
      </c>
      <c r="E20" s="12">
        <v>1550</v>
      </c>
      <c r="F20" s="5" t="s">
        <v>7</v>
      </c>
      <c r="G20" s="97" t="s">
        <v>452</v>
      </c>
      <c r="H20" s="98"/>
      <c r="I20" s="5"/>
      <c r="J20" s="5"/>
      <c r="K20" s="7"/>
      <c r="L20" s="7"/>
      <c r="M20" s="7"/>
      <c r="N20" s="6"/>
      <c r="O20" s="6"/>
      <c r="P20" s="6">
        <f>(E20-D20)/5280</f>
        <v>7.5568181818181812E-2</v>
      </c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49"/>
      <c r="B21" s="16"/>
      <c r="C21" s="8"/>
      <c r="D21" s="107"/>
      <c r="E21" s="108"/>
      <c r="F21" s="5"/>
      <c r="G21" s="97"/>
      <c r="H21" s="98"/>
      <c r="I21" s="5"/>
      <c r="J21" s="5"/>
      <c r="K21" s="7"/>
      <c r="L21" s="7"/>
      <c r="M21" s="7"/>
      <c r="N21" s="6"/>
      <c r="O21" s="6"/>
      <c r="P21" s="6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49" t="s">
        <v>44</v>
      </c>
      <c r="B22" s="16" t="s">
        <v>55</v>
      </c>
      <c r="C22" s="8" t="s">
        <v>31</v>
      </c>
      <c r="D22" s="12">
        <v>1167</v>
      </c>
      <c r="E22" s="12">
        <v>1225</v>
      </c>
      <c r="F22" s="5" t="s">
        <v>42</v>
      </c>
      <c r="G22" s="97" t="s">
        <v>452</v>
      </c>
      <c r="H22" s="98"/>
      <c r="I22" s="5"/>
      <c r="J22" s="5"/>
      <c r="K22" s="7"/>
      <c r="L22" s="7"/>
      <c r="M22" s="7"/>
      <c r="N22" s="6"/>
      <c r="O22" s="6"/>
      <c r="P22" s="6"/>
      <c r="Q22" s="7"/>
      <c r="R22" s="7">
        <f>E22-D22</f>
        <v>58</v>
      </c>
      <c r="S22" s="6"/>
      <c r="T22" s="6"/>
      <c r="U22" s="6"/>
      <c r="V22" s="6"/>
      <c r="W22" s="6"/>
      <c r="X22" s="6"/>
      <c r="Y22" s="7"/>
      <c r="Z22" s="6"/>
    </row>
    <row r="23" spans="1:26" x14ac:dyDescent="0.25">
      <c r="A23" s="49" t="s">
        <v>44</v>
      </c>
      <c r="B23" s="16" t="s">
        <v>443</v>
      </c>
      <c r="C23" s="8" t="s">
        <v>31</v>
      </c>
      <c r="D23" s="12">
        <v>1058</v>
      </c>
      <c r="E23" s="12">
        <v>1550</v>
      </c>
      <c r="F23" s="5" t="s">
        <v>7</v>
      </c>
      <c r="G23" s="97" t="s">
        <v>452</v>
      </c>
      <c r="H23" s="98"/>
      <c r="I23" s="5"/>
      <c r="J23" s="5"/>
      <c r="K23" s="7"/>
      <c r="L23" s="7"/>
      <c r="M23" s="7"/>
      <c r="N23" s="6"/>
      <c r="O23" s="6"/>
      <c r="P23" s="6"/>
      <c r="Q23" s="7"/>
      <c r="R23" s="7"/>
      <c r="S23" s="6"/>
      <c r="T23" s="6"/>
      <c r="U23" s="6"/>
      <c r="V23" s="6"/>
      <c r="W23" s="6"/>
      <c r="X23" s="7">
        <v>500</v>
      </c>
      <c r="Y23" s="7"/>
      <c r="Z23" s="6"/>
    </row>
    <row r="24" spans="1:26" x14ac:dyDescent="0.25">
      <c r="A24" s="49" t="s">
        <v>44</v>
      </c>
      <c r="B24" s="16" t="s">
        <v>457</v>
      </c>
      <c r="C24" s="8" t="s">
        <v>31</v>
      </c>
      <c r="D24" s="12">
        <v>1151</v>
      </c>
      <c r="E24" s="12">
        <v>1550</v>
      </c>
      <c r="F24" s="5" t="s">
        <v>7</v>
      </c>
      <c r="G24" s="97" t="s">
        <v>452</v>
      </c>
      <c r="H24" s="98"/>
      <c r="I24" s="5"/>
      <c r="J24" s="5"/>
      <c r="K24" s="7"/>
      <c r="L24" s="7"/>
      <c r="M24" s="7"/>
      <c r="N24" s="6"/>
      <c r="O24" s="6"/>
      <c r="P24" s="6"/>
      <c r="Q24" s="7"/>
      <c r="R24" s="7"/>
      <c r="S24" s="6"/>
      <c r="T24" s="6"/>
      <c r="U24" s="6"/>
      <c r="V24" s="6"/>
      <c r="W24" s="6"/>
      <c r="X24" s="7">
        <v>932</v>
      </c>
      <c r="Y24" s="7"/>
      <c r="Z24" s="6"/>
    </row>
    <row r="25" spans="1:26" x14ac:dyDescent="0.25">
      <c r="A25" s="49"/>
      <c r="B25" s="16"/>
      <c r="C25" s="8"/>
      <c r="D25" s="107"/>
      <c r="E25" s="108"/>
      <c r="F25" s="5"/>
      <c r="G25" s="97"/>
      <c r="H25" s="98"/>
      <c r="I25" s="5"/>
      <c r="J25" s="5"/>
      <c r="K25" s="7"/>
      <c r="L25" s="7"/>
      <c r="M25" s="7"/>
      <c r="N25" s="6"/>
      <c r="O25" s="6"/>
      <c r="P25" s="6"/>
      <c r="Q25" s="7"/>
      <c r="R25" s="7"/>
      <c r="S25" s="6"/>
      <c r="T25" s="6"/>
      <c r="U25" s="7"/>
      <c r="V25" s="7"/>
      <c r="W25" s="7"/>
      <c r="X25" s="7"/>
      <c r="Y25" s="7"/>
      <c r="Z25" s="7"/>
    </row>
    <row r="26" spans="1:26" x14ac:dyDescent="0.25">
      <c r="A26" s="49" t="s">
        <v>45</v>
      </c>
      <c r="B26" s="16" t="s">
        <v>46</v>
      </c>
      <c r="C26" s="8" t="s">
        <v>48</v>
      </c>
      <c r="D26" s="12">
        <v>95550</v>
      </c>
      <c r="E26" s="12">
        <v>96350</v>
      </c>
      <c r="F26" s="5" t="s">
        <v>7</v>
      </c>
      <c r="G26" s="97" t="s">
        <v>452</v>
      </c>
      <c r="H26" s="98"/>
      <c r="I26" s="5"/>
      <c r="J26" s="5"/>
      <c r="K26" s="7"/>
      <c r="L26" s="7">
        <f xml:space="preserve"> ROUNDUP(Q26/40, 0)</f>
        <v>20</v>
      </c>
      <c r="M26" s="7"/>
      <c r="N26" s="6"/>
      <c r="O26" s="6"/>
      <c r="P26" s="6"/>
      <c r="Q26" s="7">
        <f>E26-D26</f>
        <v>800</v>
      </c>
      <c r="R26" s="7"/>
      <c r="S26" s="6"/>
      <c r="T26" s="6"/>
      <c r="U26" s="6"/>
      <c r="V26" s="6"/>
      <c r="W26" s="6"/>
      <c r="X26" s="6"/>
      <c r="Y26" s="7"/>
      <c r="Z26" s="6"/>
    </row>
    <row r="27" spans="1:26" x14ac:dyDescent="0.25">
      <c r="A27" s="49" t="s">
        <v>45</v>
      </c>
      <c r="B27" s="16" t="s">
        <v>47</v>
      </c>
      <c r="C27" s="8" t="s">
        <v>48</v>
      </c>
      <c r="D27" s="12">
        <v>95967</v>
      </c>
      <c r="E27" s="12">
        <v>96134</v>
      </c>
      <c r="F27" s="5" t="s">
        <v>7</v>
      </c>
      <c r="G27" s="97" t="s">
        <v>452</v>
      </c>
      <c r="H27" s="98"/>
      <c r="I27" s="5"/>
      <c r="J27" s="5"/>
      <c r="K27" s="7"/>
      <c r="L27" s="7">
        <f xml:space="preserve"> ROUNDUP(Q27/40, 0)</f>
        <v>5</v>
      </c>
      <c r="M27" s="7"/>
      <c r="N27" s="6"/>
      <c r="O27" s="6"/>
      <c r="P27" s="6"/>
      <c r="Q27" s="7">
        <f>E27-D27</f>
        <v>167</v>
      </c>
      <c r="R27" s="7"/>
      <c r="S27" s="6"/>
      <c r="T27" s="6"/>
      <c r="U27" s="6"/>
      <c r="V27" s="6"/>
      <c r="W27" s="6"/>
      <c r="X27" s="7"/>
      <c r="Y27" s="7"/>
      <c r="Z27" s="6"/>
    </row>
    <row r="28" spans="1:26" x14ac:dyDescent="0.25">
      <c r="A28" s="49" t="s">
        <v>45</v>
      </c>
      <c r="B28" s="16" t="s">
        <v>49</v>
      </c>
      <c r="C28" s="8" t="s">
        <v>48</v>
      </c>
      <c r="D28" s="12">
        <v>95592</v>
      </c>
      <c r="E28" s="12">
        <v>96134</v>
      </c>
      <c r="F28" s="5" t="s">
        <v>7</v>
      </c>
      <c r="G28" s="97" t="s">
        <v>452</v>
      </c>
      <c r="H28" s="98"/>
      <c r="I28" s="5"/>
      <c r="J28" s="5"/>
      <c r="K28" s="7"/>
      <c r="L28" s="7">
        <v>5</v>
      </c>
      <c r="M28" s="7"/>
      <c r="N28" s="6"/>
      <c r="O28" s="6"/>
      <c r="P28" s="6"/>
      <c r="Q28" s="7">
        <f>E28-D28</f>
        <v>542</v>
      </c>
      <c r="R28" s="7"/>
      <c r="S28" s="6"/>
      <c r="T28" s="6"/>
      <c r="U28" s="6"/>
      <c r="V28" s="6"/>
      <c r="W28" s="6"/>
      <c r="X28" s="6"/>
      <c r="Y28" s="7"/>
      <c r="Z28" s="6"/>
    </row>
    <row r="29" spans="1:26" x14ac:dyDescent="0.25">
      <c r="A29" s="49" t="s">
        <v>45</v>
      </c>
      <c r="B29" s="16" t="s">
        <v>50</v>
      </c>
      <c r="C29" s="10" t="s">
        <v>48</v>
      </c>
      <c r="D29" s="12">
        <v>95550</v>
      </c>
      <c r="E29" s="12">
        <v>96134</v>
      </c>
      <c r="F29" s="5" t="s">
        <v>7</v>
      </c>
      <c r="G29" s="97" t="s">
        <v>452</v>
      </c>
      <c r="H29" s="98"/>
      <c r="I29" s="5"/>
      <c r="J29" s="5"/>
      <c r="K29" s="7"/>
      <c r="L29" s="7"/>
      <c r="M29" s="7"/>
      <c r="N29" s="6"/>
      <c r="O29" s="6"/>
      <c r="P29" s="6">
        <f>(E29-D29)/5280</f>
        <v>0.11060606060606061</v>
      </c>
      <c r="Q29" s="7"/>
      <c r="R29" s="7"/>
      <c r="S29" s="6"/>
      <c r="T29" s="6"/>
      <c r="U29" s="6"/>
      <c r="V29" s="6"/>
      <c r="W29" s="6"/>
      <c r="X29" s="6"/>
      <c r="Y29" s="7"/>
      <c r="Z29" s="6"/>
    </row>
    <row r="30" spans="1:26" x14ac:dyDescent="0.25">
      <c r="A30" s="49" t="s">
        <v>45</v>
      </c>
      <c r="B30" s="16" t="s">
        <v>51</v>
      </c>
      <c r="C30" s="10" t="s">
        <v>48</v>
      </c>
      <c r="D30" s="12">
        <v>95550</v>
      </c>
      <c r="E30" s="12">
        <v>95592</v>
      </c>
      <c r="F30" s="5" t="s">
        <v>7</v>
      </c>
      <c r="G30" s="97" t="s">
        <v>452</v>
      </c>
      <c r="H30" s="98"/>
      <c r="I30" s="5"/>
      <c r="J30" s="5"/>
      <c r="K30" s="7"/>
      <c r="L30" s="7"/>
      <c r="M30" s="7"/>
      <c r="N30" s="6"/>
      <c r="O30" s="6"/>
      <c r="P30" s="6">
        <f>(E30-D30)/5280</f>
        <v>7.9545454545454537E-3</v>
      </c>
      <c r="Q30" s="7"/>
      <c r="R30" s="7"/>
      <c r="S30" s="6"/>
      <c r="T30" s="6"/>
      <c r="U30" s="6"/>
      <c r="V30" s="6"/>
      <c r="W30" s="6"/>
      <c r="X30" s="6"/>
      <c r="Y30" s="7"/>
      <c r="Z30" s="6"/>
    </row>
    <row r="31" spans="1:26" x14ac:dyDescent="0.25">
      <c r="A31" s="49"/>
      <c r="B31" s="16"/>
      <c r="C31" s="10"/>
      <c r="D31" s="107"/>
      <c r="E31" s="108"/>
      <c r="F31" s="5"/>
      <c r="G31" s="97"/>
      <c r="H31" s="98"/>
      <c r="I31" s="5"/>
      <c r="J31" s="5"/>
      <c r="K31" s="7"/>
      <c r="L31" s="7"/>
      <c r="M31" s="7"/>
      <c r="N31" s="6"/>
      <c r="O31" s="6"/>
      <c r="P31" s="6"/>
      <c r="Q31" s="7"/>
      <c r="R31" s="7"/>
      <c r="S31" s="6"/>
      <c r="T31" s="6"/>
      <c r="U31" s="6"/>
      <c r="V31" s="6"/>
      <c r="W31" s="6"/>
      <c r="X31" s="6"/>
      <c r="Y31" s="7"/>
      <c r="Z31" s="6"/>
    </row>
    <row r="32" spans="1:26" x14ac:dyDescent="0.25">
      <c r="A32" s="49" t="s">
        <v>45</v>
      </c>
      <c r="B32" s="16" t="s">
        <v>426</v>
      </c>
      <c r="C32" s="10" t="s">
        <v>48</v>
      </c>
      <c r="D32" s="107">
        <v>96338</v>
      </c>
      <c r="E32" s="108"/>
      <c r="F32" s="5" t="s">
        <v>7</v>
      </c>
      <c r="G32" s="109" t="s">
        <v>452</v>
      </c>
      <c r="H32" s="110"/>
      <c r="I32" s="5"/>
      <c r="J32" s="5">
        <v>1</v>
      </c>
      <c r="K32" s="7"/>
      <c r="L32" s="7"/>
      <c r="M32" s="7"/>
      <c r="N32" s="6"/>
      <c r="O32" s="6"/>
      <c r="P32" s="6"/>
      <c r="Q32" s="7"/>
      <c r="R32" s="7"/>
      <c r="S32" s="6"/>
      <c r="T32" s="6"/>
      <c r="U32" s="6"/>
      <c r="V32" s="6"/>
      <c r="W32" s="6"/>
      <c r="X32" s="6"/>
      <c r="Y32" s="7"/>
      <c r="Z32" s="6"/>
    </row>
    <row r="33" spans="1:26" x14ac:dyDescent="0.25">
      <c r="A33" s="49" t="s">
        <v>45</v>
      </c>
      <c r="B33" s="16" t="s">
        <v>494</v>
      </c>
      <c r="C33" s="10" t="s">
        <v>48</v>
      </c>
      <c r="D33" s="11">
        <v>95550</v>
      </c>
      <c r="E33" s="58">
        <v>96056</v>
      </c>
      <c r="F33" s="5" t="s">
        <v>8</v>
      </c>
      <c r="G33" s="109" t="s">
        <v>452</v>
      </c>
      <c r="H33" s="110"/>
      <c r="I33" s="7"/>
      <c r="J33" s="5"/>
      <c r="K33" s="7">
        <f>ROUNDUP((Y33/50)*3,0)</f>
        <v>31</v>
      </c>
      <c r="L33" s="7"/>
      <c r="M33" s="7">
        <f>ROUNDUP(Y33/50,0)</f>
        <v>11</v>
      </c>
      <c r="N33" s="6"/>
      <c r="O33" s="6"/>
      <c r="P33" s="6"/>
      <c r="Q33" s="7"/>
      <c r="R33" s="7"/>
      <c r="S33" s="6"/>
      <c r="T33" s="6"/>
      <c r="U33" s="6"/>
      <c r="V33" s="6"/>
      <c r="W33" s="6"/>
      <c r="X33" s="6"/>
      <c r="Y33" s="7">
        <f>E33-D33</f>
        <v>506</v>
      </c>
      <c r="Z33" s="6"/>
    </row>
    <row r="34" spans="1:26" x14ac:dyDescent="0.25">
      <c r="A34" s="49" t="s">
        <v>45</v>
      </c>
      <c r="B34" s="16" t="s">
        <v>495</v>
      </c>
      <c r="C34" s="10" t="s">
        <v>48</v>
      </c>
      <c r="D34" s="11">
        <v>95550</v>
      </c>
      <c r="E34" s="58">
        <v>96061</v>
      </c>
      <c r="F34" s="5" t="s">
        <v>8</v>
      </c>
      <c r="G34" s="109" t="s">
        <v>452</v>
      </c>
      <c r="H34" s="110"/>
      <c r="I34" s="7">
        <f>27+485</f>
        <v>512</v>
      </c>
      <c r="J34" s="5"/>
      <c r="K34" s="7">
        <f>ROUNDUP((Y34/50)*3,0)</f>
        <v>31</v>
      </c>
      <c r="L34" s="7"/>
      <c r="M34" s="7">
        <f>ROUNDUP(Y34/50,0)</f>
        <v>11</v>
      </c>
      <c r="N34" s="6"/>
      <c r="O34" s="6"/>
      <c r="P34" s="6"/>
      <c r="Q34" s="7"/>
      <c r="R34" s="7"/>
      <c r="S34" s="6"/>
      <c r="T34" s="6"/>
      <c r="U34" s="6"/>
      <c r="V34" s="6"/>
      <c r="W34" s="6"/>
      <c r="X34" s="6"/>
      <c r="Y34" s="7">
        <v>512</v>
      </c>
      <c r="Z34" s="6"/>
    </row>
    <row r="35" spans="1:26" x14ac:dyDescent="0.25">
      <c r="A35" s="49" t="s">
        <v>45</v>
      </c>
      <c r="B35" s="16" t="s">
        <v>496</v>
      </c>
      <c r="C35" s="10" t="s">
        <v>48</v>
      </c>
      <c r="D35" s="11">
        <v>95835</v>
      </c>
      <c r="E35" s="58">
        <v>96350</v>
      </c>
      <c r="F35" s="5" t="s">
        <v>7</v>
      </c>
      <c r="G35" s="109" t="s">
        <v>452</v>
      </c>
      <c r="H35" s="110"/>
      <c r="I35" s="7"/>
      <c r="J35" s="5"/>
      <c r="K35" s="7">
        <f>ROUNDUP((Y35/50)*3,0)</f>
        <v>31</v>
      </c>
      <c r="L35" s="7"/>
      <c r="M35" s="7">
        <f>ROUNDUP(Y35/50,0)</f>
        <v>11</v>
      </c>
      <c r="N35" s="6"/>
      <c r="O35" s="6"/>
      <c r="P35" s="6"/>
      <c r="Q35" s="7"/>
      <c r="R35" s="7"/>
      <c r="S35" s="6"/>
      <c r="T35" s="6"/>
      <c r="U35" s="6"/>
      <c r="V35" s="6"/>
      <c r="W35" s="6"/>
      <c r="X35" s="6"/>
      <c r="Y35" s="7">
        <f>E35-D35</f>
        <v>515</v>
      </c>
      <c r="Z35" s="6"/>
    </row>
    <row r="36" spans="1:26" x14ac:dyDescent="0.25">
      <c r="A36" s="49" t="s">
        <v>45</v>
      </c>
      <c r="B36" s="16" t="s">
        <v>497</v>
      </c>
      <c r="C36" s="10" t="s">
        <v>48</v>
      </c>
      <c r="D36" s="11">
        <v>95868</v>
      </c>
      <c r="E36" s="58">
        <v>96338</v>
      </c>
      <c r="F36" s="5" t="s">
        <v>7</v>
      </c>
      <c r="G36" s="109" t="s">
        <v>452</v>
      </c>
      <c r="H36" s="110"/>
      <c r="I36" s="7"/>
      <c r="J36" s="5"/>
      <c r="K36" s="7">
        <f>ROUNDUP((Y36/50)*3,0)</f>
        <v>29</v>
      </c>
      <c r="L36" s="7"/>
      <c r="M36" s="7">
        <f>ROUNDUP(Y36/50,0)</f>
        <v>10</v>
      </c>
      <c r="N36" s="6"/>
      <c r="O36" s="6"/>
      <c r="P36" s="6"/>
      <c r="Q36" s="7"/>
      <c r="R36" s="7"/>
      <c r="S36" s="6"/>
      <c r="T36" s="6"/>
      <c r="U36" s="6"/>
      <c r="V36" s="6"/>
      <c r="W36" s="6"/>
      <c r="X36" s="6"/>
      <c r="Y36" s="7">
        <f>E36-D36</f>
        <v>470</v>
      </c>
      <c r="Z36" s="6"/>
    </row>
    <row r="37" spans="1:26" x14ac:dyDescent="0.25">
      <c r="A37" s="49"/>
      <c r="B37" s="16"/>
      <c r="C37" s="10"/>
      <c r="D37" s="11"/>
      <c r="E37" s="58"/>
      <c r="F37" s="5"/>
      <c r="G37" s="109"/>
      <c r="H37" s="110"/>
      <c r="I37" s="5"/>
      <c r="J37" s="5"/>
      <c r="K37" s="7"/>
      <c r="L37" s="7"/>
      <c r="M37" s="7"/>
      <c r="N37" s="6"/>
      <c r="O37" s="6"/>
      <c r="P37" s="6"/>
      <c r="Q37" s="7"/>
      <c r="R37" s="7"/>
      <c r="S37" s="6"/>
      <c r="T37" s="6"/>
      <c r="U37" s="6"/>
      <c r="V37" s="6"/>
      <c r="W37" s="6"/>
      <c r="X37" s="6"/>
      <c r="Y37" s="7"/>
      <c r="Z37" s="6"/>
    </row>
    <row r="38" spans="1:26" ht="15" customHeight="1" x14ac:dyDescent="0.25">
      <c r="A38" s="49" t="s">
        <v>52</v>
      </c>
      <c r="B38" s="16" t="s">
        <v>53</v>
      </c>
      <c r="C38" s="8" t="s">
        <v>48</v>
      </c>
      <c r="D38" s="12">
        <v>93550</v>
      </c>
      <c r="E38" s="12">
        <v>94550</v>
      </c>
      <c r="F38" s="5" t="s">
        <v>7</v>
      </c>
      <c r="G38" s="97" t="s">
        <v>452</v>
      </c>
      <c r="H38" s="98"/>
      <c r="I38" s="5"/>
      <c r="J38" s="5"/>
      <c r="K38" s="7">
        <f>ROUNDUP((Y38/50)*3,0)</f>
        <v>60</v>
      </c>
      <c r="L38" s="7"/>
      <c r="M38" s="7">
        <f>ROUNDUP(Y38/50,0)</f>
        <v>20</v>
      </c>
      <c r="N38" s="6"/>
      <c r="O38" s="6"/>
      <c r="P38" s="6"/>
      <c r="Q38" s="7"/>
      <c r="R38" s="7"/>
      <c r="S38" s="6"/>
      <c r="T38" s="6"/>
      <c r="U38" s="6"/>
      <c r="V38" s="6"/>
      <c r="W38" s="7"/>
      <c r="X38" s="7"/>
      <c r="Y38" s="7">
        <f>E38-D38</f>
        <v>1000</v>
      </c>
      <c r="Z38" s="6"/>
    </row>
    <row r="39" spans="1:26" ht="15" customHeight="1" x14ac:dyDescent="0.25">
      <c r="A39" s="49" t="s">
        <v>52</v>
      </c>
      <c r="B39" s="16" t="s">
        <v>38</v>
      </c>
      <c r="C39" s="8" t="s">
        <v>48</v>
      </c>
      <c r="D39" s="12">
        <v>93550</v>
      </c>
      <c r="E39" s="12">
        <v>94550</v>
      </c>
      <c r="F39" s="5" t="s">
        <v>7</v>
      </c>
      <c r="G39" s="97" t="s">
        <v>452</v>
      </c>
      <c r="H39" s="98"/>
      <c r="I39" s="5"/>
      <c r="J39" s="5"/>
      <c r="K39" s="7"/>
      <c r="L39" s="7"/>
      <c r="M39" s="7"/>
      <c r="N39" s="6"/>
      <c r="O39" s="6"/>
      <c r="P39" s="6">
        <f>(E39-D39)/5280</f>
        <v>0.18939393939393939</v>
      </c>
      <c r="Q39" s="7"/>
      <c r="R39" s="7"/>
      <c r="S39" s="6"/>
      <c r="T39" s="6"/>
      <c r="U39" s="6"/>
      <c r="V39" s="6"/>
      <c r="W39" s="6"/>
      <c r="X39" s="6"/>
      <c r="Y39" s="7"/>
      <c r="Z39" s="6"/>
    </row>
    <row r="40" spans="1:26" ht="15" customHeight="1" x14ac:dyDescent="0.25">
      <c r="A40" s="49" t="s">
        <v>52</v>
      </c>
      <c r="B40" s="16" t="s">
        <v>54</v>
      </c>
      <c r="C40" s="8" t="s">
        <v>48</v>
      </c>
      <c r="D40" s="12">
        <v>93550</v>
      </c>
      <c r="E40" s="12">
        <v>94550</v>
      </c>
      <c r="F40" s="5" t="s">
        <v>7</v>
      </c>
      <c r="G40" s="97" t="s">
        <v>452</v>
      </c>
      <c r="H40" s="98"/>
      <c r="I40" s="5"/>
      <c r="J40" s="5"/>
      <c r="K40" s="7"/>
      <c r="L40" s="7"/>
      <c r="M40" s="7"/>
      <c r="N40" s="6"/>
      <c r="O40" s="6"/>
      <c r="P40" s="6">
        <f>(E40-D40)/5280</f>
        <v>0.18939393939393939</v>
      </c>
      <c r="Q40" s="7"/>
      <c r="R40" s="7"/>
      <c r="S40" s="6"/>
      <c r="T40" s="6"/>
      <c r="U40" s="6"/>
      <c r="V40" s="6"/>
      <c r="W40" s="6"/>
      <c r="X40" s="6"/>
      <c r="Y40" s="7"/>
      <c r="Z40" s="6"/>
    </row>
    <row r="41" spans="1:26" ht="15" customHeight="1" x14ac:dyDescent="0.25">
      <c r="A41" s="49" t="s">
        <v>52</v>
      </c>
      <c r="B41" s="16" t="s">
        <v>56</v>
      </c>
      <c r="C41" s="8" t="s">
        <v>48</v>
      </c>
      <c r="D41" s="12">
        <v>93550</v>
      </c>
      <c r="E41" s="12">
        <v>94550</v>
      </c>
      <c r="F41" s="5" t="s">
        <v>7</v>
      </c>
      <c r="G41" s="97" t="s">
        <v>452</v>
      </c>
      <c r="H41" s="98"/>
      <c r="I41" s="5"/>
      <c r="J41" s="5"/>
      <c r="K41" s="7"/>
      <c r="L41" s="7"/>
      <c r="M41" s="7"/>
      <c r="N41" s="6"/>
      <c r="O41" s="6"/>
      <c r="P41" s="6"/>
      <c r="Q41" s="7"/>
      <c r="R41" s="7">
        <f>E41-D41</f>
        <v>1000</v>
      </c>
      <c r="S41" s="6"/>
      <c r="T41" s="6"/>
      <c r="U41" s="6"/>
      <c r="V41" s="6"/>
      <c r="W41" s="6"/>
      <c r="X41" s="6"/>
      <c r="Y41" s="7"/>
      <c r="Z41" s="6"/>
    </row>
    <row r="42" spans="1:26" ht="15" customHeight="1" x14ac:dyDescent="0.25">
      <c r="A42" s="49" t="s">
        <v>52</v>
      </c>
      <c r="B42" s="16" t="s">
        <v>57</v>
      </c>
      <c r="C42" s="8" t="s">
        <v>48</v>
      </c>
      <c r="D42" s="12">
        <v>93550</v>
      </c>
      <c r="E42" s="12">
        <v>94550</v>
      </c>
      <c r="F42" s="5" t="s">
        <v>7</v>
      </c>
      <c r="G42" s="97" t="s">
        <v>452</v>
      </c>
      <c r="H42" s="98"/>
      <c r="I42" s="5"/>
      <c r="J42" s="5"/>
      <c r="K42" s="7"/>
      <c r="L42" s="7"/>
      <c r="M42" s="7"/>
      <c r="N42" s="6"/>
      <c r="O42" s="6"/>
      <c r="P42" s="6"/>
      <c r="Q42" s="7"/>
      <c r="R42" s="7"/>
      <c r="S42" s="6"/>
      <c r="T42" s="6"/>
      <c r="U42" s="6"/>
      <c r="V42" s="6"/>
      <c r="W42" s="6"/>
      <c r="X42" s="7">
        <f xml:space="preserve"> 25951/9</f>
        <v>2883.4444444444443</v>
      </c>
      <c r="Y42" s="7"/>
      <c r="Z42" s="6"/>
    </row>
    <row r="43" spans="1:26" ht="15" customHeight="1" x14ac:dyDescent="0.25">
      <c r="A43" s="49"/>
      <c r="B43" s="16"/>
      <c r="C43" s="16"/>
      <c r="D43" s="122"/>
      <c r="E43" s="123"/>
      <c r="F43" s="16"/>
      <c r="G43" s="97"/>
      <c r="H43" s="98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7"/>
      <c r="Z43" s="6"/>
    </row>
    <row r="44" spans="1:26" ht="15" customHeight="1" x14ac:dyDescent="0.25">
      <c r="A44" s="49" t="s">
        <v>52</v>
      </c>
      <c r="B44" s="16" t="s">
        <v>58</v>
      </c>
      <c r="C44" s="8" t="s">
        <v>48</v>
      </c>
      <c r="D44" s="12">
        <v>93550</v>
      </c>
      <c r="E44" s="12">
        <v>93940</v>
      </c>
      <c r="F44" s="5" t="s">
        <v>7</v>
      </c>
      <c r="G44" s="97" t="s">
        <v>452</v>
      </c>
      <c r="H44" s="98"/>
      <c r="I44" s="5"/>
      <c r="J44" s="5"/>
      <c r="K44" s="7"/>
      <c r="L44" s="7">
        <f xml:space="preserve"> ROUNDUP((N44*5280)/80, 0)</f>
        <v>5</v>
      </c>
      <c r="M44" s="7"/>
      <c r="N44" s="6">
        <f xml:space="preserve"> (E44-D44)/5280</f>
        <v>7.3863636363636367E-2</v>
      </c>
      <c r="O44" s="6"/>
      <c r="P44" s="6"/>
      <c r="Q44" s="7"/>
      <c r="R44" s="7"/>
      <c r="S44" s="6"/>
      <c r="T44" s="6"/>
      <c r="U44" s="6"/>
      <c r="V44" s="6"/>
      <c r="W44" s="6"/>
      <c r="X44" s="6"/>
      <c r="Y44" s="7"/>
      <c r="Z44" s="6"/>
    </row>
    <row r="45" spans="1:26" ht="15" customHeight="1" x14ac:dyDescent="0.25">
      <c r="A45" s="49" t="s">
        <v>52</v>
      </c>
      <c r="B45" s="16" t="s">
        <v>59</v>
      </c>
      <c r="C45" s="13" t="s">
        <v>48</v>
      </c>
      <c r="D45" s="12">
        <v>93931</v>
      </c>
      <c r="E45" s="12">
        <v>94123</v>
      </c>
      <c r="F45" s="5" t="s">
        <v>8</v>
      </c>
      <c r="G45" s="97" t="s">
        <v>452</v>
      </c>
      <c r="H45" s="98"/>
      <c r="I45" s="5"/>
      <c r="J45" s="5"/>
      <c r="K45" s="7"/>
      <c r="L45" s="7">
        <f xml:space="preserve"> ROUNDUP(Q45/40, 0)</f>
        <v>5</v>
      </c>
      <c r="M45" s="7"/>
      <c r="N45" s="6"/>
      <c r="O45" s="6"/>
      <c r="P45" s="6"/>
      <c r="Q45" s="7">
        <f xml:space="preserve"> E45 - D45</f>
        <v>192</v>
      </c>
      <c r="R45" s="7"/>
      <c r="S45" s="6"/>
      <c r="T45" s="6"/>
      <c r="U45" s="6"/>
      <c r="V45" s="6"/>
      <c r="W45" s="6"/>
      <c r="X45" s="6"/>
      <c r="Y45" s="7"/>
      <c r="Z45" s="6"/>
    </row>
    <row r="46" spans="1:26" ht="15" customHeight="1" x14ac:dyDescent="0.25">
      <c r="A46" s="49" t="s">
        <v>52</v>
      </c>
      <c r="B46" s="16" t="s">
        <v>60</v>
      </c>
      <c r="C46" s="5" t="s">
        <v>61</v>
      </c>
      <c r="D46" s="12">
        <v>3695</v>
      </c>
      <c r="E46" s="12">
        <v>4080</v>
      </c>
      <c r="F46" s="51" t="s">
        <v>62</v>
      </c>
      <c r="G46" s="97" t="s">
        <v>452</v>
      </c>
      <c r="H46" s="98"/>
      <c r="I46" s="16"/>
      <c r="J46" s="16"/>
      <c r="K46" s="16"/>
      <c r="L46" s="16">
        <f xml:space="preserve"> ROUNDUP(5 + ((Q46-Q45)/80), 0)</f>
        <v>8</v>
      </c>
      <c r="M46" s="16"/>
      <c r="N46" s="16"/>
      <c r="O46" s="6"/>
      <c r="P46" s="6"/>
      <c r="Q46" s="7">
        <f xml:space="preserve"> E46 - D46</f>
        <v>385</v>
      </c>
      <c r="R46" s="7"/>
      <c r="S46" s="6"/>
      <c r="T46" s="6"/>
      <c r="U46" s="6"/>
      <c r="V46" s="6"/>
      <c r="W46" s="6"/>
      <c r="X46" s="6"/>
      <c r="Y46" s="7"/>
      <c r="Z46" s="6"/>
    </row>
    <row r="47" spans="1:26" ht="15" customHeight="1" x14ac:dyDescent="0.25">
      <c r="A47" s="49" t="s">
        <v>52</v>
      </c>
      <c r="B47" s="16" t="s">
        <v>64</v>
      </c>
      <c r="C47" s="5" t="s">
        <v>61</v>
      </c>
      <c r="D47" s="12">
        <v>3450</v>
      </c>
      <c r="E47" s="52">
        <v>4080</v>
      </c>
      <c r="F47" s="51" t="s">
        <v>62</v>
      </c>
      <c r="G47" s="97" t="s">
        <v>452</v>
      </c>
      <c r="H47" s="98"/>
      <c r="I47" s="16"/>
      <c r="J47" s="16"/>
      <c r="K47" s="16"/>
      <c r="L47" s="16"/>
      <c r="M47" s="16"/>
      <c r="N47" s="16"/>
      <c r="O47" s="16"/>
      <c r="P47" s="6">
        <f xml:space="preserve"> (E47 - D47) / 5280</f>
        <v>0.11931818181818182</v>
      </c>
      <c r="Q47" s="44"/>
      <c r="R47" s="7"/>
      <c r="S47" s="6"/>
      <c r="T47" s="6"/>
      <c r="U47" s="6"/>
      <c r="V47" s="6"/>
      <c r="W47" s="6"/>
      <c r="X47" s="6"/>
      <c r="Y47" s="7"/>
      <c r="Z47" s="6"/>
    </row>
    <row r="48" spans="1:26" ht="15" customHeight="1" x14ac:dyDescent="0.25">
      <c r="A48" s="49" t="s">
        <v>52</v>
      </c>
      <c r="B48" s="16" t="s">
        <v>63</v>
      </c>
      <c r="C48" s="8" t="s">
        <v>48</v>
      </c>
      <c r="D48" s="12">
        <v>93940</v>
      </c>
      <c r="E48" s="12">
        <v>94545</v>
      </c>
      <c r="F48" s="5" t="s">
        <v>7</v>
      </c>
      <c r="G48" s="97" t="s">
        <v>452</v>
      </c>
      <c r="H48" s="98"/>
      <c r="I48" s="5"/>
      <c r="J48" s="5"/>
      <c r="K48" s="7"/>
      <c r="L48" s="7"/>
      <c r="M48" s="7"/>
      <c r="N48" s="6"/>
      <c r="O48" s="6"/>
      <c r="P48" s="6"/>
      <c r="Q48" s="7">
        <f xml:space="preserve"> E48 - D48</f>
        <v>605</v>
      </c>
      <c r="R48" s="7"/>
      <c r="S48" s="6"/>
      <c r="T48" s="6"/>
      <c r="U48" s="6"/>
      <c r="V48" s="6"/>
      <c r="W48" s="6"/>
      <c r="X48" s="6"/>
      <c r="Y48" s="7"/>
      <c r="Z48" s="6"/>
    </row>
    <row r="49" spans="1:26" ht="15" customHeight="1" x14ac:dyDescent="0.25">
      <c r="A49" s="49"/>
      <c r="B49" s="16"/>
      <c r="C49" s="8"/>
      <c r="D49" s="107"/>
      <c r="E49" s="108"/>
      <c r="F49" s="5"/>
      <c r="G49" s="97"/>
      <c r="H49" s="98"/>
      <c r="I49" s="5"/>
      <c r="J49" s="5"/>
      <c r="K49" s="7"/>
      <c r="L49" s="7"/>
      <c r="M49" s="7"/>
      <c r="N49" s="6"/>
      <c r="O49" s="6"/>
      <c r="P49" s="6"/>
      <c r="Q49" s="7"/>
      <c r="R49" s="7"/>
      <c r="S49" s="6"/>
      <c r="T49" s="6"/>
      <c r="U49" s="6"/>
      <c r="V49" s="6"/>
      <c r="W49" s="6"/>
      <c r="X49" s="6"/>
      <c r="Y49" s="7"/>
      <c r="Z49" s="6"/>
    </row>
    <row r="50" spans="1:26" ht="15" customHeight="1" x14ac:dyDescent="0.25">
      <c r="A50" s="49" t="s">
        <v>52</v>
      </c>
      <c r="B50" s="16" t="s">
        <v>65</v>
      </c>
      <c r="C50" s="8" t="s">
        <v>61</v>
      </c>
      <c r="D50" s="107">
        <v>3654</v>
      </c>
      <c r="E50" s="108"/>
      <c r="F50" s="5" t="s">
        <v>8</v>
      </c>
      <c r="G50" s="97" t="s">
        <v>452</v>
      </c>
      <c r="H50" s="98"/>
      <c r="I50" s="5"/>
      <c r="J50" s="5">
        <v>1</v>
      </c>
      <c r="K50" s="7"/>
      <c r="L50" s="7"/>
      <c r="M50" s="7"/>
      <c r="N50" s="6"/>
      <c r="O50" s="6"/>
      <c r="P50" s="6"/>
      <c r="Q50" s="7"/>
      <c r="R50" s="7"/>
      <c r="S50" s="6"/>
      <c r="T50" s="6"/>
      <c r="U50" s="6"/>
      <c r="V50" s="6"/>
      <c r="W50" s="6"/>
      <c r="X50" s="6"/>
      <c r="Y50" s="7"/>
      <c r="Z50" s="6"/>
    </row>
    <row r="51" spans="1:26" ht="15" customHeight="1" x14ac:dyDescent="0.25">
      <c r="A51" s="49" t="s">
        <v>52</v>
      </c>
      <c r="B51" s="16" t="s">
        <v>68</v>
      </c>
      <c r="C51" s="8" t="s">
        <v>61</v>
      </c>
      <c r="D51" s="15">
        <v>3450</v>
      </c>
      <c r="E51" s="11">
        <v>3695</v>
      </c>
      <c r="F51" s="5" t="s">
        <v>7</v>
      </c>
      <c r="G51" s="97" t="s">
        <v>452</v>
      </c>
      <c r="H51" s="98"/>
      <c r="I51" s="5"/>
      <c r="J51" s="5"/>
      <c r="K51" s="7"/>
      <c r="L51" s="7">
        <f xml:space="preserve"> ROUNDUP(Q51/80, 0)</f>
        <v>4</v>
      </c>
      <c r="M51" s="7"/>
      <c r="N51" s="6"/>
      <c r="O51" s="6"/>
      <c r="P51" s="6"/>
      <c r="Q51" s="7">
        <f xml:space="preserve"> E51 - D51</f>
        <v>245</v>
      </c>
      <c r="R51" s="7"/>
      <c r="S51" s="6"/>
      <c r="T51" s="6"/>
      <c r="U51" s="6"/>
      <c r="V51" s="6"/>
      <c r="W51" s="6"/>
      <c r="X51" s="6"/>
      <c r="Y51" s="7"/>
      <c r="Z51" s="6"/>
    </row>
    <row r="52" spans="1:26" ht="15" customHeight="1" x14ac:dyDescent="0.25">
      <c r="A52" s="49" t="s">
        <v>52</v>
      </c>
      <c r="B52" s="16" t="s">
        <v>71</v>
      </c>
      <c r="C52" s="8" t="s">
        <v>61</v>
      </c>
      <c r="D52" s="107">
        <v>3654</v>
      </c>
      <c r="E52" s="108"/>
      <c r="F52" s="5" t="s">
        <v>8</v>
      </c>
      <c r="G52" s="97" t="s">
        <v>452</v>
      </c>
      <c r="H52" s="98"/>
      <c r="I52" s="5"/>
      <c r="J52" s="5"/>
      <c r="K52" s="7"/>
      <c r="L52" s="7"/>
      <c r="M52" s="7"/>
      <c r="N52" s="6"/>
      <c r="O52" s="6"/>
      <c r="P52" s="6"/>
      <c r="Q52" s="7"/>
      <c r="R52" s="7"/>
      <c r="S52" s="6"/>
      <c r="T52" s="6"/>
      <c r="U52" s="6"/>
      <c r="V52" s="6"/>
      <c r="W52" s="6"/>
      <c r="X52" s="6"/>
      <c r="Y52" s="7"/>
      <c r="Z52" s="7">
        <v>1</v>
      </c>
    </row>
    <row r="53" spans="1:26" ht="15" customHeight="1" x14ac:dyDescent="0.25">
      <c r="A53" s="49" t="s">
        <v>52</v>
      </c>
      <c r="B53" s="16" t="s">
        <v>69</v>
      </c>
      <c r="C53" s="8" t="s">
        <v>61</v>
      </c>
      <c r="D53" s="12">
        <v>3580</v>
      </c>
      <c r="E53" s="12">
        <v>3665</v>
      </c>
      <c r="F53" s="5" t="s">
        <v>62</v>
      </c>
      <c r="G53" s="97" t="s">
        <v>452</v>
      </c>
      <c r="H53" s="98"/>
      <c r="I53" s="5">
        <f>106+52+11</f>
        <v>169</v>
      </c>
      <c r="J53" s="5"/>
      <c r="K53" s="7">
        <f>ROUNDUP((Y53/50)*3,0)</f>
        <v>11</v>
      </c>
      <c r="L53" s="7"/>
      <c r="M53" s="7">
        <f>ROUNDUP(Y53/50,0)</f>
        <v>4</v>
      </c>
      <c r="N53" s="6"/>
      <c r="O53" s="6"/>
      <c r="P53" s="6"/>
      <c r="Q53" s="7"/>
      <c r="R53" s="7"/>
      <c r="S53" s="6"/>
      <c r="T53" s="6"/>
      <c r="U53" s="6"/>
      <c r="V53" s="6"/>
      <c r="W53" s="7"/>
      <c r="X53" s="7"/>
      <c r="Y53" s="7">
        <v>169</v>
      </c>
      <c r="Z53" s="6"/>
    </row>
    <row r="54" spans="1:26" ht="15" customHeight="1" x14ac:dyDescent="0.25">
      <c r="A54" s="49" t="s">
        <v>52</v>
      </c>
      <c r="B54" s="16" t="s">
        <v>70</v>
      </c>
      <c r="C54" s="8" t="s">
        <v>48</v>
      </c>
      <c r="D54" s="12">
        <v>94350</v>
      </c>
      <c r="E54" s="12">
        <v>94550</v>
      </c>
      <c r="F54" s="5" t="s">
        <v>8</v>
      </c>
      <c r="G54" s="97" t="s">
        <v>452</v>
      </c>
      <c r="H54" s="98"/>
      <c r="I54" s="5">
        <f>135+11</f>
        <v>146</v>
      </c>
      <c r="J54" s="5"/>
      <c r="K54" s="7">
        <f>ROUNDUP((Y54/50)*3,0)</f>
        <v>12</v>
      </c>
      <c r="L54" s="7"/>
      <c r="M54" s="7">
        <f>ROUNDUP(Y54/50,0)</f>
        <v>4</v>
      </c>
      <c r="N54" s="6"/>
      <c r="O54" s="6"/>
      <c r="P54" s="6"/>
      <c r="Q54" s="7"/>
      <c r="R54" s="7"/>
      <c r="S54" s="6"/>
      <c r="T54" s="6"/>
      <c r="U54" s="6"/>
      <c r="V54" s="6"/>
      <c r="W54" s="7"/>
      <c r="X54" s="7"/>
      <c r="Y54" s="7">
        <f>E54-D54</f>
        <v>200</v>
      </c>
      <c r="Z54" s="6"/>
    </row>
    <row r="55" spans="1:26" ht="15" customHeight="1" x14ac:dyDescent="0.25">
      <c r="A55" s="50"/>
      <c r="B55" s="16"/>
      <c r="C55" s="8"/>
      <c r="D55" s="107"/>
      <c r="E55" s="108"/>
      <c r="F55" s="5"/>
      <c r="G55" s="97"/>
      <c r="H55" s="98"/>
      <c r="I55" s="5"/>
      <c r="J55" s="5"/>
      <c r="K55" s="7"/>
      <c r="L55" s="7"/>
      <c r="M55" s="7"/>
      <c r="N55" s="6"/>
      <c r="O55" s="6"/>
      <c r="P55" s="6"/>
      <c r="Q55" s="7"/>
      <c r="R55" s="7"/>
      <c r="S55" s="6"/>
      <c r="T55" s="6"/>
      <c r="U55" s="6"/>
      <c r="V55" s="6"/>
      <c r="W55" s="6"/>
      <c r="X55" s="6"/>
      <c r="Y55" s="7"/>
      <c r="Z55" s="7"/>
    </row>
    <row r="56" spans="1:26" ht="15" customHeight="1" x14ac:dyDescent="0.25">
      <c r="A56" s="49" t="s">
        <v>66</v>
      </c>
      <c r="B56" s="16" t="s">
        <v>70</v>
      </c>
      <c r="C56" s="8" t="s">
        <v>48</v>
      </c>
      <c r="D56" s="12">
        <v>94550</v>
      </c>
      <c r="E56" s="12">
        <v>94695</v>
      </c>
      <c r="F56" s="5" t="s">
        <v>72</v>
      </c>
      <c r="G56" s="97" t="s">
        <v>452</v>
      </c>
      <c r="H56" s="98"/>
      <c r="I56" s="5"/>
      <c r="J56" s="5"/>
      <c r="K56" s="7"/>
      <c r="L56" s="7"/>
      <c r="M56" s="7"/>
      <c r="N56" s="6"/>
      <c r="O56" s="6"/>
      <c r="P56" s="6"/>
      <c r="Q56" s="7"/>
      <c r="R56" s="7"/>
      <c r="S56" s="6"/>
      <c r="T56" s="6"/>
      <c r="U56" s="6"/>
      <c r="V56" s="6"/>
      <c r="W56" s="6"/>
      <c r="X56" s="6"/>
      <c r="Y56" s="7">
        <f>E56-D56</f>
        <v>145</v>
      </c>
      <c r="Z56" s="6"/>
    </row>
    <row r="57" spans="1:26" ht="15" customHeight="1" x14ac:dyDescent="0.25">
      <c r="A57" s="49" t="s">
        <v>66</v>
      </c>
      <c r="B57" s="16" t="s">
        <v>64</v>
      </c>
      <c r="C57" s="8" t="s">
        <v>61</v>
      </c>
      <c r="D57" s="14">
        <v>3376</v>
      </c>
      <c r="E57" s="11">
        <v>3450</v>
      </c>
      <c r="F57" s="5" t="s">
        <v>7</v>
      </c>
      <c r="G57" s="97" t="s">
        <v>452</v>
      </c>
      <c r="H57" s="98"/>
      <c r="I57" s="5"/>
      <c r="J57" s="5"/>
      <c r="K57" s="7"/>
      <c r="L57" s="7"/>
      <c r="M57" s="7"/>
      <c r="N57" s="6"/>
      <c r="O57" s="6"/>
      <c r="P57" s="6"/>
      <c r="Q57" s="45">
        <f xml:space="preserve"> E57-D57</f>
        <v>74</v>
      </c>
      <c r="R57" s="7"/>
      <c r="S57" s="6"/>
      <c r="T57" s="6"/>
      <c r="U57" s="6"/>
      <c r="V57" s="6"/>
      <c r="W57" s="6"/>
      <c r="X57" s="6"/>
      <c r="Y57" s="7"/>
      <c r="Z57" s="7"/>
    </row>
    <row r="58" spans="1:26" ht="15" customHeight="1" x14ac:dyDescent="0.25">
      <c r="A58" s="49" t="s">
        <v>66</v>
      </c>
      <c r="B58" s="16" t="s">
        <v>68</v>
      </c>
      <c r="C58" s="8" t="s">
        <v>61</v>
      </c>
      <c r="D58" s="12">
        <v>3323</v>
      </c>
      <c r="E58" s="12">
        <v>3450</v>
      </c>
      <c r="F58" s="5" t="s">
        <v>7</v>
      </c>
      <c r="G58" s="97" t="s">
        <v>452</v>
      </c>
      <c r="H58" s="98"/>
      <c r="I58" s="5"/>
      <c r="J58" s="5"/>
      <c r="K58" s="7"/>
      <c r="L58" s="7">
        <f xml:space="preserve"> ROUNDUP(Q58/80, 0)</f>
        <v>2</v>
      </c>
      <c r="M58" s="7"/>
      <c r="N58" s="6"/>
      <c r="O58" s="6"/>
      <c r="P58" s="6"/>
      <c r="Q58" s="45">
        <f xml:space="preserve"> E58-D58</f>
        <v>127</v>
      </c>
      <c r="R58" s="7"/>
      <c r="S58" s="6"/>
      <c r="T58" s="6"/>
      <c r="U58" s="6"/>
      <c r="V58" s="6"/>
      <c r="W58" s="6"/>
      <c r="X58" s="6"/>
      <c r="Y58" s="7"/>
      <c r="Z58" s="7"/>
    </row>
    <row r="59" spans="1:26" ht="15" customHeight="1" x14ac:dyDescent="0.25">
      <c r="A59" s="49" t="s">
        <v>66</v>
      </c>
      <c r="B59" s="16" t="s">
        <v>73</v>
      </c>
      <c r="C59" s="8" t="s">
        <v>61</v>
      </c>
      <c r="D59" s="107">
        <v>3022</v>
      </c>
      <c r="E59" s="108"/>
      <c r="F59" s="5" t="s">
        <v>7</v>
      </c>
      <c r="G59" s="97" t="s">
        <v>452</v>
      </c>
      <c r="H59" s="98"/>
      <c r="I59" s="5"/>
      <c r="J59" s="5">
        <v>1</v>
      </c>
      <c r="K59" s="7"/>
      <c r="L59" s="7"/>
      <c r="M59" s="7"/>
      <c r="N59" s="6"/>
      <c r="O59" s="6"/>
      <c r="P59" s="6"/>
      <c r="Q59" s="7"/>
      <c r="R59" s="7"/>
      <c r="S59" s="6"/>
      <c r="T59" s="6"/>
      <c r="U59" s="6"/>
      <c r="V59" s="6"/>
      <c r="W59" s="6"/>
      <c r="X59" s="6"/>
      <c r="Y59" s="7"/>
      <c r="Z59" s="7"/>
    </row>
    <row r="60" spans="1:26" ht="15" customHeight="1" x14ac:dyDescent="0.25">
      <c r="A60" s="49" t="s">
        <v>66</v>
      </c>
      <c r="B60" s="16" t="s">
        <v>74</v>
      </c>
      <c r="C60" s="8" t="s">
        <v>61</v>
      </c>
      <c r="D60" s="12">
        <v>2996</v>
      </c>
      <c r="E60" s="12">
        <v>3034</v>
      </c>
      <c r="F60" s="5" t="s">
        <v>42</v>
      </c>
      <c r="G60" s="97" t="s">
        <v>452</v>
      </c>
      <c r="H60" s="98"/>
      <c r="I60" s="5">
        <v>47</v>
      </c>
      <c r="J60" s="5"/>
      <c r="K60" s="7">
        <f>ROUNDUP((Y60/50)*3,0)</f>
        <v>8</v>
      </c>
      <c r="L60" s="7"/>
      <c r="M60" s="7">
        <f>ROUNDUP(Y60/50,0)</f>
        <v>3</v>
      </c>
      <c r="N60" s="6"/>
      <c r="O60" s="6"/>
      <c r="P60" s="6"/>
      <c r="Q60" s="7"/>
      <c r="R60" s="7"/>
      <c r="S60" s="6"/>
      <c r="T60" s="6"/>
      <c r="U60" s="6"/>
      <c r="V60" s="6"/>
      <c r="W60" s="7"/>
      <c r="X60" s="7"/>
      <c r="Y60" s="7">
        <f>(12+118)</f>
        <v>130</v>
      </c>
      <c r="Z60" s="7"/>
    </row>
    <row r="61" spans="1:26" ht="15" customHeight="1" x14ac:dyDescent="0.25">
      <c r="A61" s="101" t="s">
        <v>432</v>
      </c>
      <c r="B61" s="102"/>
      <c r="C61" s="102"/>
      <c r="D61" s="102"/>
      <c r="E61" s="102"/>
      <c r="F61" s="103"/>
      <c r="G61" s="99" t="s">
        <v>452</v>
      </c>
      <c r="H61" s="99"/>
      <c r="I61" s="72">
        <f t="shared" ref="I61:Z61" si="0">SUM(I10:I60)</f>
        <v>1561</v>
      </c>
      <c r="J61" s="72">
        <f t="shared" si="0"/>
        <v>5</v>
      </c>
      <c r="K61" s="72">
        <f t="shared" si="0"/>
        <v>271</v>
      </c>
      <c r="L61" s="72">
        <f t="shared" ref="L61" si="1">SUM(L10:L60)</f>
        <v>75.075000000000003</v>
      </c>
      <c r="M61" s="72">
        <f t="shared" si="0"/>
        <v>94</v>
      </c>
      <c r="N61" s="75">
        <f t="shared" si="0"/>
        <v>7.3863636363636367E-2</v>
      </c>
      <c r="O61" s="75">
        <f t="shared" si="0"/>
        <v>0</v>
      </c>
      <c r="P61" s="75">
        <f t="shared" si="0"/>
        <v>0.95018939393939394</v>
      </c>
      <c r="Q61" s="72">
        <f t="shared" si="0"/>
        <v>3193</v>
      </c>
      <c r="R61" s="72">
        <f t="shared" si="0"/>
        <v>1058</v>
      </c>
      <c r="S61" s="72">
        <f t="shared" si="0"/>
        <v>0</v>
      </c>
      <c r="T61" s="72">
        <f t="shared" si="0"/>
        <v>0</v>
      </c>
      <c r="U61" s="72">
        <f t="shared" si="0"/>
        <v>0</v>
      </c>
      <c r="V61" s="72">
        <f t="shared" si="0"/>
        <v>0</v>
      </c>
      <c r="W61" s="72">
        <f t="shared" si="0"/>
        <v>0</v>
      </c>
      <c r="X61" s="72">
        <f t="shared" si="0"/>
        <v>4315.4444444444443</v>
      </c>
      <c r="Y61" s="72">
        <f t="shared" si="0"/>
        <v>4595</v>
      </c>
      <c r="Z61" s="72">
        <f t="shared" si="0"/>
        <v>1</v>
      </c>
    </row>
    <row r="62" spans="1:26" ht="15.6" customHeight="1" thickBot="1" x14ac:dyDescent="0.3">
      <c r="A62" s="104"/>
      <c r="B62" s="105"/>
      <c r="C62" s="105"/>
      <c r="D62" s="105"/>
      <c r="E62" s="105"/>
      <c r="F62" s="106"/>
      <c r="G62" s="100" t="s">
        <v>453</v>
      </c>
      <c r="H62" s="100"/>
      <c r="I62" s="69">
        <v>0</v>
      </c>
      <c r="J62" s="69">
        <v>0</v>
      </c>
      <c r="K62" s="69">
        <v>0</v>
      </c>
      <c r="L62" s="69">
        <v>1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0</v>
      </c>
      <c r="X62" s="69">
        <v>0</v>
      </c>
      <c r="Y62" s="69">
        <v>0</v>
      </c>
      <c r="Z62" s="69">
        <v>0</v>
      </c>
    </row>
  </sheetData>
  <mergeCells count="92">
    <mergeCell ref="D55:E55"/>
    <mergeCell ref="Y2:Y7"/>
    <mergeCell ref="Z2:Z7"/>
    <mergeCell ref="D25:E25"/>
    <mergeCell ref="D52:E52"/>
    <mergeCell ref="D50:E50"/>
    <mergeCell ref="D10:E10"/>
    <mergeCell ref="D11:E11"/>
    <mergeCell ref="J2:J7"/>
    <mergeCell ref="K2:K7"/>
    <mergeCell ref="M2:M7"/>
    <mergeCell ref="G1:H8"/>
    <mergeCell ref="A9:H9"/>
    <mergeCell ref="G10:H10"/>
    <mergeCell ref="D15:E15"/>
    <mergeCell ref="D32:E32"/>
    <mergeCell ref="D31:E31"/>
    <mergeCell ref="D43:E43"/>
    <mergeCell ref="D49:E49"/>
    <mergeCell ref="D21:E21"/>
    <mergeCell ref="S2:S7"/>
    <mergeCell ref="P2:P7"/>
    <mergeCell ref="Q2:Q7"/>
    <mergeCell ref="R2:R7"/>
    <mergeCell ref="G15:H15"/>
    <mergeCell ref="O2:O7"/>
    <mergeCell ref="G16:H16"/>
    <mergeCell ref="G17:H17"/>
    <mergeCell ref="G18:H18"/>
    <mergeCell ref="G19:H19"/>
    <mergeCell ref="G20:H20"/>
    <mergeCell ref="N2:N7"/>
    <mergeCell ref="G11:H11"/>
    <mergeCell ref="G12:H12"/>
    <mergeCell ref="G13:H13"/>
    <mergeCell ref="G14:H14"/>
    <mergeCell ref="W2:W7"/>
    <mergeCell ref="U2:U7"/>
    <mergeCell ref="T2:T7"/>
    <mergeCell ref="V2:V7"/>
    <mergeCell ref="X2:X7"/>
    <mergeCell ref="L2:L7"/>
    <mergeCell ref="A1:A8"/>
    <mergeCell ref="B1:B8"/>
    <mergeCell ref="D1:E7"/>
    <mergeCell ref="I2:I7"/>
    <mergeCell ref="C1:C8"/>
    <mergeCell ref="F1:F8"/>
    <mergeCell ref="G28:H28"/>
    <mergeCell ref="G29:H29"/>
    <mergeCell ref="G30:H30"/>
    <mergeCell ref="G21:H21"/>
    <mergeCell ref="G22:H22"/>
    <mergeCell ref="G23:H23"/>
    <mergeCell ref="G24:H24"/>
    <mergeCell ref="G25:H25"/>
    <mergeCell ref="G26:H26"/>
    <mergeCell ref="G27:H27"/>
    <mergeCell ref="G41:H41"/>
    <mergeCell ref="G42:H42"/>
    <mergeCell ref="G43:H43"/>
    <mergeCell ref="G44:H44"/>
    <mergeCell ref="G31:H31"/>
    <mergeCell ref="G38:H38"/>
    <mergeCell ref="G39:H39"/>
    <mergeCell ref="G40:H40"/>
    <mergeCell ref="G32:H32"/>
    <mergeCell ref="G33:H33"/>
    <mergeCell ref="G34:H34"/>
    <mergeCell ref="G35:H35"/>
    <mergeCell ref="G36:H36"/>
    <mergeCell ref="G37:H37"/>
    <mergeCell ref="G55:H55"/>
    <mergeCell ref="G56:H56"/>
    <mergeCell ref="G57:H57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8:H58"/>
    <mergeCell ref="G59:H59"/>
    <mergeCell ref="G61:H61"/>
    <mergeCell ref="G62:H62"/>
    <mergeCell ref="A61:F62"/>
    <mergeCell ref="D59:E59"/>
    <mergeCell ref="G60:H60"/>
  </mergeCells>
  <phoneticPr fontId="2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0405-8D2B-4579-B763-2AFD910A7A2A}">
  <sheetPr codeName="Sheet10"/>
  <dimension ref="A1:AB74"/>
  <sheetViews>
    <sheetView tabSelected="1" zoomScale="85" zoomScaleNormal="85" workbookViewId="0">
      <selection activeCell="AA73" sqref="A1:AA74"/>
    </sheetView>
  </sheetViews>
  <sheetFormatPr defaultRowHeight="15" x14ac:dyDescent="0.25"/>
  <cols>
    <col min="1" max="1" width="11.42578125" customWidth="1"/>
    <col min="2" max="2" width="12.7109375" customWidth="1"/>
    <col min="3" max="3" width="20" customWidth="1"/>
    <col min="4" max="5" width="9.42578125" customWidth="1"/>
    <col min="6" max="6" width="9" customWidth="1"/>
    <col min="15" max="15" width="8.85546875" customWidth="1"/>
    <col min="16" max="16" width="9" customWidth="1"/>
    <col min="17" max="17" width="8.7109375" customWidth="1"/>
    <col min="24" max="24" width="10.7109375" bestFit="1" customWidth="1"/>
    <col min="27" max="27" width="9" customWidth="1"/>
  </cols>
  <sheetData>
    <row r="1" spans="1:27" ht="15.6" customHeight="1" x14ac:dyDescent="0.25">
      <c r="A1" s="114" t="s">
        <v>43</v>
      </c>
      <c r="B1" s="117" t="s">
        <v>27</v>
      </c>
      <c r="C1" s="117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  <c r="AA1" s="1"/>
    </row>
    <row r="2" spans="1:27" ht="16.149999999999999" customHeight="1" x14ac:dyDescent="0.25">
      <c r="A2" s="115"/>
      <c r="B2" s="118"/>
      <c r="C2" s="118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16</v>
      </c>
      <c r="T2" s="111" t="s">
        <v>17</v>
      </c>
      <c r="U2" s="111" t="s">
        <v>18</v>
      </c>
      <c r="V2" s="111" t="s">
        <v>438</v>
      </c>
      <c r="W2" s="111" t="s">
        <v>19</v>
      </c>
      <c r="X2" s="111" t="s">
        <v>20</v>
      </c>
      <c r="Y2" s="111" t="s">
        <v>22</v>
      </c>
      <c r="Z2" s="111" t="s">
        <v>448</v>
      </c>
      <c r="AA2" s="183"/>
    </row>
    <row r="3" spans="1:27" ht="16.149999999999999" customHeight="1" x14ac:dyDescent="0.25">
      <c r="A3" s="115"/>
      <c r="B3" s="118"/>
      <c r="C3" s="118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84"/>
    </row>
    <row r="4" spans="1:27" ht="16.149999999999999" customHeight="1" x14ac:dyDescent="0.25">
      <c r="A4" s="115"/>
      <c r="B4" s="118"/>
      <c r="C4" s="118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84"/>
    </row>
    <row r="5" spans="1:27" ht="16.149999999999999" customHeight="1" x14ac:dyDescent="0.25">
      <c r="A5" s="115"/>
      <c r="B5" s="118"/>
      <c r="C5" s="118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84"/>
    </row>
    <row r="6" spans="1:27" ht="16.149999999999999" customHeight="1" x14ac:dyDescent="0.25">
      <c r="A6" s="115"/>
      <c r="B6" s="118"/>
      <c r="C6" s="118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84"/>
    </row>
    <row r="7" spans="1:27" ht="15.6" customHeight="1" x14ac:dyDescent="0.25">
      <c r="A7" s="115"/>
      <c r="B7" s="118"/>
      <c r="C7" s="118"/>
      <c r="D7" s="118"/>
      <c r="E7" s="118"/>
      <c r="F7" s="120"/>
      <c r="G7" s="126"/>
      <c r="H7" s="127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85"/>
    </row>
    <row r="8" spans="1:27" ht="16.149999999999999" customHeight="1" thickBot="1" x14ac:dyDescent="0.3">
      <c r="A8" s="116"/>
      <c r="B8" s="175"/>
      <c r="C8" s="175"/>
      <c r="D8" s="56" t="s">
        <v>3</v>
      </c>
      <c r="E8" s="56" t="s">
        <v>4</v>
      </c>
      <c r="F8" s="161"/>
      <c r="G8" s="128"/>
      <c r="H8" s="129"/>
      <c r="I8" s="22" t="s">
        <v>9</v>
      </c>
      <c r="J8" s="22" t="s">
        <v>6</v>
      </c>
      <c r="K8" s="22" t="s">
        <v>6</v>
      </c>
      <c r="L8" s="22" t="s">
        <v>6</v>
      </c>
      <c r="M8" s="22" t="s">
        <v>6</v>
      </c>
      <c r="N8" s="22" t="s">
        <v>11</v>
      </c>
      <c r="O8" s="22" t="s">
        <v>11</v>
      </c>
      <c r="P8" s="22" t="s">
        <v>11</v>
      </c>
      <c r="Q8" s="22" t="s">
        <v>9</v>
      </c>
      <c r="R8" s="22" t="s">
        <v>9</v>
      </c>
      <c r="S8" s="22" t="s">
        <v>9</v>
      </c>
      <c r="T8" s="22" t="s">
        <v>9</v>
      </c>
      <c r="U8" s="22" t="s">
        <v>9</v>
      </c>
      <c r="V8" s="22" t="s">
        <v>9</v>
      </c>
      <c r="W8" s="22" t="s">
        <v>6</v>
      </c>
      <c r="X8" s="22" t="s">
        <v>21</v>
      </c>
      <c r="Y8" s="22" t="s">
        <v>9</v>
      </c>
      <c r="Z8" s="22" t="s">
        <v>6</v>
      </c>
      <c r="AA8" s="22"/>
    </row>
    <row r="9" spans="1:27" ht="13.5" customHeight="1" x14ac:dyDescent="0.25">
      <c r="A9" s="190" t="s">
        <v>383</v>
      </c>
      <c r="B9" s="191"/>
      <c r="C9" s="191"/>
      <c r="D9" s="191"/>
      <c r="E9" s="191"/>
      <c r="F9" s="191"/>
      <c r="G9" s="191"/>
      <c r="H9" s="19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 x14ac:dyDescent="0.25">
      <c r="A10" s="48" t="s">
        <v>390</v>
      </c>
      <c r="B10" s="16" t="s">
        <v>405</v>
      </c>
      <c r="C10" s="5" t="s">
        <v>31</v>
      </c>
      <c r="D10" s="12">
        <v>1084</v>
      </c>
      <c r="E10" s="12">
        <v>1550</v>
      </c>
      <c r="F10" s="5" t="s">
        <v>7</v>
      </c>
      <c r="G10" s="97" t="s">
        <v>452</v>
      </c>
      <c r="H10" s="98"/>
      <c r="I10" s="16"/>
      <c r="J10" s="16"/>
      <c r="K10" s="16"/>
      <c r="L10" s="16"/>
      <c r="M10" s="16"/>
      <c r="N10" s="16"/>
      <c r="O10" s="16"/>
      <c r="P10" s="46">
        <f>(E10-D10)/5280</f>
        <v>8.8257575757575757E-2</v>
      </c>
      <c r="Q10" s="16"/>
      <c r="R10" s="16"/>
      <c r="S10" s="5"/>
      <c r="T10" s="5"/>
      <c r="U10" s="5"/>
      <c r="V10" s="5"/>
      <c r="W10" s="5"/>
      <c r="X10" s="5"/>
      <c r="Y10" s="5"/>
      <c r="Z10" s="5"/>
      <c r="AA10" s="5"/>
    </row>
    <row r="11" spans="1:27" ht="13.5" customHeight="1" x14ac:dyDescent="0.25">
      <c r="A11" s="49"/>
      <c r="B11" s="16"/>
      <c r="C11" s="16"/>
      <c r="D11" s="122"/>
      <c r="E11" s="123"/>
      <c r="F11" s="16"/>
      <c r="G11" s="109"/>
      <c r="H11" s="110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5"/>
      <c r="Y11" s="5"/>
      <c r="Z11" s="5"/>
      <c r="AA11" s="5"/>
    </row>
    <row r="12" spans="1:27" ht="13.5" customHeight="1" x14ac:dyDescent="0.25">
      <c r="A12" s="48" t="s">
        <v>391</v>
      </c>
      <c r="B12" s="16" t="s">
        <v>392</v>
      </c>
      <c r="C12" s="16" t="s">
        <v>174</v>
      </c>
      <c r="D12" s="107">
        <v>3387</v>
      </c>
      <c r="E12" s="108"/>
      <c r="F12" s="5" t="s">
        <v>7</v>
      </c>
      <c r="G12" s="109" t="s">
        <v>453</v>
      </c>
      <c r="H12" s="110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5"/>
      <c r="T12" s="5">
        <v>22</v>
      </c>
      <c r="U12" s="5"/>
      <c r="V12" s="5"/>
      <c r="W12" s="5"/>
      <c r="X12" s="5"/>
      <c r="Y12" s="5"/>
      <c r="Z12" s="5"/>
      <c r="AA12" s="5"/>
    </row>
    <row r="13" spans="1:27" ht="13.5" customHeight="1" x14ac:dyDescent="0.25">
      <c r="A13" s="48" t="s">
        <v>391</v>
      </c>
      <c r="B13" s="16" t="s">
        <v>393</v>
      </c>
      <c r="C13" s="16" t="s">
        <v>394</v>
      </c>
      <c r="D13" s="12">
        <v>3222</v>
      </c>
      <c r="E13" s="12">
        <v>18852</v>
      </c>
      <c r="F13" s="5" t="s">
        <v>7</v>
      </c>
      <c r="G13" s="97" t="s">
        <v>452</v>
      </c>
      <c r="H13" s="98"/>
      <c r="I13" s="16"/>
      <c r="J13" s="16"/>
      <c r="K13" s="16"/>
      <c r="L13" s="16"/>
      <c r="M13" s="16"/>
      <c r="N13" s="16"/>
      <c r="O13" s="16"/>
      <c r="P13" s="16"/>
      <c r="Q13" s="16"/>
      <c r="R13" s="16">
        <f xml:space="preserve"> 54+125+23</f>
        <v>202</v>
      </c>
      <c r="S13" s="5"/>
      <c r="T13" s="5"/>
      <c r="U13" s="5"/>
      <c r="V13" s="5"/>
      <c r="W13" s="5"/>
      <c r="X13" s="5"/>
      <c r="Y13" s="5"/>
      <c r="Z13" s="5"/>
      <c r="AA13" s="5"/>
    </row>
    <row r="14" spans="1:27" ht="13.5" customHeight="1" x14ac:dyDescent="0.25">
      <c r="A14" s="48" t="s">
        <v>391</v>
      </c>
      <c r="B14" s="16" t="s">
        <v>395</v>
      </c>
      <c r="C14" s="16" t="s">
        <v>394</v>
      </c>
      <c r="D14" s="12">
        <v>3239</v>
      </c>
      <c r="E14" s="12">
        <v>3405</v>
      </c>
      <c r="F14" s="5" t="s">
        <v>8</v>
      </c>
      <c r="G14" s="97" t="s">
        <v>452</v>
      </c>
      <c r="H14" s="98"/>
      <c r="I14" s="16"/>
      <c r="J14" s="16"/>
      <c r="K14" s="16"/>
      <c r="L14" s="16"/>
      <c r="M14" s="16"/>
      <c r="N14" s="16"/>
      <c r="O14" s="16"/>
      <c r="P14" s="16"/>
      <c r="Q14" s="16"/>
      <c r="R14" s="45">
        <f xml:space="preserve"> E14-D14</f>
        <v>166</v>
      </c>
      <c r="S14" s="5"/>
      <c r="T14" s="5"/>
      <c r="U14" s="5"/>
      <c r="V14" s="5"/>
      <c r="W14" s="5"/>
      <c r="X14" s="5"/>
      <c r="Y14" s="5"/>
      <c r="Z14" s="5"/>
      <c r="AA14" s="5"/>
    </row>
    <row r="15" spans="1:27" ht="13.5" customHeight="1" x14ac:dyDescent="0.25">
      <c r="A15" s="48" t="s">
        <v>391</v>
      </c>
      <c r="B15" s="16" t="s">
        <v>396</v>
      </c>
      <c r="C15" s="5" t="s">
        <v>401</v>
      </c>
      <c r="D15" s="107">
        <v>2104</v>
      </c>
      <c r="E15" s="108"/>
      <c r="F15" s="5" t="s">
        <v>8</v>
      </c>
      <c r="G15" s="97" t="s">
        <v>452</v>
      </c>
      <c r="H15" s="98"/>
      <c r="I15" s="5"/>
      <c r="J15" s="5"/>
      <c r="K15" s="5"/>
      <c r="L15" s="5"/>
      <c r="M15" s="5"/>
      <c r="N15" s="5"/>
      <c r="O15" s="5"/>
      <c r="P15" s="5"/>
      <c r="Q15" s="7"/>
      <c r="R15" s="5"/>
      <c r="S15" s="5"/>
      <c r="T15" s="5">
        <v>24</v>
      </c>
      <c r="U15" s="5"/>
      <c r="V15" s="5"/>
      <c r="W15" s="5"/>
      <c r="X15" s="6"/>
      <c r="Y15" s="7"/>
      <c r="Z15" s="7"/>
      <c r="AA15" s="7"/>
    </row>
    <row r="16" spans="1:27" ht="13.5" customHeight="1" x14ac:dyDescent="0.25">
      <c r="A16" s="48" t="s">
        <v>391</v>
      </c>
      <c r="B16" s="16" t="s">
        <v>398</v>
      </c>
      <c r="C16" s="5" t="s">
        <v>400</v>
      </c>
      <c r="D16" s="12">
        <v>2104</v>
      </c>
      <c r="E16" s="12">
        <v>2400</v>
      </c>
      <c r="F16" s="5" t="s">
        <v>8</v>
      </c>
      <c r="G16" s="97" t="s">
        <v>452</v>
      </c>
      <c r="H16" s="98"/>
      <c r="I16" s="5"/>
      <c r="J16" s="5"/>
      <c r="K16" s="5"/>
      <c r="L16" s="5">
        <f xml:space="preserve"> ROUNDUP((Q16/40), 0)</f>
        <v>8</v>
      </c>
      <c r="M16" s="5"/>
      <c r="N16" s="5"/>
      <c r="O16" s="5"/>
      <c r="P16" s="5"/>
      <c r="Q16" s="7">
        <f xml:space="preserve"> E16-D16</f>
        <v>296</v>
      </c>
      <c r="R16" s="16"/>
      <c r="S16" s="16"/>
      <c r="T16" s="16"/>
      <c r="U16" s="16"/>
      <c r="V16" s="16"/>
      <c r="W16" s="16"/>
      <c r="X16" s="6"/>
      <c r="Y16" s="7"/>
      <c r="Z16" s="5"/>
      <c r="AA16" s="5"/>
    </row>
    <row r="17" spans="1:27" ht="12.75" customHeight="1" x14ac:dyDescent="0.25">
      <c r="A17" s="48"/>
      <c r="B17" s="16"/>
      <c r="C17" s="5"/>
      <c r="D17" s="12"/>
      <c r="E17" s="12"/>
      <c r="F17" s="5"/>
      <c r="G17" s="79"/>
      <c r="H17" s="10"/>
      <c r="I17" s="5"/>
      <c r="J17" s="5"/>
      <c r="K17" s="5"/>
      <c r="L17" s="5"/>
      <c r="M17" s="5"/>
      <c r="N17" s="5"/>
      <c r="O17" s="5"/>
      <c r="P17" s="5"/>
      <c r="Q17" s="7"/>
      <c r="R17" s="16"/>
      <c r="S17" s="16"/>
      <c r="T17" s="16"/>
      <c r="U17" s="16"/>
      <c r="V17" s="16"/>
      <c r="W17" s="16"/>
      <c r="X17" s="6"/>
      <c r="Y17" s="7"/>
      <c r="Z17" s="5"/>
      <c r="AA17" s="5"/>
    </row>
    <row r="18" spans="1:27" ht="13.5" customHeight="1" x14ac:dyDescent="0.25">
      <c r="A18" s="48" t="s">
        <v>391</v>
      </c>
      <c r="B18" s="16" t="s">
        <v>399</v>
      </c>
      <c r="C18" s="5" t="s">
        <v>400</v>
      </c>
      <c r="D18" s="12">
        <v>2104</v>
      </c>
      <c r="E18" s="12">
        <v>2400</v>
      </c>
      <c r="F18" s="5" t="s">
        <v>7</v>
      </c>
      <c r="G18" s="97" t="s">
        <v>452</v>
      </c>
      <c r="H18" s="98"/>
      <c r="I18" s="5"/>
      <c r="J18" s="5"/>
      <c r="K18" s="5"/>
      <c r="L18" s="5">
        <f xml:space="preserve"> ROUNDUP((Q18/40), 0)</f>
        <v>8</v>
      </c>
      <c r="M18" s="5"/>
      <c r="N18" s="5"/>
      <c r="O18" s="5"/>
      <c r="P18" s="5"/>
      <c r="Q18" s="7">
        <f xml:space="preserve"> E18- D18</f>
        <v>296</v>
      </c>
      <c r="R18" s="16"/>
      <c r="S18" s="16"/>
      <c r="T18" s="16"/>
      <c r="U18" s="16"/>
      <c r="V18" s="16"/>
      <c r="W18" s="16"/>
      <c r="X18" s="5"/>
      <c r="Y18" s="5"/>
      <c r="Z18" s="5"/>
      <c r="AA18" s="5"/>
    </row>
    <row r="19" spans="1:27" ht="13.5" customHeight="1" x14ac:dyDescent="0.25">
      <c r="A19" s="48" t="s">
        <v>391</v>
      </c>
      <c r="B19" s="16" t="s">
        <v>397</v>
      </c>
      <c r="C19" s="5" t="s">
        <v>401</v>
      </c>
      <c r="D19" s="107">
        <v>2129</v>
      </c>
      <c r="E19" s="108"/>
      <c r="F19" s="5" t="s">
        <v>7</v>
      </c>
      <c r="G19" s="97" t="s">
        <v>452</v>
      </c>
      <c r="H19" s="98"/>
      <c r="I19" s="5"/>
      <c r="J19" s="5"/>
      <c r="K19" s="5"/>
      <c r="L19" s="5"/>
      <c r="M19" s="5"/>
      <c r="N19" s="5"/>
      <c r="O19" s="5"/>
      <c r="P19" s="5"/>
      <c r="Q19" s="7"/>
      <c r="R19" s="5"/>
      <c r="S19" s="5"/>
      <c r="T19" s="5"/>
      <c r="U19" s="6"/>
      <c r="V19" s="6"/>
      <c r="W19" s="7">
        <v>1</v>
      </c>
      <c r="X19" s="5"/>
      <c r="Y19" s="5"/>
      <c r="Z19" s="5"/>
      <c r="AA19" s="5"/>
    </row>
    <row r="20" spans="1:27" ht="13.5" customHeight="1" x14ac:dyDescent="0.25">
      <c r="A20" s="48" t="s">
        <v>391</v>
      </c>
      <c r="B20" s="16" t="s">
        <v>402</v>
      </c>
      <c r="C20" s="5" t="s">
        <v>404</v>
      </c>
      <c r="D20" s="107">
        <v>2229</v>
      </c>
      <c r="E20" s="108"/>
      <c r="F20" s="5" t="s">
        <v>7</v>
      </c>
      <c r="G20" s="97" t="s">
        <v>452</v>
      </c>
      <c r="H20" s="98"/>
      <c r="I20" s="5"/>
      <c r="J20" s="5"/>
      <c r="K20" s="5"/>
      <c r="L20" s="5"/>
      <c r="M20" s="5"/>
      <c r="N20" s="5"/>
      <c r="O20" s="5"/>
      <c r="P20" s="23"/>
      <c r="Q20" s="7"/>
      <c r="R20" s="5"/>
      <c r="S20" s="5"/>
      <c r="T20" s="5"/>
      <c r="U20" s="5"/>
      <c r="V20" s="5"/>
      <c r="W20" s="5">
        <v>1</v>
      </c>
      <c r="X20" s="5"/>
      <c r="Y20" s="5"/>
      <c r="Z20" s="5"/>
      <c r="AA20" s="5"/>
    </row>
    <row r="21" spans="1:27" ht="13.5" customHeight="1" x14ac:dyDescent="0.25">
      <c r="A21" s="48" t="s">
        <v>391</v>
      </c>
      <c r="B21" s="16" t="s">
        <v>409</v>
      </c>
      <c r="C21" s="5" t="s">
        <v>61</v>
      </c>
      <c r="D21" s="12">
        <v>2328</v>
      </c>
      <c r="E21" s="12">
        <v>2400</v>
      </c>
      <c r="F21" s="5" t="s">
        <v>72</v>
      </c>
      <c r="G21" s="97" t="s">
        <v>452</v>
      </c>
      <c r="H21" s="98"/>
      <c r="I21" s="5"/>
      <c r="J21" s="5"/>
      <c r="K21" s="5"/>
      <c r="L21" s="5"/>
      <c r="M21" s="5"/>
      <c r="N21" s="5"/>
      <c r="O21" s="6"/>
      <c r="P21" s="6">
        <f xml:space="preserve"> (E21-D21)/5280</f>
        <v>1.3636363636363636E-2</v>
      </c>
      <c r="Q21" s="5"/>
      <c r="R21" s="5"/>
      <c r="S21" s="5"/>
      <c r="T21" s="5"/>
      <c r="U21" s="5"/>
      <c r="V21" s="5"/>
      <c r="W21" s="16"/>
      <c r="X21" s="5"/>
      <c r="Y21" s="5"/>
      <c r="Z21" s="5"/>
      <c r="AA21" s="5"/>
    </row>
    <row r="22" spans="1:27" ht="13.5" customHeight="1" x14ac:dyDescent="0.25">
      <c r="A22" s="48" t="s">
        <v>391</v>
      </c>
      <c r="B22" s="16" t="s">
        <v>403</v>
      </c>
      <c r="C22" s="5" t="s">
        <v>404</v>
      </c>
      <c r="D22" s="107">
        <v>2329</v>
      </c>
      <c r="E22" s="108"/>
      <c r="F22" s="5" t="s">
        <v>7</v>
      </c>
      <c r="G22" s="97" t="s">
        <v>452</v>
      </c>
      <c r="H22" s="98"/>
      <c r="I22" s="5"/>
      <c r="J22" s="5"/>
      <c r="K22" s="5"/>
      <c r="L22" s="5"/>
      <c r="M22" s="5"/>
      <c r="N22" s="5"/>
      <c r="O22" s="5"/>
      <c r="P22" s="6"/>
      <c r="Q22" s="5"/>
      <c r="R22" s="5"/>
      <c r="S22" s="5"/>
      <c r="T22" s="5"/>
      <c r="U22" s="5"/>
      <c r="V22" s="5"/>
      <c r="W22" s="5">
        <v>1</v>
      </c>
      <c r="X22" s="5"/>
      <c r="Y22" s="5"/>
      <c r="Z22" s="5"/>
      <c r="AA22" s="5"/>
    </row>
    <row r="23" spans="1:27" ht="12.75" customHeight="1" x14ac:dyDescent="0.25">
      <c r="A23" s="49"/>
      <c r="B23" s="16"/>
      <c r="C23" s="16"/>
      <c r="D23" s="122"/>
      <c r="E23" s="123"/>
      <c r="F23" s="5"/>
      <c r="G23" s="109"/>
      <c r="H23" s="110"/>
      <c r="I23" s="42"/>
      <c r="J23" s="42"/>
      <c r="K23" s="5"/>
      <c r="L23" s="5"/>
      <c r="M23" s="5"/>
      <c r="N23" s="6"/>
      <c r="O23" s="42"/>
      <c r="P23" s="7"/>
      <c r="Q23" s="7"/>
      <c r="R23" s="5"/>
      <c r="S23" s="5"/>
      <c r="T23" s="5"/>
      <c r="U23" s="5"/>
      <c r="V23" s="5"/>
      <c r="W23" s="5"/>
      <c r="X23" s="16"/>
      <c r="Y23" s="16"/>
      <c r="Z23" s="16"/>
      <c r="AA23" s="16"/>
    </row>
    <row r="24" spans="1:27" ht="13.5" customHeight="1" x14ac:dyDescent="0.25">
      <c r="A24" s="48" t="s">
        <v>391</v>
      </c>
      <c r="B24" s="16" t="s">
        <v>406</v>
      </c>
      <c r="C24" s="16" t="s">
        <v>174</v>
      </c>
      <c r="D24" s="12">
        <v>3415</v>
      </c>
      <c r="E24" s="12">
        <v>3650</v>
      </c>
      <c r="F24" s="5" t="s">
        <v>8</v>
      </c>
      <c r="G24" s="109" t="s">
        <v>453</v>
      </c>
      <c r="H24" s="110"/>
      <c r="I24" s="16"/>
      <c r="J24" s="16"/>
      <c r="K24" s="16"/>
      <c r="L24" s="5">
        <f xml:space="preserve"> ROUNDUP((P24*5280)/80, 0)</f>
        <v>3</v>
      </c>
      <c r="M24" s="16"/>
      <c r="N24" s="16"/>
      <c r="O24" s="16"/>
      <c r="P24" s="46">
        <f xml:space="preserve"> (E24-D24)/5280</f>
        <v>4.450757575757576E-2</v>
      </c>
      <c r="Q24" s="16"/>
      <c r="R24" s="16"/>
      <c r="S24" s="16"/>
      <c r="T24" s="16"/>
      <c r="U24" s="16"/>
      <c r="V24" s="16"/>
      <c r="W24" s="16"/>
      <c r="X24" s="5"/>
      <c r="Y24" s="5"/>
      <c r="Z24" s="5"/>
      <c r="AA24" s="5"/>
    </row>
    <row r="25" spans="1:27" ht="13.5" customHeight="1" x14ac:dyDescent="0.25">
      <c r="A25" s="48" t="s">
        <v>391</v>
      </c>
      <c r="B25" s="42" t="s">
        <v>396</v>
      </c>
      <c r="C25" s="5" t="s">
        <v>30</v>
      </c>
      <c r="D25" s="107">
        <v>18852</v>
      </c>
      <c r="E25" s="108"/>
      <c r="F25" s="5" t="s">
        <v>408</v>
      </c>
      <c r="G25" s="97" t="s">
        <v>452</v>
      </c>
      <c r="H25" s="98"/>
      <c r="I25" s="5"/>
      <c r="J25" s="5"/>
      <c r="K25" s="5"/>
      <c r="L25" s="5"/>
      <c r="M25" s="5"/>
      <c r="N25" s="5"/>
      <c r="O25" s="6"/>
      <c r="P25" s="6"/>
      <c r="Q25" s="5"/>
      <c r="R25" s="5"/>
      <c r="S25" s="5"/>
      <c r="T25" s="5">
        <v>24</v>
      </c>
      <c r="U25" s="5"/>
      <c r="V25" s="5"/>
      <c r="W25" s="5"/>
      <c r="X25" s="42"/>
      <c r="Y25" s="42"/>
      <c r="Z25" s="5"/>
      <c r="AA25" s="5"/>
    </row>
    <row r="26" spans="1:27" ht="13.5" customHeight="1" x14ac:dyDescent="0.25">
      <c r="A26" s="48" t="s">
        <v>391</v>
      </c>
      <c r="B26" s="42" t="s">
        <v>407</v>
      </c>
      <c r="C26" s="5" t="s">
        <v>30</v>
      </c>
      <c r="D26" s="12">
        <v>18852</v>
      </c>
      <c r="E26" s="12">
        <v>18975</v>
      </c>
      <c r="F26" s="5" t="s">
        <v>408</v>
      </c>
      <c r="G26" s="97" t="s">
        <v>452</v>
      </c>
      <c r="H26" s="98"/>
      <c r="I26" s="5"/>
      <c r="J26" s="5"/>
      <c r="K26" s="5"/>
      <c r="L26" s="5">
        <f xml:space="preserve"> ROUNDUP((Q26/40), 0)</f>
        <v>4</v>
      </c>
      <c r="M26" s="5"/>
      <c r="N26" s="6"/>
      <c r="O26" s="5"/>
      <c r="P26" s="46"/>
      <c r="Q26" s="7">
        <f xml:space="preserve"> E26- D26</f>
        <v>123</v>
      </c>
      <c r="R26" s="43"/>
      <c r="S26" s="42"/>
      <c r="T26" s="42"/>
      <c r="U26" s="42"/>
      <c r="V26" s="42"/>
      <c r="W26" s="42"/>
      <c r="X26" s="42"/>
      <c r="Y26" s="42"/>
      <c r="Z26" s="5"/>
      <c r="AA26" s="5"/>
    </row>
    <row r="27" spans="1:27" ht="13.5" customHeight="1" x14ac:dyDescent="0.25">
      <c r="A27" s="48" t="s">
        <v>391</v>
      </c>
      <c r="B27" s="16" t="s">
        <v>420</v>
      </c>
      <c r="C27" s="5" t="s">
        <v>334</v>
      </c>
      <c r="D27" s="12">
        <v>3262</v>
      </c>
      <c r="E27" s="12">
        <v>19517</v>
      </c>
      <c r="F27" s="5" t="s">
        <v>42</v>
      </c>
      <c r="G27" s="97" t="s">
        <v>452</v>
      </c>
      <c r="H27" s="98"/>
      <c r="I27" s="5"/>
      <c r="J27" s="5"/>
      <c r="K27" s="5"/>
      <c r="L27" s="5"/>
      <c r="M27" s="5"/>
      <c r="N27" s="5"/>
      <c r="O27" s="5"/>
      <c r="P27" s="6">
        <f xml:space="preserve"> (22+99+89+220+114+99+114)/5280</f>
        <v>0.14337121212121212</v>
      </c>
      <c r="Q27" s="5"/>
      <c r="R27" s="42"/>
      <c r="S27" s="42"/>
      <c r="T27" s="42"/>
      <c r="U27" s="42"/>
      <c r="V27" s="42"/>
      <c r="W27" s="42"/>
      <c r="X27" s="6"/>
      <c r="Y27" s="7"/>
      <c r="Z27" s="5"/>
      <c r="AA27" s="5"/>
    </row>
    <row r="28" spans="1:27" ht="13.5" customHeight="1" x14ac:dyDescent="0.25">
      <c r="A28" s="48" t="s">
        <v>391</v>
      </c>
      <c r="B28" s="16" t="s">
        <v>410</v>
      </c>
      <c r="C28" s="5" t="s">
        <v>30</v>
      </c>
      <c r="D28" s="12">
        <v>18852</v>
      </c>
      <c r="E28" s="12">
        <v>19305</v>
      </c>
      <c r="F28" s="16" t="s">
        <v>408</v>
      </c>
      <c r="G28" s="97" t="s">
        <v>452</v>
      </c>
      <c r="H28" s="98"/>
      <c r="I28" s="7"/>
      <c r="J28" s="5"/>
      <c r="K28" s="7"/>
      <c r="L28" s="7">
        <f xml:space="preserve"> ROUNDUP((O28*5280)/80, 0)</f>
        <v>6</v>
      </c>
      <c r="M28" s="7"/>
      <c r="N28" s="6"/>
      <c r="O28" s="6">
        <f xml:space="preserve"> (E28-D28)/5280</f>
        <v>8.579545454545455E-2</v>
      </c>
      <c r="P28" s="6"/>
      <c r="Q28" s="7"/>
      <c r="R28" s="7"/>
      <c r="S28" s="6"/>
      <c r="T28" s="6"/>
      <c r="U28" s="6"/>
      <c r="V28" s="6"/>
      <c r="W28" s="6"/>
      <c r="X28" s="5"/>
      <c r="Y28" s="5"/>
      <c r="Z28" s="5"/>
      <c r="AA28" s="5"/>
    </row>
    <row r="29" spans="1:27" ht="12.75" customHeight="1" x14ac:dyDescent="0.25">
      <c r="A29" s="49"/>
      <c r="B29" s="42"/>
      <c r="C29" s="5"/>
      <c r="D29" s="107"/>
      <c r="E29" s="108"/>
      <c r="F29" s="5"/>
      <c r="G29" s="97"/>
      <c r="H29" s="98"/>
      <c r="I29" s="5"/>
      <c r="J29" s="5"/>
      <c r="K29" s="5"/>
      <c r="L29" s="5"/>
      <c r="M29" s="5"/>
      <c r="N29" s="5"/>
      <c r="O29" s="6"/>
      <c r="P29" s="42"/>
      <c r="Q29" s="5"/>
      <c r="R29" s="5"/>
      <c r="S29" s="5"/>
      <c r="T29" s="5"/>
      <c r="U29" s="5"/>
      <c r="V29" s="5"/>
      <c r="W29" s="7"/>
      <c r="X29" s="5"/>
      <c r="Y29" s="5"/>
      <c r="Z29" s="5"/>
      <c r="AA29" s="5"/>
    </row>
    <row r="30" spans="1:27" ht="13.5" customHeight="1" x14ac:dyDescent="0.25">
      <c r="A30" s="48" t="s">
        <v>391</v>
      </c>
      <c r="B30" s="16" t="s">
        <v>411</v>
      </c>
      <c r="C30" s="5" t="s">
        <v>30</v>
      </c>
      <c r="D30" s="12">
        <v>19305</v>
      </c>
      <c r="E30" s="12">
        <v>19650</v>
      </c>
      <c r="F30" s="5" t="s">
        <v>62</v>
      </c>
      <c r="G30" s="97" t="s">
        <v>452</v>
      </c>
      <c r="H30" s="98"/>
      <c r="I30" s="5"/>
      <c r="J30" s="5"/>
      <c r="K30" s="5"/>
      <c r="L30" s="5">
        <f xml:space="preserve"> ROUNDUP((P30*5280)/80, 0)</f>
        <v>5</v>
      </c>
      <c r="M30" s="5"/>
      <c r="N30" s="5"/>
      <c r="O30" s="73"/>
      <c r="P30" s="6">
        <f xml:space="preserve"> (E30-D30)/5280</f>
        <v>6.5340909090909088E-2</v>
      </c>
      <c r="Q30" s="5"/>
      <c r="R30" s="5"/>
      <c r="S30" s="5"/>
      <c r="T30" s="5"/>
      <c r="U30" s="5"/>
      <c r="V30" s="5"/>
      <c r="W30" s="7"/>
      <c r="X30" s="6"/>
      <c r="Y30" s="7"/>
      <c r="Z30" s="5"/>
      <c r="AA30" s="5"/>
    </row>
    <row r="31" spans="1:27" ht="13.5" customHeight="1" x14ac:dyDescent="0.25">
      <c r="A31" s="48" t="s">
        <v>391</v>
      </c>
      <c r="B31" s="16" t="s">
        <v>412</v>
      </c>
      <c r="C31" s="5" t="s">
        <v>30</v>
      </c>
      <c r="D31" s="12">
        <v>19305</v>
      </c>
      <c r="E31" s="12">
        <v>19650</v>
      </c>
      <c r="F31" s="5" t="s">
        <v>62</v>
      </c>
      <c r="G31" s="97" t="s">
        <v>452</v>
      </c>
      <c r="H31" s="98"/>
      <c r="I31" s="7"/>
      <c r="J31" s="5"/>
      <c r="K31" s="7"/>
      <c r="L31" s="5">
        <f xml:space="preserve"> ROUNDUP((P31*5280)/80, 0)</f>
        <v>5</v>
      </c>
      <c r="M31" s="7"/>
      <c r="N31" s="6"/>
      <c r="O31" s="73"/>
      <c r="P31" s="6">
        <f xml:space="preserve"> (E31-D31)/5280</f>
        <v>6.5340909090909088E-2</v>
      </c>
      <c r="Q31" s="7"/>
      <c r="R31" s="7"/>
      <c r="S31" s="6"/>
      <c r="T31" s="6"/>
      <c r="U31" s="6"/>
      <c r="V31" s="6"/>
      <c r="W31" s="7"/>
      <c r="X31" s="5"/>
      <c r="Y31" s="5"/>
      <c r="Z31" s="5"/>
      <c r="AA31" s="5"/>
    </row>
    <row r="32" spans="1:27" ht="13.5" customHeight="1" x14ac:dyDescent="0.25">
      <c r="A32" s="48" t="s">
        <v>391</v>
      </c>
      <c r="B32" s="42" t="s">
        <v>413</v>
      </c>
      <c r="C32" s="5" t="s">
        <v>30</v>
      </c>
      <c r="D32" s="12">
        <v>19517</v>
      </c>
      <c r="E32" s="12">
        <v>19650</v>
      </c>
      <c r="F32" s="5" t="s">
        <v>8</v>
      </c>
      <c r="G32" s="97" t="s">
        <v>452</v>
      </c>
      <c r="H32" s="98"/>
      <c r="I32" s="5"/>
      <c r="J32" s="5"/>
      <c r="K32" s="5"/>
      <c r="L32" s="5">
        <f xml:space="preserve"> ROUNDUP( (N32*5280)/80, 0)</f>
        <v>2</v>
      </c>
      <c r="M32" s="5"/>
      <c r="N32" s="6">
        <f xml:space="preserve"> (E32-D32)/5280</f>
        <v>2.5189393939393939E-2</v>
      </c>
      <c r="O32" s="5"/>
      <c r="P32" s="6"/>
      <c r="Q32" s="5"/>
      <c r="R32" s="5"/>
      <c r="S32" s="5"/>
      <c r="T32" s="5"/>
      <c r="U32" s="5"/>
      <c r="V32" s="5"/>
      <c r="W32" s="7"/>
      <c r="X32" s="5"/>
      <c r="Y32" s="5"/>
      <c r="Z32" s="5"/>
      <c r="AA32" s="5"/>
    </row>
    <row r="33" spans="1:27" ht="13.5" customHeight="1" x14ac:dyDescent="0.25">
      <c r="A33" s="48" t="s">
        <v>391</v>
      </c>
      <c r="B33" s="42" t="s">
        <v>414</v>
      </c>
      <c r="C33" s="5" t="s">
        <v>30</v>
      </c>
      <c r="D33" s="12">
        <v>19610</v>
      </c>
      <c r="E33" s="12">
        <v>19650</v>
      </c>
      <c r="F33" s="5" t="s">
        <v>7</v>
      </c>
      <c r="G33" s="97" t="s">
        <v>452</v>
      </c>
      <c r="H33" s="98"/>
      <c r="I33" s="5"/>
      <c r="J33" s="5"/>
      <c r="K33" s="5"/>
      <c r="L33" s="5"/>
      <c r="M33" s="5"/>
      <c r="N33" s="6"/>
      <c r="O33" s="5"/>
      <c r="P33" s="6"/>
      <c r="Q33" s="5"/>
      <c r="R33" s="7">
        <f xml:space="preserve"> E33-D33</f>
        <v>40</v>
      </c>
      <c r="S33" s="5"/>
      <c r="T33" s="5"/>
      <c r="U33" s="5"/>
      <c r="V33" s="5"/>
      <c r="W33" s="7"/>
      <c r="X33" s="5"/>
      <c r="Y33" s="5"/>
      <c r="Z33" s="5"/>
      <c r="AA33" s="5"/>
    </row>
    <row r="34" spans="1:27" ht="13.5" customHeight="1" x14ac:dyDescent="0.25">
      <c r="A34" s="48"/>
      <c r="B34" s="42"/>
      <c r="C34" s="5"/>
      <c r="D34" s="107"/>
      <c r="E34" s="108"/>
      <c r="F34" s="5"/>
      <c r="G34" s="97"/>
      <c r="H34" s="98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7"/>
      <c r="X34" s="5"/>
      <c r="Y34" s="5"/>
      <c r="Z34" s="5"/>
      <c r="AA34" s="5"/>
    </row>
    <row r="35" spans="1:27" ht="13.5" customHeight="1" x14ac:dyDescent="0.25">
      <c r="A35" s="48" t="s">
        <v>415</v>
      </c>
      <c r="B35" s="42" t="s">
        <v>411</v>
      </c>
      <c r="C35" s="5" t="s">
        <v>30</v>
      </c>
      <c r="D35" s="12">
        <v>19650</v>
      </c>
      <c r="E35" s="12">
        <v>19659</v>
      </c>
      <c r="F35" s="5" t="s">
        <v>8</v>
      </c>
      <c r="G35" s="97" t="s">
        <v>452</v>
      </c>
      <c r="H35" s="98"/>
      <c r="I35" s="5"/>
      <c r="J35" s="5"/>
      <c r="K35" s="5"/>
      <c r="L35" s="5">
        <f xml:space="preserve"> ROUNDUP((P35*5280)/80, 0)</f>
        <v>1</v>
      </c>
      <c r="M35" s="5"/>
      <c r="N35" s="5"/>
      <c r="O35" s="5"/>
      <c r="P35" s="47">
        <f xml:space="preserve"> (E35-D35)/5280</f>
        <v>1.7045454545454545E-3</v>
      </c>
      <c r="Q35" s="5"/>
      <c r="R35" s="7"/>
      <c r="S35" s="5"/>
      <c r="T35" s="5"/>
      <c r="U35" s="5"/>
      <c r="V35" s="5"/>
      <c r="W35" s="5"/>
      <c r="X35" s="5"/>
      <c r="Y35" s="5"/>
      <c r="Z35" s="5"/>
      <c r="AA35" s="5"/>
    </row>
    <row r="36" spans="1:27" ht="13.5" customHeight="1" x14ac:dyDescent="0.25">
      <c r="A36" s="48" t="s">
        <v>415</v>
      </c>
      <c r="B36" s="42" t="s">
        <v>412</v>
      </c>
      <c r="C36" s="5" t="s">
        <v>30</v>
      </c>
      <c r="D36" s="12">
        <v>19650</v>
      </c>
      <c r="E36" s="12">
        <v>19809</v>
      </c>
      <c r="F36" s="5" t="s">
        <v>7</v>
      </c>
      <c r="G36" s="97" t="s">
        <v>452</v>
      </c>
      <c r="H36" s="98"/>
      <c r="I36" s="5"/>
      <c r="J36" s="5"/>
      <c r="K36" s="5"/>
      <c r="L36" s="5">
        <f xml:space="preserve"> ROUNDUP((P36*5280)/80, 0)</f>
        <v>2</v>
      </c>
      <c r="M36" s="5"/>
      <c r="N36" s="5"/>
      <c r="O36" s="5"/>
      <c r="P36" s="46">
        <f xml:space="preserve"> (E36-D36)/5280</f>
        <v>3.0113636363636363E-2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3.5" customHeight="1" x14ac:dyDescent="0.25">
      <c r="A37" s="48" t="s">
        <v>415</v>
      </c>
      <c r="B37" s="42" t="s">
        <v>414</v>
      </c>
      <c r="C37" s="5" t="s">
        <v>30</v>
      </c>
      <c r="D37" s="12">
        <v>19650</v>
      </c>
      <c r="E37" s="12">
        <v>19809</v>
      </c>
      <c r="F37" s="5" t="s">
        <v>7</v>
      </c>
      <c r="G37" s="97" t="s">
        <v>452</v>
      </c>
      <c r="H37" s="98"/>
      <c r="I37" s="5"/>
      <c r="J37" s="5"/>
      <c r="K37" s="5"/>
      <c r="L37" s="5"/>
      <c r="M37" s="5"/>
      <c r="N37" s="5"/>
      <c r="O37" s="5"/>
      <c r="P37" s="6"/>
      <c r="Q37" s="7"/>
      <c r="R37" s="7">
        <f xml:space="preserve"> E37-D37</f>
        <v>159</v>
      </c>
      <c r="S37" s="5"/>
      <c r="T37" s="5"/>
      <c r="U37" s="5"/>
      <c r="V37" s="5"/>
      <c r="W37" s="16"/>
      <c r="X37" s="5"/>
      <c r="Y37" s="5"/>
      <c r="Z37" s="5"/>
      <c r="AA37" s="5"/>
    </row>
    <row r="38" spans="1:27" ht="13.5" customHeight="1" x14ac:dyDescent="0.25">
      <c r="A38" s="48" t="s">
        <v>415</v>
      </c>
      <c r="B38" s="42" t="s">
        <v>413</v>
      </c>
      <c r="C38" s="5" t="s">
        <v>30</v>
      </c>
      <c r="D38" s="12">
        <v>19650</v>
      </c>
      <c r="E38" s="12">
        <v>19753</v>
      </c>
      <c r="F38" s="5" t="s">
        <v>8</v>
      </c>
      <c r="G38" s="97" t="s">
        <v>452</v>
      </c>
      <c r="H38" s="98"/>
      <c r="I38" s="5"/>
      <c r="J38" s="5"/>
      <c r="K38" s="5"/>
      <c r="L38" s="5">
        <f xml:space="preserve"> ROUNDUP( (N38*5280)/80, 0)</f>
        <v>2</v>
      </c>
      <c r="M38" s="5"/>
      <c r="N38" s="6">
        <f xml:space="preserve"> (E38-D38)/5280</f>
        <v>1.9507575757575758E-2</v>
      </c>
      <c r="O38" s="6"/>
      <c r="P38" s="6"/>
      <c r="Q38" s="7"/>
      <c r="R38" s="5"/>
      <c r="S38" s="5"/>
      <c r="T38" s="5"/>
      <c r="U38" s="5"/>
      <c r="V38" s="5"/>
      <c r="W38" s="5"/>
      <c r="X38" s="6"/>
      <c r="Y38" s="7"/>
      <c r="Z38" s="5"/>
      <c r="AA38" s="5"/>
    </row>
    <row r="39" spans="1:27" ht="13.5" customHeight="1" x14ac:dyDescent="0.25">
      <c r="A39" s="48" t="s">
        <v>415</v>
      </c>
      <c r="B39" s="42" t="s">
        <v>416</v>
      </c>
      <c r="C39" s="5" t="s">
        <v>30</v>
      </c>
      <c r="D39" s="12">
        <v>19809</v>
      </c>
      <c r="E39" s="12">
        <v>20016</v>
      </c>
      <c r="F39" s="5" t="s">
        <v>7</v>
      </c>
      <c r="G39" s="97" t="s">
        <v>452</v>
      </c>
      <c r="H39" s="98"/>
      <c r="I39" s="7"/>
      <c r="J39" s="5"/>
      <c r="K39" s="7"/>
      <c r="L39" s="7"/>
      <c r="M39" s="7"/>
      <c r="N39" s="6">
        <f xml:space="preserve"> (E39-D39)/5280</f>
        <v>3.9204545454545457E-2</v>
      </c>
      <c r="O39" s="6"/>
      <c r="P39" s="6"/>
      <c r="Q39" s="7"/>
      <c r="R39" s="7"/>
      <c r="S39" s="6"/>
      <c r="T39" s="6"/>
      <c r="U39" s="6"/>
      <c r="V39" s="6"/>
      <c r="W39" s="6"/>
      <c r="X39" s="5"/>
      <c r="Y39" s="5"/>
      <c r="Z39" s="5"/>
      <c r="AA39" s="5"/>
    </row>
    <row r="40" spans="1:27" ht="12.75" customHeight="1" x14ac:dyDescent="0.25">
      <c r="A40" s="48"/>
      <c r="B40" s="42"/>
      <c r="C40" s="5"/>
      <c r="D40" s="107"/>
      <c r="E40" s="108"/>
      <c r="F40" s="5"/>
      <c r="G40" s="109"/>
      <c r="H40" s="110"/>
      <c r="I40" s="5"/>
      <c r="J40" s="5"/>
      <c r="K40" s="5"/>
      <c r="L40" s="5"/>
      <c r="M40" s="5"/>
      <c r="N40" s="5"/>
      <c r="O40" s="6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 x14ac:dyDescent="0.25">
      <c r="A41" s="48" t="s">
        <v>417</v>
      </c>
      <c r="B41" s="42" t="s">
        <v>406</v>
      </c>
      <c r="C41" s="5" t="s">
        <v>174</v>
      </c>
      <c r="D41" s="12">
        <v>3650</v>
      </c>
      <c r="E41" s="12">
        <v>3816</v>
      </c>
      <c r="F41" s="5" t="s">
        <v>8</v>
      </c>
      <c r="G41" s="109" t="s">
        <v>453</v>
      </c>
      <c r="H41" s="110"/>
      <c r="I41" s="5"/>
      <c r="J41" s="5"/>
      <c r="K41" s="5"/>
      <c r="L41" s="5">
        <f xml:space="preserve"> ROUNDUP((P41*5280)/80, 0)</f>
        <v>3</v>
      </c>
      <c r="M41" s="5"/>
      <c r="N41" s="5"/>
      <c r="O41" s="5"/>
      <c r="P41" s="46">
        <f xml:space="preserve"> (E41-D41)/5280</f>
        <v>3.1439393939393941E-2</v>
      </c>
      <c r="Q41" s="7"/>
      <c r="R41" s="7"/>
      <c r="S41" s="5"/>
      <c r="T41" s="5"/>
      <c r="U41" s="5"/>
      <c r="V41" s="5"/>
      <c r="W41" s="5"/>
      <c r="X41" s="5"/>
      <c r="Y41" s="5"/>
      <c r="Z41" s="5"/>
      <c r="AA41" s="5"/>
    </row>
    <row r="42" spans="1:27" ht="13.5" customHeight="1" x14ac:dyDescent="0.25">
      <c r="A42" s="48" t="s">
        <v>417</v>
      </c>
      <c r="B42" s="42" t="s">
        <v>416</v>
      </c>
      <c r="C42" s="5" t="s">
        <v>174</v>
      </c>
      <c r="D42" s="12">
        <v>3816</v>
      </c>
      <c r="E42" s="12">
        <v>4025</v>
      </c>
      <c r="F42" s="5" t="s">
        <v>8</v>
      </c>
      <c r="G42" s="109" t="s">
        <v>453</v>
      </c>
      <c r="H42" s="110"/>
      <c r="I42" s="5"/>
      <c r="J42" s="5"/>
      <c r="K42" s="5"/>
      <c r="L42" s="5">
        <f xml:space="preserve"> ROUNDUP( (N42*5280)/80, 0)</f>
        <v>3</v>
      </c>
      <c r="M42" s="5"/>
      <c r="N42" s="6">
        <f xml:space="preserve"> (E42-D42)/5280</f>
        <v>3.9583333333333331E-2</v>
      </c>
      <c r="O42" s="5"/>
      <c r="P42" s="5"/>
      <c r="Q42" s="7"/>
      <c r="R42" s="5"/>
      <c r="S42" s="5"/>
      <c r="T42" s="5"/>
      <c r="U42" s="5"/>
      <c r="V42" s="5"/>
      <c r="W42" s="5"/>
      <c r="X42" s="6"/>
      <c r="Y42" s="7"/>
      <c r="Z42" s="7"/>
      <c r="AA42" s="7"/>
    </row>
    <row r="43" spans="1:27" ht="13.5" customHeight="1" x14ac:dyDescent="0.25">
      <c r="A43" s="48" t="s">
        <v>417</v>
      </c>
      <c r="B43" s="16" t="s">
        <v>418</v>
      </c>
      <c r="C43" s="5" t="s">
        <v>174</v>
      </c>
      <c r="D43" s="12">
        <v>3823</v>
      </c>
      <c r="E43" s="12">
        <v>4025</v>
      </c>
      <c r="F43" s="5" t="s">
        <v>8</v>
      </c>
      <c r="G43" s="109" t="s">
        <v>453</v>
      </c>
      <c r="H43" s="110"/>
      <c r="I43" s="5"/>
      <c r="J43" s="5"/>
      <c r="K43" s="5"/>
      <c r="L43" s="7">
        <f xml:space="preserve"> ROUNDUP((O43*5280)/80, 0)</f>
        <v>3</v>
      </c>
      <c r="M43" s="5"/>
      <c r="N43" s="5"/>
      <c r="O43" s="6">
        <f t="shared" ref="O43:O44" si="0" xml:space="preserve"> (E43-D43)/5280</f>
        <v>3.8257575757575754E-2</v>
      </c>
      <c r="P43" s="5"/>
      <c r="Q43" s="7"/>
      <c r="R43" s="5"/>
      <c r="S43" s="5"/>
      <c r="T43" s="5"/>
      <c r="U43" s="6"/>
      <c r="V43" s="6"/>
      <c r="W43" s="7"/>
      <c r="X43" s="5"/>
      <c r="Y43" s="5"/>
      <c r="Z43" s="5"/>
      <c r="AA43" s="5"/>
    </row>
    <row r="44" spans="1:27" ht="13.5" customHeight="1" x14ac:dyDescent="0.25">
      <c r="A44" s="48" t="s">
        <v>417</v>
      </c>
      <c r="B44" s="16" t="s">
        <v>419</v>
      </c>
      <c r="C44" s="5" t="s">
        <v>174</v>
      </c>
      <c r="D44" s="12">
        <v>4389</v>
      </c>
      <c r="E44" s="12">
        <v>4530</v>
      </c>
      <c r="F44" s="5" t="s">
        <v>7</v>
      </c>
      <c r="G44" s="109" t="s">
        <v>453</v>
      </c>
      <c r="H44" s="110"/>
      <c r="I44" s="5"/>
      <c r="J44" s="5"/>
      <c r="K44" s="5"/>
      <c r="L44" s="7">
        <v>3</v>
      </c>
      <c r="M44" s="5"/>
      <c r="N44" s="6"/>
      <c r="O44" s="6">
        <f t="shared" si="0"/>
        <v>2.6704545454545453E-2</v>
      </c>
      <c r="P44" s="6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2.75" customHeight="1" x14ac:dyDescent="0.25">
      <c r="A45" s="50"/>
      <c r="B45" s="42"/>
      <c r="C45" s="5"/>
      <c r="D45" s="107"/>
      <c r="E45" s="108"/>
      <c r="F45" s="5"/>
      <c r="G45" s="109"/>
      <c r="H45" s="110"/>
      <c r="I45" s="5"/>
      <c r="J45" s="5"/>
      <c r="K45" s="5"/>
      <c r="L45" s="5"/>
      <c r="M45" s="5"/>
      <c r="N45" s="6"/>
      <c r="O45" s="6"/>
      <c r="P45" s="6"/>
      <c r="Q45" s="5"/>
      <c r="R45" s="7"/>
      <c r="S45" s="5"/>
      <c r="T45" s="5"/>
      <c r="U45" s="5"/>
      <c r="V45" s="5"/>
      <c r="W45" s="5"/>
      <c r="X45" s="16"/>
      <c r="Y45" s="16"/>
      <c r="Z45" s="16"/>
      <c r="AA45" s="16"/>
    </row>
    <row r="46" spans="1:27" ht="13.5" customHeight="1" x14ac:dyDescent="0.25">
      <c r="A46" s="48" t="s">
        <v>421</v>
      </c>
      <c r="B46" s="42" t="s">
        <v>399</v>
      </c>
      <c r="C46" s="5" t="s">
        <v>61</v>
      </c>
      <c r="D46" s="12">
        <v>2400</v>
      </c>
      <c r="E46" s="12">
        <v>2600</v>
      </c>
      <c r="F46" s="5" t="s">
        <v>7</v>
      </c>
      <c r="G46" s="97" t="s">
        <v>452</v>
      </c>
      <c r="H46" s="98"/>
      <c r="I46" s="5"/>
      <c r="J46" s="5"/>
      <c r="K46" s="5"/>
      <c r="L46" s="5">
        <f xml:space="preserve"> ROUNDUP((Q46/40), 0)</f>
        <v>5</v>
      </c>
      <c r="M46" s="5"/>
      <c r="N46" s="5"/>
      <c r="O46" s="5"/>
      <c r="P46" s="6"/>
      <c r="Q46" s="7">
        <f xml:space="preserve"> E46- D46</f>
        <v>200</v>
      </c>
      <c r="R46" s="5"/>
      <c r="S46" s="16"/>
      <c r="T46" s="16"/>
      <c r="U46" s="16"/>
      <c r="V46" s="16"/>
      <c r="W46" s="16"/>
      <c r="X46" s="5"/>
      <c r="Y46" s="5"/>
      <c r="Z46" s="5"/>
      <c r="AA46" s="5"/>
    </row>
    <row r="47" spans="1:27" ht="13.5" customHeight="1" x14ac:dyDescent="0.25">
      <c r="A47" s="48" t="s">
        <v>421</v>
      </c>
      <c r="B47" s="42" t="s">
        <v>409</v>
      </c>
      <c r="C47" s="5" t="s">
        <v>61</v>
      </c>
      <c r="D47" s="12">
        <v>2400</v>
      </c>
      <c r="E47" s="12">
        <v>2950</v>
      </c>
      <c r="F47" s="5" t="s">
        <v>7</v>
      </c>
      <c r="G47" s="97" t="s">
        <v>452</v>
      </c>
      <c r="H47" s="98"/>
      <c r="I47" s="16"/>
      <c r="J47" s="16"/>
      <c r="K47" s="16"/>
      <c r="L47" s="7"/>
      <c r="M47" s="16"/>
      <c r="N47" s="73"/>
      <c r="O47" s="6">
        <f xml:space="preserve"> (E47-D47)/5280</f>
        <v>0.10416666666666667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ht="12.75" customHeight="1" x14ac:dyDescent="0.25">
      <c r="A48" s="48"/>
      <c r="B48" s="42"/>
      <c r="C48" s="5"/>
      <c r="D48" s="107"/>
      <c r="E48" s="108"/>
      <c r="F48" s="5"/>
      <c r="G48" s="109"/>
      <c r="H48" s="110"/>
      <c r="I48" s="5"/>
      <c r="J48" s="5"/>
      <c r="K48" s="5"/>
      <c r="L48" s="7"/>
      <c r="M48" s="5"/>
      <c r="N48" s="73"/>
      <c r="O48" s="6"/>
      <c r="P48" s="6"/>
      <c r="Q48" s="7"/>
      <c r="R48" s="5"/>
      <c r="S48" s="42"/>
      <c r="T48" s="42"/>
      <c r="U48" s="42"/>
      <c r="V48" s="42"/>
      <c r="W48" s="42"/>
      <c r="X48" s="42"/>
      <c r="Y48" s="42"/>
      <c r="Z48" s="5"/>
      <c r="AA48" s="5"/>
    </row>
    <row r="49" spans="1:28" ht="13.5" customHeight="1" x14ac:dyDescent="0.25">
      <c r="A49" s="48" t="s">
        <v>422</v>
      </c>
      <c r="B49" s="16" t="s">
        <v>405</v>
      </c>
      <c r="C49" s="5" t="s">
        <v>82</v>
      </c>
      <c r="D49" s="12">
        <v>1550</v>
      </c>
      <c r="E49" s="12">
        <v>1660</v>
      </c>
      <c r="F49" s="5" t="s">
        <v>8</v>
      </c>
      <c r="G49" s="97" t="s">
        <v>452</v>
      </c>
      <c r="H49" s="98"/>
      <c r="I49" s="5"/>
      <c r="J49" s="5"/>
      <c r="K49" s="5"/>
      <c r="L49" s="7"/>
      <c r="M49" s="5"/>
      <c r="N49" s="73"/>
      <c r="O49" s="6">
        <f xml:space="preserve"> (E49-D49)/5280</f>
        <v>2.0833333333333332E-2</v>
      </c>
      <c r="P49" s="6"/>
      <c r="Q49" s="5"/>
      <c r="R49" s="7"/>
      <c r="S49" s="6"/>
      <c r="T49" s="6"/>
      <c r="U49" s="6"/>
      <c r="V49" s="6"/>
      <c r="W49" s="6"/>
      <c r="X49" s="6"/>
      <c r="Y49" s="7"/>
      <c r="Z49" s="5"/>
      <c r="AA49" s="5"/>
    </row>
    <row r="50" spans="1:28" ht="13.15" customHeight="1" thickBot="1" x14ac:dyDescent="0.3">
      <c r="A50" s="60" t="s">
        <v>422</v>
      </c>
      <c r="B50" s="61" t="s">
        <v>379</v>
      </c>
      <c r="C50" s="22" t="s">
        <v>82</v>
      </c>
      <c r="D50" s="62">
        <v>1550</v>
      </c>
      <c r="E50" s="62">
        <v>1610</v>
      </c>
      <c r="F50" s="22" t="s">
        <v>8</v>
      </c>
      <c r="G50" s="181" t="s">
        <v>452</v>
      </c>
      <c r="H50" s="182"/>
      <c r="I50" s="22"/>
      <c r="J50" s="22"/>
      <c r="K50" s="22"/>
      <c r="L50" s="22"/>
      <c r="M50" s="22"/>
      <c r="N50" s="22"/>
      <c r="O50" s="19"/>
      <c r="P50" s="61"/>
      <c r="Q50" s="18">
        <f xml:space="preserve"> E50- D50</f>
        <v>60</v>
      </c>
      <c r="R50" s="22"/>
      <c r="S50" s="22"/>
      <c r="T50" s="22"/>
      <c r="U50" s="22"/>
      <c r="V50" s="22"/>
      <c r="W50" s="18"/>
      <c r="X50" s="22"/>
      <c r="Y50" s="22"/>
      <c r="Z50" s="22"/>
      <c r="AA50" s="22"/>
    </row>
    <row r="51" spans="1:28" ht="11.45" customHeight="1" thickBot="1" x14ac:dyDescent="0.3">
      <c r="A51" s="197" t="s">
        <v>424</v>
      </c>
      <c r="B51" s="198"/>
      <c r="C51" s="198"/>
      <c r="D51" s="198"/>
      <c r="E51" s="198"/>
      <c r="F51" s="199"/>
      <c r="G51" s="179" t="s">
        <v>452</v>
      </c>
      <c r="H51" s="180"/>
      <c r="I51" s="92">
        <f>SUM(I46:I50,I35:I39,I30:I33,I25:I28,I13:I22, I10)</f>
        <v>0</v>
      </c>
      <c r="J51" s="92">
        <f t="shared" ref="J51:AA51" si="1">SUM(J46:J50,J35:J39,J30:J33,J25:J28,J13:J22, J10)</f>
        <v>0</v>
      </c>
      <c r="K51" s="92">
        <f t="shared" si="1"/>
        <v>0</v>
      </c>
      <c r="L51" s="92">
        <f t="shared" ref="L51" si="2">SUM(L46:L50,L35:L39,L30:L33,L25:L28,L13:L22, L10)</f>
        <v>48</v>
      </c>
      <c r="M51" s="92">
        <f t="shared" si="1"/>
        <v>0</v>
      </c>
      <c r="N51" s="94">
        <f t="shared" si="1"/>
        <v>8.3901515151515157E-2</v>
      </c>
      <c r="O51" s="94">
        <f t="shared" si="1"/>
        <v>0.21079545454545456</v>
      </c>
      <c r="P51" s="94">
        <f>SUM(P46:P50,P35:P39,P30:P33,P25:P28,P13:P22, P10)</f>
        <v>0.40776515151515147</v>
      </c>
      <c r="Q51" s="92">
        <f t="shared" si="1"/>
        <v>975</v>
      </c>
      <c r="R51" s="92">
        <f t="shared" si="1"/>
        <v>567</v>
      </c>
      <c r="S51" s="92">
        <f t="shared" si="1"/>
        <v>0</v>
      </c>
      <c r="T51" s="92">
        <f t="shared" si="1"/>
        <v>48</v>
      </c>
      <c r="U51" s="92">
        <f t="shared" si="1"/>
        <v>0</v>
      </c>
      <c r="V51" s="92">
        <f t="shared" si="1"/>
        <v>0</v>
      </c>
      <c r="W51" s="92">
        <f t="shared" si="1"/>
        <v>3</v>
      </c>
      <c r="X51" s="92">
        <f t="shared" si="1"/>
        <v>0</v>
      </c>
      <c r="Y51" s="92">
        <f t="shared" si="1"/>
        <v>0</v>
      </c>
      <c r="Z51" s="92">
        <f t="shared" si="1"/>
        <v>0</v>
      </c>
      <c r="AA51" s="92">
        <f t="shared" si="1"/>
        <v>0</v>
      </c>
    </row>
    <row r="52" spans="1:28" ht="11.45" customHeight="1" thickBot="1" x14ac:dyDescent="0.3">
      <c r="A52" s="104"/>
      <c r="B52" s="105"/>
      <c r="C52" s="105"/>
      <c r="D52" s="105"/>
      <c r="E52" s="105"/>
      <c r="F52" s="200"/>
      <c r="G52" s="179" t="s">
        <v>453</v>
      </c>
      <c r="H52" s="180"/>
      <c r="I52" s="92">
        <f>SUM(I41:I44,I24,I12)</f>
        <v>0</v>
      </c>
      <c r="J52" s="92">
        <f t="shared" ref="J52:AA52" si="3">SUM(J41:J44,J24,J12)</f>
        <v>0</v>
      </c>
      <c r="K52" s="92">
        <f t="shared" si="3"/>
        <v>0</v>
      </c>
      <c r="L52" s="92">
        <f t="shared" ref="L52" si="4">SUM(L41:L44,L24,L12)</f>
        <v>15</v>
      </c>
      <c r="M52" s="92">
        <f t="shared" si="3"/>
        <v>0</v>
      </c>
      <c r="N52" s="94">
        <f t="shared" si="3"/>
        <v>3.9583333333333331E-2</v>
      </c>
      <c r="O52" s="94">
        <f t="shared" si="3"/>
        <v>6.4962121212121207E-2</v>
      </c>
      <c r="P52" s="94">
        <f t="shared" si="3"/>
        <v>7.5946969696969707E-2</v>
      </c>
      <c r="Q52" s="92">
        <f t="shared" si="3"/>
        <v>0</v>
      </c>
      <c r="R52" s="92">
        <f t="shared" si="3"/>
        <v>0</v>
      </c>
      <c r="S52" s="92">
        <f t="shared" si="3"/>
        <v>0</v>
      </c>
      <c r="T52" s="92">
        <f t="shared" si="3"/>
        <v>22</v>
      </c>
      <c r="U52" s="92">
        <f t="shared" si="3"/>
        <v>0</v>
      </c>
      <c r="V52" s="92">
        <f t="shared" si="3"/>
        <v>0</v>
      </c>
      <c r="W52" s="92">
        <f t="shared" si="3"/>
        <v>0</v>
      </c>
      <c r="X52" s="92">
        <f t="shared" si="3"/>
        <v>0</v>
      </c>
      <c r="Y52" s="92">
        <f t="shared" si="3"/>
        <v>0</v>
      </c>
      <c r="Z52" s="92">
        <f t="shared" si="3"/>
        <v>0</v>
      </c>
      <c r="AA52" s="92">
        <f t="shared" si="3"/>
        <v>0</v>
      </c>
    </row>
    <row r="53" spans="1:28" ht="11.45" customHeight="1" thickBot="1" x14ac:dyDescent="0.3">
      <c r="A53" s="201" t="s">
        <v>425</v>
      </c>
      <c r="B53" s="202"/>
      <c r="C53" s="202"/>
      <c r="D53" s="202"/>
      <c r="E53" s="202"/>
      <c r="F53" s="203"/>
      <c r="G53" s="179" t="s">
        <v>452</v>
      </c>
      <c r="H53" s="180"/>
      <c r="I53" s="92">
        <f xml:space="preserve"> Sheet1!I61</f>
        <v>1561</v>
      </c>
      <c r="J53" s="92">
        <f>Sheet1!J61</f>
        <v>5</v>
      </c>
      <c r="K53" s="63">
        <f>Sheet1!K61</f>
        <v>271</v>
      </c>
      <c r="L53" s="63">
        <f>Sheet1!L61</f>
        <v>75.075000000000003</v>
      </c>
      <c r="M53" s="63">
        <f>Sheet1!M61</f>
        <v>94</v>
      </c>
      <c r="N53" s="64">
        <f>Sheet1!N61</f>
        <v>7.3863636363636367E-2</v>
      </c>
      <c r="O53" s="64">
        <f>Sheet1!O61</f>
        <v>0</v>
      </c>
      <c r="P53" s="64">
        <f>Sheet1!P61</f>
        <v>0.95018939393939394</v>
      </c>
      <c r="Q53" s="63">
        <f>Sheet1!Q61</f>
        <v>3193</v>
      </c>
      <c r="R53" s="63">
        <f>Sheet1!R61</f>
        <v>1058</v>
      </c>
      <c r="S53" s="63">
        <f>Sheet1!S61</f>
        <v>0</v>
      </c>
      <c r="T53" s="63">
        <f>Sheet1!T61</f>
        <v>0</v>
      </c>
      <c r="U53" s="63">
        <f>Sheet1!U61</f>
        <v>0</v>
      </c>
      <c r="V53" s="63">
        <f>Sheet1!V61</f>
        <v>0</v>
      </c>
      <c r="W53" s="63">
        <f>Sheet1!W61</f>
        <v>0</v>
      </c>
      <c r="X53" s="63">
        <f>Sheet1!X61</f>
        <v>4315.4444444444443</v>
      </c>
      <c r="Y53" s="63">
        <f>Sheet1!Y61</f>
        <v>4595</v>
      </c>
      <c r="Z53" s="63">
        <f>Sheet1!Z61</f>
        <v>1</v>
      </c>
      <c r="AA53" s="63">
        <v>0</v>
      </c>
      <c r="AB53">
        <v>1</v>
      </c>
    </row>
    <row r="54" spans="1:28" ht="11.45" customHeight="1" thickBot="1" x14ac:dyDescent="0.3">
      <c r="A54" s="204"/>
      <c r="B54" s="205"/>
      <c r="C54" s="205"/>
      <c r="D54" s="205"/>
      <c r="E54" s="205"/>
      <c r="F54" s="206"/>
      <c r="G54" s="179" t="s">
        <v>453</v>
      </c>
      <c r="H54" s="180"/>
      <c r="I54" s="92">
        <f>Sheet1!I62</f>
        <v>0</v>
      </c>
      <c r="J54" s="92">
        <f>Sheet1!J62</f>
        <v>0</v>
      </c>
      <c r="K54" s="63">
        <f>Sheet1!K62</f>
        <v>0</v>
      </c>
      <c r="L54" s="63">
        <f>Sheet1!L62</f>
        <v>1</v>
      </c>
      <c r="M54" s="63">
        <f>Sheet1!M62</f>
        <v>0</v>
      </c>
      <c r="N54" s="64">
        <f>Sheet1!N62</f>
        <v>0</v>
      </c>
      <c r="O54" s="64">
        <f>Sheet1!O62</f>
        <v>0</v>
      </c>
      <c r="P54" s="64">
        <f>Sheet1!P62</f>
        <v>0</v>
      </c>
      <c r="Q54" s="63">
        <f>Sheet1!Q62</f>
        <v>0</v>
      </c>
      <c r="R54" s="63">
        <f>Sheet1!R62</f>
        <v>0</v>
      </c>
      <c r="S54" s="63">
        <f>Sheet1!S62</f>
        <v>0</v>
      </c>
      <c r="T54" s="63">
        <f>Sheet1!T62</f>
        <v>0</v>
      </c>
      <c r="U54" s="63">
        <f>Sheet1!U62</f>
        <v>0</v>
      </c>
      <c r="V54" s="63">
        <f>Sheet1!V62</f>
        <v>0</v>
      </c>
      <c r="W54" s="63">
        <f>Sheet1!W62</f>
        <v>0</v>
      </c>
      <c r="X54" s="63">
        <f>Sheet1!X62</f>
        <v>0</v>
      </c>
      <c r="Y54" s="63">
        <f>Sheet1!Y62</f>
        <v>0</v>
      </c>
      <c r="Z54" s="63">
        <f>Sheet1!Z62</f>
        <v>0</v>
      </c>
      <c r="AA54" s="63">
        <v>0</v>
      </c>
    </row>
    <row r="55" spans="1:28" ht="11.45" customHeight="1" thickBot="1" x14ac:dyDescent="0.3">
      <c r="A55" s="201" t="s">
        <v>425</v>
      </c>
      <c r="B55" s="202"/>
      <c r="C55" s="202"/>
      <c r="D55" s="202"/>
      <c r="E55" s="202"/>
      <c r="F55" s="203"/>
      <c r="G55" s="179" t="s">
        <v>452</v>
      </c>
      <c r="H55" s="180"/>
      <c r="I55" s="92">
        <f xml:space="preserve"> Sheet2!I63</f>
        <v>826</v>
      </c>
      <c r="J55" s="92">
        <f>Sheet2!J63</f>
        <v>5</v>
      </c>
      <c r="K55" s="63">
        <f>Sheet2!K63</f>
        <v>129</v>
      </c>
      <c r="L55" s="63">
        <f>Sheet2!L63</f>
        <v>137.42500000000001</v>
      </c>
      <c r="M55" s="63">
        <f>Sheet2!M63</f>
        <v>47</v>
      </c>
      <c r="N55" s="64">
        <f>Sheet2!N63</f>
        <v>2.8409090909090908E-2</v>
      </c>
      <c r="O55" s="64">
        <f>Sheet2!O63</f>
        <v>0</v>
      </c>
      <c r="P55" s="64">
        <f>Sheet2!P63</f>
        <v>1.8907196969696971</v>
      </c>
      <c r="Q55" s="63">
        <f>Sheet2!Q63</f>
        <v>3515</v>
      </c>
      <c r="R55" s="63">
        <f>Sheet2!R63</f>
        <v>639</v>
      </c>
      <c r="S55" s="63">
        <f>Sheet2!S63</f>
        <v>0</v>
      </c>
      <c r="T55" s="63">
        <f>Sheet2!T63</f>
        <v>22</v>
      </c>
      <c r="U55" s="63">
        <f>Sheet2!U63</f>
        <v>0</v>
      </c>
      <c r="V55" s="63">
        <f>Sheet2!V63</f>
        <v>0</v>
      </c>
      <c r="W55" s="63">
        <f>Sheet2!W63</f>
        <v>2</v>
      </c>
      <c r="X55" s="63">
        <f>Sheet2!X63</f>
        <v>0</v>
      </c>
      <c r="Y55" s="63">
        <f>Sheet2!Y63</f>
        <v>2621</v>
      </c>
      <c r="Z55" s="63">
        <f>Sheet2!Z63</f>
        <v>0</v>
      </c>
      <c r="AA55" s="63">
        <v>0</v>
      </c>
      <c r="AB55">
        <v>2</v>
      </c>
    </row>
    <row r="56" spans="1:28" ht="11.45" customHeight="1" thickBot="1" x14ac:dyDescent="0.3">
      <c r="A56" s="204"/>
      <c r="B56" s="205"/>
      <c r="C56" s="205"/>
      <c r="D56" s="205"/>
      <c r="E56" s="205"/>
      <c r="F56" s="206"/>
      <c r="G56" s="179" t="s">
        <v>453</v>
      </c>
      <c r="H56" s="180"/>
      <c r="I56" s="92">
        <f>Sheet2!I64</f>
        <v>0</v>
      </c>
      <c r="J56" s="92">
        <f>Sheet2!J64</f>
        <v>0</v>
      </c>
      <c r="K56" s="63">
        <f>Sheet2!K64</f>
        <v>0</v>
      </c>
      <c r="L56" s="63">
        <f>Sheet2!L64</f>
        <v>1</v>
      </c>
      <c r="M56" s="63">
        <f>Sheet2!M64</f>
        <v>0</v>
      </c>
      <c r="N56" s="64">
        <f>Sheet2!N64</f>
        <v>0</v>
      </c>
      <c r="O56" s="64">
        <f>Sheet2!O64</f>
        <v>0</v>
      </c>
      <c r="P56" s="64">
        <f>Sheet2!P64</f>
        <v>0</v>
      </c>
      <c r="Q56" s="63">
        <f>Sheet2!Q64</f>
        <v>0</v>
      </c>
      <c r="R56" s="63">
        <f>Sheet2!R64</f>
        <v>0</v>
      </c>
      <c r="S56" s="63">
        <f>Sheet2!S64</f>
        <v>0</v>
      </c>
      <c r="T56" s="63">
        <f>Sheet2!T64</f>
        <v>0</v>
      </c>
      <c r="U56" s="63">
        <f>Sheet2!U64</f>
        <v>0</v>
      </c>
      <c r="V56" s="63">
        <f>Sheet2!V64</f>
        <v>0</v>
      </c>
      <c r="W56" s="63">
        <f>Sheet2!W64</f>
        <v>0</v>
      </c>
      <c r="X56" s="63">
        <f>Sheet2!X64</f>
        <v>0</v>
      </c>
      <c r="Y56" s="63">
        <f>Sheet2!Y64</f>
        <v>0</v>
      </c>
      <c r="Z56" s="63">
        <f>Sheet2!Z64</f>
        <v>0</v>
      </c>
      <c r="AA56" s="63">
        <v>0</v>
      </c>
    </row>
    <row r="57" spans="1:28" ht="11.45" customHeight="1" thickBot="1" x14ac:dyDescent="0.3">
      <c r="A57" s="201" t="s">
        <v>425</v>
      </c>
      <c r="B57" s="202"/>
      <c r="C57" s="202"/>
      <c r="D57" s="202"/>
      <c r="E57" s="202"/>
      <c r="F57" s="203"/>
      <c r="G57" s="179" t="s">
        <v>452</v>
      </c>
      <c r="H57" s="180"/>
      <c r="I57" s="92">
        <f xml:space="preserve"> Sheet3!I61</f>
        <v>270</v>
      </c>
      <c r="J57" s="92">
        <f>Sheet3!J61</f>
        <v>3</v>
      </c>
      <c r="K57" s="65">
        <f>Sheet3!K61</f>
        <v>53</v>
      </c>
      <c r="L57" s="65">
        <f>Sheet3!L61</f>
        <v>71</v>
      </c>
      <c r="M57" s="65">
        <f>Sheet3!M61</f>
        <v>18</v>
      </c>
      <c r="N57" s="66">
        <f>Sheet3!N61</f>
        <v>0.32405303030303029</v>
      </c>
      <c r="O57" s="66">
        <f>Sheet3!O61</f>
        <v>0</v>
      </c>
      <c r="P57" s="66">
        <f>Sheet3!P61</f>
        <v>0.83219696969696977</v>
      </c>
      <c r="Q57" s="65">
        <f>Sheet3!Q61</f>
        <v>1368</v>
      </c>
      <c r="R57" s="65">
        <f>Sheet3!R61</f>
        <v>0</v>
      </c>
      <c r="S57" s="65">
        <f>Sheet3!S61</f>
        <v>0</v>
      </c>
      <c r="T57" s="65">
        <f>Sheet3!T61</f>
        <v>0</v>
      </c>
      <c r="U57" s="65">
        <f>Sheet3!U61</f>
        <v>0</v>
      </c>
      <c r="V57" s="65">
        <f>Sheet3!V61</f>
        <v>0</v>
      </c>
      <c r="W57" s="65">
        <f>Sheet3!W61</f>
        <v>0</v>
      </c>
      <c r="X57" s="65">
        <f>Sheet3!X61</f>
        <v>2603.8888888888887</v>
      </c>
      <c r="Y57" s="65">
        <f>Sheet3!Y61</f>
        <v>1060</v>
      </c>
      <c r="Z57" s="65">
        <f>Sheet3!Z61</f>
        <v>0</v>
      </c>
      <c r="AA57" s="65">
        <v>0</v>
      </c>
      <c r="AB57">
        <v>3</v>
      </c>
    </row>
    <row r="58" spans="1:28" ht="11.45" customHeight="1" thickBot="1" x14ac:dyDescent="0.3">
      <c r="A58" s="204"/>
      <c r="B58" s="205"/>
      <c r="C58" s="205"/>
      <c r="D58" s="205"/>
      <c r="E58" s="205"/>
      <c r="F58" s="206"/>
      <c r="G58" s="179" t="s">
        <v>453</v>
      </c>
      <c r="H58" s="180"/>
      <c r="I58" s="92">
        <f>Sheet3!I62</f>
        <v>0</v>
      </c>
      <c r="J58" s="92">
        <f>Sheet3!J62</f>
        <v>0</v>
      </c>
      <c r="K58" s="65">
        <f>Sheet3!K62</f>
        <v>0</v>
      </c>
      <c r="L58" s="65">
        <f>Sheet3!L62</f>
        <v>14</v>
      </c>
      <c r="M58" s="65">
        <f>Sheet3!M62</f>
        <v>0</v>
      </c>
      <c r="N58" s="66">
        <f>Sheet3!N62</f>
        <v>0</v>
      </c>
      <c r="O58" s="66">
        <f>Sheet3!O62</f>
        <v>0.01</v>
      </c>
      <c r="P58" s="66">
        <f>Sheet3!P62</f>
        <v>6.7045454545454547E-2</v>
      </c>
      <c r="Q58" s="65">
        <f>Sheet3!Q62</f>
        <v>322</v>
      </c>
      <c r="R58" s="65">
        <f>Sheet3!R62</f>
        <v>166</v>
      </c>
      <c r="S58" s="65">
        <f>Sheet3!S62</f>
        <v>0</v>
      </c>
      <c r="T58" s="65">
        <f>Sheet3!T62</f>
        <v>0</v>
      </c>
      <c r="U58" s="65">
        <f>Sheet3!U62</f>
        <v>0</v>
      </c>
      <c r="V58" s="65">
        <f>Sheet3!V62</f>
        <v>0</v>
      </c>
      <c r="W58" s="65">
        <f>Sheet3!W62</f>
        <v>12</v>
      </c>
      <c r="X58" s="65">
        <f>Sheet3!X62</f>
        <v>0</v>
      </c>
      <c r="Y58" s="65">
        <f>Sheet3!Y62</f>
        <v>0</v>
      </c>
      <c r="Z58" s="65">
        <f>Sheet3!Z62</f>
        <v>0</v>
      </c>
      <c r="AA58" s="65">
        <v>0</v>
      </c>
    </row>
    <row r="59" spans="1:28" ht="11.45" customHeight="1" thickBot="1" x14ac:dyDescent="0.3">
      <c r="A59" s="201" t="s">
        <v>425</v>
      </c>
      <c r="B59" s="202"/>
      <c r="C59" s="202"/>
      <c r="D59" s="202"/>
      <c r="E59" s="202"/>
      <c r="F59" s="203"/>
      <c r="G59" s="179" t="s">
        <v>452</v>
      </c>
      <c r="H59" s="180"/>
      <c r="I59" s="92">
        <f xml:space="preserve"> Sheet4!I63</f>
        <v>239</v>
      </c>
      <c r="J59" s="92">
        <f>Sheet4!J63</f>
        <v>1</v>
      </c>
      <c r="K59" s="65">
        <f>Sheet4!K63</f>
        <v>48</v>
      </c>
      <c r="L59" s="65">
        <f>Sheet4!L63</f>
        <v>56</v>
      </c>
      <c r="M59" s="65">
        <f>Sheet4!M63</f>
        <v>16</v>
      </c>
      <c r="N59" s="66">
        <f>Sheet4!N63</f>
        <v>0</v>
      </c>
      <c r="O59" s="66">
        <f>Sheet4!O63</f>
        <v>0</v>
      </c>
      <c r="P59" s="66">
        <f>Sheet4!P63</f>
        <v>0.29000000000000004</v>
      </c>
      <c r="Q59" s="65">
        <f>Sheet4!Q63</f>
        <v>222</v>
      </c>
      <c r="R59" s="65">
        <f>Sheet4!R63</f>
        <v>0</v>
      </c>
      <c r="S59" s="65">
        <f>Sheet4!S63</f>
        <v>0</v>
      </c>
      <c r="T59" s="65">
        <f>Sheet4!T63</f>
        <v>11</v>
      </c>
      <c r="U59" s="65">
        <f>Sheet4!U63</f>
        <v>0</v>
      </c>
      <c r="V59" s="65">
        <f>Sheet4!V63</f>
        <v>0</v>
      </c>
      <c r="W59" s="65">
        <f>Sheet4!W63</f>
        <v>9</v>
      </c>
      <c r="X59" s="65">
        <f>Sheet4!X63</f>
        <v>494</v>
      </c>
      <c r="Y59" s="65">
        <f>Sheet4!Y63</f>
        <v>731</v>
      </c>
      <c r="Z59" s="65">
        <f>Sheet4!Z63</f>
        <v>0</v>
      </c>
      <c r="AA59" s="65">
        <f>Sheet4!AA63</f>
        <v>0</v>
      </c>
      <c r="AB59">
        <v>4</v>
      </c>
    </row>
    <row r="60" spans="1:28" ht="11.45" customHeight="1" thickBot="1" x14ac:dyDescent="0.3">
      <c r="A60" s="204"/>
      <c r="B60" s="205"/>
      <c r="C60" s="205"/>
      <c r="D60" s="205"/>
      <c r="E60" s="205"/>
      <c r="F60" s="206"/>
      <c r="G60" s="179" t="s">
        <v>453</v>
      </c>
      <c r="H60" s="180"/>
      <c r="I60" s="92">
        <f>Sheet4!I64</f>
        <v>0</v>
      </c>
      <c r="J60" s="92">
        <f>Sheet4!J64</f>
        <v>0</v>
      </c>
      <c r="K60" s="65">
        <f>Sheet4!K64</f>
        <v>0</v>
      </c>
      <c r="L60" s="65">
        <f>Sheet4!L64</f>
        <v>46</v>
      </c>
      <c r="M60" s="65">
        <f>Sheet4!M64</f>
        <v>0</v>
      </c>
      <c r="N60" s="66">
        <f>Sheet4!N64</f>
        <v>0.08</v>
      </c>
      <c r="O60" s="66">
        <f>Sheet4!O64</f>
        <v>0.2</v>
      </c>
      <c r="P60" s="66">
        <f>Sheet4!P64</f>
        <v>0.27</v>
      </c>
      <c r="Q60" s="65">
        <f>Sheet4!Q64</f>
        <v>804</v>
      </c>
      <c r="R60" s="65">
        <f>Sheet4!R64</f>
        <v>271</v>
      </c>
      <c r="S60" s="65">
        <f>Sheet4!S64</f>
        <v>0</v>
      </c>
      <c r="T60" s="65">
        <f>Sheet4!T64</f>
        <v>81</v>
      </c>
      <c r="U60" s="65">
        <f>Sheet4!U64</f>
        <v>0</v>
      </c>
      <c r="V60" s="65">
        <f>Sheet4!V64</f>
        <v>0</v>
      </c>
      <c r="W60" s="65">
        <f>Sheet4!W64</f>
        <v>22</v>
      </c>
      <c r="X60" s="65">
        <f>Sheet4!X64</f>
        <v>642</v>
      </c>
      <c r="Y60" s="65">
        <f>Sheet4!Y64</f>
        <v>0</v>
      </c>
      <c r="Z60" s="65">
        <f>Sheet4!Z64</f>
        <v>0</v>
      </c>
      <c r="AA60" s="65">
        <f>Sheet4!AA64</f>
        <v>0</v>
      </c>
    </row>
    <row r="61" spans="1:28" ht="11.45" customHeight="1" thickBot="1" x14ac:dyDescent="0.3">
      <c r="A61" s="201" t="s">
        <v>425</v>
      </c>
      <c r="B61" s="202"/>
      <c r="C61" s="202"/>
      <c r="D61" s="202"/>
      <c r="E61" s="202"/>
      <c r="F61" s="203"/>
      <c r="G61" s="179" t="s">
        <v>452</v>
      </c>
      <c r="H61" s="180"/>
      <c r="I61" s="92">
        <f xml:space="preserve"> Sheet5!I62</f>
        <v>0</v>
      </c>
      <c r="J61" s="92">
        <f>Sheet5!J62</f>
        <v>0</v>
      </c>
      <c r="K61" s="65">
        <f>Sheet5!K62</f>
        <v>84</v>
      </c>
      <c r="L61" s="65">
        <f>Sheet5!L62</f>
        <v>16</v>
      </c>
      <c r="M61" s="65">
        <f>Sheet5!M62</f>
        <v>23</v>
      </c>
      <c r="N61" s="66">
        <f>Sheet5!N62</f>
        <v>0</v>
      </c>
      <c r="O61" s="66">
        <f>Sheet5!O62</f>
        <v>0</v>
      </c>
      <c r="P61" s="66">
        <f>Sheet5!P62</f>
        <v>0.29712121212121212</v>
      </c>
      <c r="Q61" s="65">
        <f>Sheet5!Q62</f>
        <v>0</v>
      </c>
      <c r="R61" s="65">
        <f>Sheet5!R62</f>
        <v>122</v>
      </c>
      <c r="S61" s="65">
        <f>Sheet5!S62</f>
        <v>0</v>
      </c>
      <c r="T61" s="65">
        <f>Sheet5!T62</f>
        <v>24</v>
      </c>
      <c r="U61" s="65">
        <f>Sheet5!U62</f>
        <v>0</v>
      </c>
      <c r="V61" s="65">
        <f>Sheet5!V62</f>
        <v>0</v>
      </c>
      <c r="W61" s="65">
        <f>Sheet5!W62</f>
        <v>6</v>
      </c>
      <c r="X61" s="65">
        <f>Sheet5!X62</f>
        <v>0</v>
      </c>
      <c r="Y61" s="65">
        <f>Sheet5!Y62</f>
        <v>957</v>
      </c>
      <c r="Z61" s="65">
        <f>Sheet5!Z62</f>
        <v>0</v>
      </c>
      <c r="AA61" s="65">
        <f>Sheet5!AA62</f>
        <v>0</v>
      </c>
      <c r="AB61">
        <v>5</v>
      </c>
    </row>
    <row r="62" spans="1:28" ht="11.45" customHeight="1" thickBot="1" x14ac:dyDescent="0.3">
      <c r="A62" s="204"/>
      <c r="B62" s="205"/>
      <c r="C62" s="205"/>
      <c r="D62" s="205"/>
      <c r="E62" s="205"/>
      <c r="F62" s="206"/>
      <c r="G62" s="179" t="s">
        <v>453</v>
      </c>
      <c r="H62" s="180"/>
      <c r="I62" s="92">
        <f>Sheet5!I63</f>
        <v>0</v>
      </c>
      <c r="J62" s="92">
        <f>Sheet5!J63</f>
        <v>0</v>
      </c>
      <c r="K62" s="65">
        <f>Sheet5!K63</f>
        <v>0</v>
      </c>
      <c r="L62" s="65">
        <f>Sheet5!L63</f>
        <v>38</v>
      </c>
      <c r="M62" s="65">
        <f>Sheet5!M63</f>
        <v>0</v>
      </c>
      <c r="N62" s="66">
        <f>Sheet5!N63</f>
        <v>0</v>
      </c>
      <c r="O62" s="66">
        <f>Sheet5!O63</f>
        <v>0.18678030303030305</v>
      </c>
      <c r="P62" s="66">
        <f>Sheet5!P63</f>
        <v>0.48681818181818176</v>
      </c>
      <c r="Q62" s="65">
        <f>Sheet5!Q63</f>
        <v>482</v>
      </c>
      <c r="R62" s="65">
        <f>Sheet5!R63</f>
        <v>521</v>
      </c>
      <c r="S62" s="65">
        <f>Sheet5!S63</f>
        <v>295</v>
      </c>
      <c r="T62" s="65">
        <f>Sheet5!T63</f>
        <v>22</v>
      </c>
      <c r="U62" s="65">
        <f>Sheet5!U63</f>
        <v>0</v>
      </c>
      <c r="V62" s="65">
        <f>Sheet5!V63</f>
        <v>270</v>
      </c>
      <c r="W62" s="65">
        <f>Sheet5!W63</f>
        <v>17</v>
      </c>
      <c r="X62" s="65">
        <f>Sheet5!X63</f>
        <v>0</v>
      </c>
      <c r="Y62" s="65">
        <f>Sheet5!Y63</f>
        <v>0</v>
      </c>
      <c r="Z62" s="65">
        <f>Sheet5!Z63</f>
        <v>0</v>
      </c>
      <c r="AA62" s="65">
        <f>Sheet5!AA63</f>
        <v>0</v>
      </c>
    </row>
    <row r="63" spans="1:28" ht="11.45" customHeight="1" thickBot="1" x14ac:dyDescent="0.3">
      <c r="A63" s="201" t="s">
        <v>425</v>
      </c>
      <c r="B63" s="202"/>
      <c r="C63" s="202"/>
      <c r="D63" s="202"/>
      <c r="E63" s="202"/>
      <c r="F63" s="203"/>
      <c r="G63" s="179" t="s">
        <v>452</v>
      </c>
      <c r="H63" s="180"/>
      <c r="I63" s="92">
        <f xml:space="preserve"> Sheet6!I63</f>
        <v>136</v>
      </c>
      <c r="J63" s="92">
        <f>Sheet6!J63</f>
        <v>2</v>
      </c>
      <c r="K63" s="65">
        <f>Sheet6!K63</f>
        <v>9</v>
      </c>
      <c r="L63" s="65">
        <f>Sheet6!L63</f>
        <v>52</v>
      </c>
      <c r="M63" s="65">
        <f>Sheet6!M63</f>
        <v>5</v>
      </c>
      <c r="N63" s="66">
        <f>Sheet6!N63</f>
        <v>0</v>
      </c>
      <c r="O63" s="66">
        <f>Sheet6!O63</f>
        <v>2.3106060606060606E-2</v>
      </c>
      <c r="P63" s="66">
        <f>Sheet6!P63</f>
        <v>0.32897727272727273</v>
      </c>
      <c r="Q63" s="65">
        <f>Sheet6!Q63</f>
        <v>0</v>
      </c>
      <c r="R63" s="65">
        <f>Sheet6!R63</f>
        <v>0</v>
      </c>
      <c r="S63" s="65">
        <f>Sheet6!S63</f>
        <v>0</v>
      </c>
      <c r="T63" s="65">
        <f>Sheet6!T63</f>
        <v>26</v>
      </c>
      <c r="U63" s="65">
        <f>Sheet6!U63</f>
        <v>0</v>
      </c>
      <c r="V63" s="65">
        <f>Sheet6!V63</f>
        <v>0</v>
      </c>
      <c r="W63" s="65">
        <f>Sheet6!W63</f>
        <v>4</v>
      </c>
      <c r="X63" s="65">
        <f>Sheet6!X63</f>
        <v>0</v>
      </c>
      <c r="Y63" s="65">
        <f>Sheet6!Y63</f>
        <v>244</v>
      </c>
      <c r="Z63" s="65">
        <f>Sheet6!Z63</f>
        <v>0</v>
      </c>
      <c r="AA63" s="65">
        <v>0</v>
      </c>
      <c r="AB63">
        <v>6</v>
      </c>
    </row>
    <row r="64" spans="1:28" ht="11.45" customHeight="1" thickBot="1" x14ac:dyDescent="0.3">
      <c r="A64" s="204"/>
      <c r="B64" s="205"/>
      <c r="C64" s="205"/>
      <c r="D64" s="205"/>
      <c r="E64" s="205"/>
      <c r="F64" s="206"/>
      <c r="G64" s="179" t="s">
        <v>453</v>
      </c>
      <c r="H64" s="180"/>
      <c r="I64" s="92">
        <f>Sheet6!I64</f>
        <v>0</v>
      </c>
      <c r="J64" s="92">
        <v>0</v>
      </c>
      <c r="K64" s="65">
        <f>Sheet6!K64</f>
        <v>0</v>
      </c>
      <c r="L64" s="65">
        <f>Sheet6!L64</f>
        <v>52</v>
      </c>
      <c r="M64" s="65">
        <f>Sheet6!M64</f>
        <v>0</v>
      </c>
      <c r="N64" s="66">
        <f>Sheet6!N64</f>
        <v>4.1477272727272724E-2</v>
      </c>
      <c r="O64" s="66">
        <f>Sheet6!O64</f>
        <v>0.33503787878787877</v>
      </c>
      <c r="P64" s="66">
        <f>Sheet6!P64</f>
        <v>0.47424242424242419</v>
      </c>
      <c r="Q64" s="65">
        <f>Sheet6!Q64</f>
        <v>748</v>
      </c>
      <c r="R64" s="65">
        <f>Sheet6!R64</f>
        <v>189</v>
      </c>
      <c r="S64" s="65">
        <f>Sheet6!S64</f>
        <v>0</v>
      </c>
      <c r="T64" s="65">
        <f>Sheet6!T64</f>
        <v>44</v>
      </c>
      <c r="U64" s="65">
        <f>Sheet6!U64</f>
        <v>0</v>
      </c>
      <c r="V64" s="65">
        <f>Sheet6!V64</f>
        <v>263</v>
      </c>
      <c r="W64" s="65">
        <f>Sheet6!W64</f>
        <v>23</v>
      </c>
      <c r="X64" s="65">
        <f>Sheet6!X64</f>
        <v>0</v>
      </c>
      <c r="Y64" s="65">
        <f>Sheet6!Y64</f>
        <v>0</v>
      </c>
      <c r="Z64" s="65">
        <f>Sheet6!Z64</f>
        <v>0</v>
      </c>
      <c r="AA64" s="65">
        <v>0</v>
      </c>
    </row>
    <row r="65" spans="1:28" ht="11.45" customHeight="1" thickBot="1" x14ac:dyDescent="0.3">
      <c r="A65" s="201" t="s">
        <v>425</v>
      </c>
      <c r="B65" s="202"/>
      <c r="C65" s="202"/>
      <c r="D65" s="202"/>
      <c r="E65" s="202"/>
      <c r="F65" s="203"/>
      <c r="G65" s="179" t="s">
        <v>452</v>
      </c>
      <c r="H65" s="180"/>
      <c r="I65" s="93">
        <f xml:space="preserve"> Sheet7!I65</f>
        <v>388</v>
      </c>
      <c r="J65" s="93">
        <f>Sheet7!J65</f>
        <v>1</v>
      </c>
      <c r="K65" s="67">
        <f>Sheet7!K65</f>
        <v>34</v>
      </c>
      <c r="L65" s="67">
        <f>Sheet7!L65</f>
        <v>81</v>
      </c>
      <c r="M65" s="67">
        <f>Sheet7!M65</f>
        <v>12</v>
      </c>
      <c r="N65" s="66">
        <f>Sheet7!N65</f>
        <v>0</v>
      </c>
      <c r="O65" s="66">
        <f>Sheet7!O65</f>
        <v>0</v>
      </c>
      <c r="P65" s="66">
        <f>Sheet7!P65</f>
        <v>1.2843181818181819</v>
      </c>
      <c r="Q65" s="67">
        <f>Sheet7!Q65</f>
        <v>0</v>
      </c>
      <c r="R65" s="67">
        <f>Sheet7!R65</f>
        <v>0</v>
      </c>
      <c r="S65" s="67">
        <f>Sheet7!S65</f>
        <v>0</v>
      </c>
      <c r="T65" s="67">
        <f>Sheet7!T65</f>
        <v>12</v>
      </c>
      <c r="U65" s="67">
        <f>Sheet7!U65</f>
        <v>0</v>
      </c>
      <c r="V65" s="67">
        <f>Sheet7!V65</f>
        <v>0</v>
      </c>
      <c r="W65" s="67">
        <f>Sheet7!W65</f>
        <v>7</v>
      </c>
      <c r="X65" s="67">
        <f>Sheet7!X65</f>
        <v>0</v>
      </c>
      <c r="Y65" s="67">
        <f>Sheet7!Y65</f>
        <v>549</v>
      </c>
      <c r="Z65" s="67">
        <f>Sheet7!Z65</f>
        <v>0</v>
      </c>
      <c r="AA65" s="67">
        <f>Sheet7!AA65</f>
        <v>0</v>
      </c>
      <c r="AB65">
        <v>7</v>
      </c>
    </row>
    <row r="66" spans="1:28" ht="11.45" customHeight="1" thickBot="1" x14ac:dyDescent="0.3">
      <c r="A66" s="204"/>
      <c r="B66" s="205"/>
      <c r="C66" s="205"/>
      <c r="D66" s="205"/>
      <c r="E66" s="205"/>
      <c r="F66" s="206"/>
      <c r="G66" s="179" t="s">
        <v>453</v>
      </c>
      <c r="H66" s="180"/>
      <c r="I66" s="93">
        <f>Sheet7!I66</f>
        <v>0</v>
      </c>
      <c r="J66" s="93">
        <f>Sheet7!J66</f>
        <v>0</v>
      </c>
      <c r="K66" s="67">
        <f>Sheet7!K66</f>
        <v>0</v>
      </c>
      <c r="L66" s="67">
        <f>Sheet7!L66</f>
        <v>18</v>
      </c>
      <c r="M66" s="67">
        <f>Sheet7!M66</f>
        <v>0</v>
      </c>
      <c r="N66" s="66">
        <f>Sheet7!N66</f>
        <v>0</v>
      </c>
      <c r="O66" s="66">
        <f>Sheet7!O66</f>
        <v>0.23882575757575755</v>
      </c>
      <c r="P66" s="66">
        <f>Sheet7!P66</f>
        <v>0.43087121212121204</v>
      </c>
      <c r="Q66" s="67">
        <f>Sheet7!Q66</f>
        <v>0</v>
      </c>
      <c r="R66" s="67">
        <f>Sheet7!R66</f>
        <v>128</v>
      </c>
      <c r="S66" s="67">
        <f>Sheet7!S66</f>
        <v>0</v>
      </c>
      <c r="T66" s="67">
        <f>Sheet7!T66</f>
        <v>24</v>
      </c>
      <c r="U66" s="67">
        <f>Sheet7!U66</f>
        <v>0</v>
      </c>
      <c r="V66" s="67">
        <f>Sheet7!V66</f>
        <v>0</v>
      </c>
      <c r="W66" s="67">
        <f>Sheet7!W66</f>
        <v>0</v>
      </c>
      <c r="X66" s="65">
        <f>Sheet7!X66</f>
        <v>217.55555555555554</v>
      </c>
      <c r="Y66" s="67">
        <f>Sheet7!Y66</f>
        <v>0</v>
      </c>
      <c r="Z66" s="67">
        <f>Sheet7!Z66</f>
        <v>0</v>
      </c>
      <c r="AA66" s="67">
        <f>Sheet7!AA66</f>
        <v>0</v>
      </c>
    </row>
    <row r="67" spans="1:28" ht="11.45" customHeight="1" thickBot="1" x14ac:dyDescent="0.3">
      <c r="A67" s="201" t="s">
        <v>425</v>
      </c>
      <c r="B67" s="202"/>
      <c r="C67" s="202"/>
      <c r="D67" s="202"/>
      <c r="E67" s="202"/>
      <c r="F67" s="203"/>
      <c r="G67" s="179" t="s">
        <v>452</v>
      </c>
      <c r="H67" s="180"/>
      <c r="I67" s="92">
        <f xml:space="preserve"> Sheet8!I62</f>
        <v>0</v>
      </c>
      <c r="J67" s="92">
        <f>Sheet8!J62</f>
        <v>0</v>
      </c>
      <c r="K67" s="65">
        <f>Sheet8!K62</f>
        <v>48</v>
      </c>
      <c r="L67" s="65">
        <f>Sheet8!L62</f>
        <v>64</v>
      </c>
      <c r="M67" s="65">
        <f>Sheet8!M62</f>
        <v>16</v>
      </c>
      <c r="N67" s="66">
        <f>Sheet8!N62</f>
        <v>0.15151515151515152</v>
      </c>
      <c r="O67" s="66">
        <f>Sheet8!O62</f>
        <v>0.13011363636363638</v>
      </c>
      <c r="P67" s="66">
        <f>Sheet8!P62</f>
        <v>0.92329545454545459</v>
      </c>
      <c r="Q67" s="65">
        <f>Sheet8!Q62</f>
        <v>488</v>
      </c>
      <c r="R67" s="65">
        <f>Sheet8!R62</f>
        <v>235</v>
      </c>
      <c r="S67" s="65">
        <f>Sheet8!S62</f>
        <v>0</v>
      </c>
      <c r="T67" s="65">
        <f>Sheet8!T62</f>
        <v>22</v>
      </c>
      <c r="U67" s="65">
        <f>Sheet8!U62</f>
        <v>0</v>
      </c>
      <c r="V67" s="65">
        <f>Sheet8!V62</f>
        <v>0</v>
      </c>
      <c r="W67" s="65">
        <f>Sheet8!W62</f>
        <v>6</v>
      </c>
      <c r="X67" s="65">
        <f>Sheet8!X62</f>
        <v>0</v>
      </c>
      <c r="Y67" s="65">
        <f>Sheet8!Y62</f>
        <v>800</v>
      </c>
      <c r="Z67" s="65">
        <f>Sheet8!Z62</f>
        <v>0</v>
      </c>
      <c r="AA67" s="65">
        <f>Sheet8!AA62</f>
        <v>0</v>
      </c>
      <c r="AB67">
        <v>8</v>
      </c>
    </row>
    <row r="68" spans="1:28" ht="11.45" customHeight="1" thickBot="1" x14ac:dyDescent="0.3">
      <c r="A68" s="204"/>
      <c r="B68" s="205"/>
      <c r="C68" s="205"/>
      <c r="D68" s="205"/>
      <c r="E68" s="205"/>
      <c r="F68" s="206"/>
      <c r="G68" s="179" t="s">
        <v>453</v>
      </c>
      <c r="H68" s="180"/>
      <c r="I68" s="92">
        <f>Sheet8!I63</f>
        <v>0</v>
      </c>
      <c r="J68" s="92">
        <f>Sheet8!J63</f>
        <v>0</v>
      </c>
      <c r="K68" s="65">
        <f>Sheet8!K63</f>
        <v>0</v>
      </c>
      <c r="L68" s="65">
        <f>Sheet8!L63</f>
        <v>41</v>
      </c>
      <c r="M68" s="65">
        <f>Sheet8!M63</f>
        <v>0</v>
      </c>
      <c r="N68" s="66">
        <f>Sheet8!N63</f>
        <v>0.12878787878787878</v>
      </c>
      <c r="O68" s="66">
        <f>Sheet8!O63</f>
        <v>0.11477272727272728</v>
      </c>
      <c r="P68" s="66">
        <f>Sheet8!P63</f>
        <v>0.24242424242424243</v>
      </c>
      <c r="Q68" s="65">
        <f>Sheet8!Q63</f>
        <v>498</v>
      </c>
      <c r="R68" s="65">
        <f>Sheet8!R63</f>
        <v>270</v>
      </c>
      <c r="S68" s="65">
        <f>Sheet8!S63</f>
        <v>0</v>
      </c>
      <c r="T68" s="65">
        <f>Sheet8!T63</f>
        <v>24</v>
      </c>
      <c r="U68" s="65">
        <f>Sheet8!U63</f>
        <v>0</v>
      </c>
      <c r="V68" s="65">
        <f>Sheet8!V63</f>
        <v>0</v>
      </c>
      <c r="W68" s="65">
        <f>Sheet8!W63</f>
        <v>3</v>
      </c>
      <c r="X68" s="65">
        <f>Sheet8!X63</f>
        <v>0</v>
      </c>
      <c r="Y68" s="65">
        <f>Sheet8!Y63</f>
        <v>0</v>
      </c>
      <c r="Z68" s="65">
        <f>Sheet8!Z63</f>
        <v>0</v>
      </c>
      <c r="AA68" s="65">
        <f>Sheet8!AA63</f>
        <v>0</v>
      </c>
    </row>
    <row r="69" spans="1:28" ht="11.45" customHeight="1" thickBot="1" x14ac:dyDescent="0.3">
      <c r="A69" s="201" t="s">
        <v>425</v>
      </c>
      <c r="B69" s="202"/>
      <c r="C69" s="202"/>
      <c r="D69" s="202"/>
      <c r="E69" s="202"/>
      <c r="F69" s="203"/>
      <c r="G69" s="179" t="s">
        <v>452</v>
      </c>
      <c r="H69" s="180"/>
      <c r="I69" s="92">
        <f xml:space="preserve"> Sheet9!I62</f>
        <v>810</v>
      </c>
      <c r="J69" s="92">
        <f>Sheet9!J62</f>
        <v>1</v>
      </c>
      <c r="K69" s="63">
        <f>Sheet9!K62</f>
        <v>108</v>
      </c>
      <c r="L69" s="63">
        <f>Sheet9!L62</f>
        <v>194</v>
      </c>
      <c r="M69" s="63">
        <f>Sheet9!M62</f>
        <v>37</v>
      </c>
      <c r="N69" s="64">
        <f>Sheet9!N62</f>
        <v>0.56553030303030294</v>
      </c>
      <c r="O69" s="64">
        <f>Sheet9!O62</f>
        <v>0</v>
      </c>
      <c r="P69" s="64">
        <f>Sheet9!P62</f>
        <v>1.7581439393939393</v>
      </c>
      <c r="Q69" s="63">
        <f>Sheet9!Q62</f>
        <v>4436</v>
      </c>
      <c r="R69" s="63">
        <f>Sheet9!R62</f>
        <v>430</v>
      </c>
      <c r="S69" s="63">
        <f>Sheet9!S62</f>
        <v>0</v>
      </c>
      <c r="T69" s="63">
        <f>Sheet9!T62</f>
        <v>24</v>
      </c>
      <c r="U69" s="63">
        <f>Sheet9!U62</f>
        <v>0</v>
      </c>
      <c r="V69" s="63">
        <f>Sheet9!V62</f>
        <v>0</v>
      </c>
      <c r="W69" s="63">
        <f>Sheet9!W62</f>
        <v>4</v>
      </c>
      <c r="X69" s="63">
        <f>Sheet9!X62</f>
        <v>0</v>
      </c>
      <c r="Y69" s="63">
        <f>Sheet9!Y62</f>
        <v>1775</v>
      </c>
      <c r="Z69" s="63">
        <f>Sheet9!Z62</f>
        <v>0</v>
      </c>
      <c r="AA69" s="63">
        <f>Sheet9!AA62</f>
        <v>0</v>
      </c>
      <c r="AB69">
        <v>9</v>
      </c>
    </row>
    <row r="70" spans="1:28" ht="11.45" customHeight="1" thickBot="1" x14ac:dyDescent="0.3">
      <c r="A70" s="204"/>
      <c r="B70" s="205"/>
      <c r="C70" s="205"/>
      <c r="D70" s="205"/>
      <c r="E70" s="205"/>
      <c r="F70" s="206"/>
      <c r="G70" s="179" t="s">
        <v>453</v>
      </c>
      <c r="H70" s="180"/>
      <c r="I70" s="92">
        <f>Sheet9!I63</f>
        <v>0</v>
      </c>
      <c r="J70" s="92">
        <f>Sheet9!J63</f>
        <v>0</v>
      </c>
      <c r="K70" s="63">
        <f>Sheet9!K63</f>
        <v>0</v>
      </c>
      <c r="L70" s="63">
        <f>Sheet9!L63</f>
        <v>0</v>
      </c>
      <c r="M70" s="63">
        <f>Sheet9!M63</f>
        <v>0</v>
      </c>
      <c r="N70" s="64">
        <f>Sheet9!N63</f>
        <v>0</v>
      </c>
      <c r="O70" s="64">
        <f>Sheet9!O63</f>
        <v>0</v>
      </c>
      <c r="P70" s="64">
        <f>Sheet9!P63</f>
        <v>9.4696969696969696E-2</v>
      </c>
      <c r="Q70" s="63">
        <f>Sheet9!Q63</f>
        <v>0</v>
      </c>
      <c r="R70" s="63">
        <f>Sheet9!R63</f>
        <v>0</v>
      </c>
      <c r="S70" s="63">
        <f>Sheet9!S63</f>
        <v>0</v>
      </c>
      <c r="T70" s="63">
        <f>Sheet9!T63</f>
        <v>0</v>
      </c>
      <c r="U70" s="63">
        <f>Sheet9!U63</f>
        <v>0</v>
      </c>
      <c r="V70" s="63">
        <f>Sheet9!V63</f>
        <v>0</v>
      </c>
      <c r="W70" s="63">
        <f>Sheet9!W63</f>
        <v>0</v>
      </c>
      <c r="X70" s="63">
        <f>Sheet9!X63</f>
        <v>0</v>
      </c>
      <c r="Y70" s="63">
        <f>Sheet9!Y63</f>
        <v>0</v>
      </c>
      <c r="Z70" s="63">
        <f>Sheet9!Z63</f>
        <v>0</v>
      </c>
      <c r="AA70" s="63">
        <f>Sheet9!AA63</f>
        <v>0</v>
      </c>
    </row>
    <row r="71" spans="1:28" ht="11.45" customHeight="1" thickBot="1" x14ac:dyDescent="0.3">
      <c r="A71" s="197" t="s">
        <v>455</v>
      </c>
      <c r="B71" s="198"/>
      <c r="C71" s="198"/>
      <c r="D71" s="198"/>
      <c r="E71" s="198"/>
      <c r="F71" s="199"/>
      <c r="G71" s="179" t="s">
        <v>452</v>
      </c>
      <c r="H71" s="180"/>
      <c r="I71" s="92">
        <f>SUM(I51,I53,I55,I57,I59,I61,I63,I65,I67,I69)</f>
        <v>4230</v>
      </c>
      <c r="J71" s="92">
        <f>SUM(J51,J53,J55,J57,J59,J61,J63,J65,J67,J69)</f>
        <v>18</v>
      </c>
      <c r="K71" s="63">
        <f t="shared" ref="K71:AA71" si="5">SUM(K51,K53,K55,K57,K59,K61,K63,K65,K67,K69)</f>
        <v>784</v>
      </c>
      <c r="L71" s="63">
        <f t="shared" ref="L71" si="6">SUM(L51,L53,L55,L57,L59,L61,L63,L65,L67,L69)</f>
        <v>794.5</v>
      </c>
      <c r="M71" s="63">
        <f t="shared" si="5"/>
        <v>268</v>
      </c>
      <c r="N71" s="64">
        <f t="shared" si="5"/>
        <v>1.2272727272727271</v>
      </c>
      <c r="O71" s="64">
        <f t="shared" si="5"/>
        <v>0.36401515151515151</v>
      </c>
      <c r="P71" s="64">
        <f t="shared" si="5"/>
        <v>8.9627272727272729</v>
      </c>
      <c r="Q71" s="63">
        <f t="shared" si="5"/>
        <v>14197</v>
      </c>
      <c r="R71" s="63">
        <f t="shared" si="5"/>
        <v>3051</v>
      </c>
      <c r="S71" s="63">
        <f t="shared" si="5"/>
        <v>0</v>
      </c>
      <c r="T71" s="63">
        <f t="shared" si="5"/>
        <v>189</v>
      </c>
      <c r="U71" s="63">
        <f t="shared" si="5"/>
        <v>0</v>
      </c>
      <c r="V71" s="63">
        <f t="shared" si="5"/>
        <v>0</v>
      </c>
      <c r="W71" s="63">
        <f t="shared" si="5"/>
        <v>41</v>
      </c>
      <c r="X71" s="63">
        <f t="shared" si="5"/>
        <v>7413.333333333333</v>
      </c>
      <c r="Y71" s="63">
        <f t="shared" si="5"/>
        <v>13332</v>
      </c>
      <c r="Z71" s="63">
        <f t="shared" si="5"/>
        <v>1</v>
      </c>
      <c r="AA71" s="63">
        <f t="shared" si="5"/>
        <v>0</v>
      </c>
    </row>
    <row r="72" spans="1:28" ht="11.45" customHeight="1" thickBot="1" x14ac:dyDescent="0.3">
      <c r="A72" s="104"/>
      <c r="B72" s="105"/>
      <c r="C72" s="105"/>
      <c r="D72" s="105"/>
      <c r="E72" s="105"/>
      <c r="F72" s="200"/>
      <c r="G72" s="179" t="s">
        <v>453</v>
      </c>
      <c r="H72" s="180"/>
      <c r="I72" s="92">
        <f>SUM(I52,I54,I56,I58,I60,I62,I64,I66,I68,I70)</f>
        <v>0</v>
      </c>
      <c r="J72" s="92">
        <f t="shared" ref="J72:AA72" si="7">SUM(J52,J54,J56,J58,J60,J62,J64,J66,J68,J70)</f>
        <v>0</v>
      </c>
      <c r="K72" s="63">
        <f t="shared" si="7"/>
        <v>0</v>
      </c>
      <c r="L72" s="63">
        <f t="shared" ref="L72" si="8">SUM(L52,L54,L56,L58,L60,L62,L64,L66,L68,L70)</f>
        <v>226</v>
      </c>
      <c r="M72" s="63">
        <f t="shared" si="7"/>
        <v>0</v>
      </c>
      <c r="N72" s="64">
        <f t="shared" si="7"/>
        <v>0.28984848484848486</v>
      </c>
      <c r="O72" s="64">
        <f t="shared" si="7"/>
        <v>1.1503787878787879</v>
      </c>
      <c r="P72" s="64">
        <f t="shared" si="7"/>
        <v>2.1420454545454541</v>
      </c>
      <c r="Q72" s="63">
        <f t="shared" si="7"/>
        <v>2854</v>
      </c>
      <c r="R72" s="63">
        <f t="shared" si="7"/>
        <v>1545</v>
      </c>
      <c r="S72" s="63">
        <f t="shared" si="7"/>
        <v>295</v>
      </c>
      <c r="T72" s="63">
        <f t="shared" si="7"/>
        <v>217</v>
      </c>
      <c r="U72" s="63">
        <f t="shared" si="7"/>
        <v>0</v>
      </c>
      <c r="V72" s="63">
        <f t="shared" si="7"/>
        <v>533</v>
      </c>
      <c r="W72" s="63">
        <f t="shared" si="7"/>
        <v>77</v>
      </c>
      <c r="X72" s="63">
        <f t="shared" si="7"/>
        <v>859.55555555555554</v>
      </c>
      <c r="Y72" s="63">
        <f t="shared" si="7"/>
        <v>0</v>
      </c>
      <c r="Z72" s="63">
        <f t="shared" si="7"/>
        <v>0</v>
      </c>
      <c r="AA72" s="63">
        <f t="shared" si="7"/>
        <v>0</v>
      </c>
    </row>
    <row r="73" spans="1:28" ht="11.45" customHeight="1" x14ac:dyDescent="0.25">
      <c r="A73" s="188" t="s">
        <v>5</v>
      </c>
      <c r="B73" s="188"/>
      <c r="C73" s="188"/>
      <c r="D73" s="188"/>
      <c r="E73" s="188"/>
      <c r="F73" s="188"/>
      <c r="G73" s="188"/>
      <c r="H73" s="188"/>
      <c r="I73" s="195">
        <f>SUM(I71:I72)</f>
        <v>4230</v>
      </c>
      <c r="J73" s="195">
        <f>SUM(J71:J72)</f>
        <v>18</v>
      </c>
      <c r="K73" s="193">
        <f>SUM(K71:K72)</f>
        <v>784</v>
      </c>
      <c r="L73" s="193">
        <f>SUM(L71:L72)</f>
        <v>1020.5</v>
      </c>
      <c r="M73" s="193">
        <f>SUM(M71:M72)</f>
        <v>268</v>
      </c>
      <c r="N73" s="186">
        <f t="shared" ref="N73:AA73" si="9">SUM(N71:N72)</f>
        <v>1.5171212121212119</v>
      </c>
      <c r="O73" s="186">
        <f t="shared" si="9"/>
        <v>1.5143939393939394</v>
      </c>
      <c r="P73" s="186">
        <f t="shared" si="9"/>
        <v>11.104772727272728</v>
      </c>
      <c r="Q73" s="193">
        <f t="shared" si="9"/>
        <v>17051</v>
      </c>
      <c r="R73" s="193">
        <f t="shared" si="9"/>
        <v>4596</v>
      </c>
      <c r="S73" s="193">
        <f t="shared" si="9"/>
        <v>295</v>
      </c>
      <c r="T73" s="193">
        <f t="shared" si="9"/>
        <v>406</v>
      </c>
      <c r="U73" s="193">
        <f t="shared" si="9"/>
        <v>0</v>
      </c>
      <c r="V73" s="193">
        <f t="shared" si="9"/>
        <v>533</v>
      </c>
      <c r="W73" s="193">
        <f t="shared" si="9"/>
        <v>118</v>
      </c>
      <c r="X73" s="193">
        <f t="shared" si="9"/>
        <v>8272.8888888888887</v>
      </c>
      <c r="Y73" s="193">
        <f t="shared" si="9"/>
        <v>13332</v>
      </c>
      <c r="Z73" s="193">
        <f t="shared" si="9"/>
        <v>1</v>
      </c>
      <c r="AA73" s="193">
        <f t="shared" si="9"/>
        <v>0</v>
      </c>
    </row>
    <row r="74" spans="1:28" ht="11.45" customHeight="1" thickBot="1" x14ac:dyDescent="0.3">
      <c r="A74" s="189"/>
      <c r="B74" s="189"/>
      <c r="C74" s="189"/>
      <c r="D74" s="189"/>
      <c r="E74" s="189"/>
      <c r="F74" s="189"/>
      <c r="G74" s="189"/>
      <c r="H74" s="189"/>
      <c r="I74" s="196"/>
      <c r="J74" s="196"/>
      <c r="K74" s="194"/>
      <c r="L74" s="194"/>
      <c r="M74" s="194"/>
      <c r="N74" s="187"/>
      <c r="O74" s="187"/>
      <c r="P74" s="187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</row>
  </sheetData>
  <mergeCells count="132">
    <mergeCell ref="L73:L74"/>
    <mergeCell ref="I73:I74"/>
    <mergeCell ref="J73:J74"/>
    <mergeCell ref="K73:K74"/>
    <mergeCell ref="M73:M74"/>
    <mergeCell ref="N73:N74"/>
    <mergeCell ref="A51:F52"/>
    <mergeCell ref="A53:F54"/>
    <mergeCell ref="A55:F56"/>
    <mergeCell ref="A57:F58"/>
    <mergeCell ref="A59:F60"/>
    <mergeCell ref="A71:F72"/>
    <mergeCell ref="G71:H71"/>
    <mergeCell ref="G72:H72"/>
    <mergeCell ref="G61:H61"/>
    <mergeCell ref="G62:H62"/>
    <mergeCell ref="G63:H63"/>
    <mergeCell ref="G64:H64"/>
    <mergeCell ref="G65:H65"/>
    <mergeCell ref="A69:F70"/>
    <mergeCell ref="A61:F62"/>
    <mergeCell ref="A63:F64"/>
    <mergeCell ref="A65:F66"/>
    <mergeCell ref="A67:F68"/>
    <mergeCell ref="G69:H69"/>
    <mergeCell ref="G36:H36"/>
    <mergeCell ref="G37:H37"/>
    <mergeCell ref="G38:H38"/>
    <mergeCell ref="G10:H10"/>
    <mergeCell ref="G11:H11"/>
    <mergeCell ref="G12:H12"/>
    <mergeCell ref="G13:H13"/>
    <mergeCell ref="G14:H14"/>
    <mergeCell ref="G21:H21"/>
    <mergeCell ref="G29:H29"/>
    <mergeCell ref="G30:H30"/>
    <mergeCell ref="G26:H26"/>
    <mergeCell ref="G27:H27"/>
    <mergeCell ref="G28:H28"/>
    <mergeCell ref="G46:H46"/>
    <mergeCell ref="G54:H54"/>
    <mergeCell ref="G55:H55"/>
    <mergeCell ref="G66:H66"/>
    <mergeCell ref="G67:H67"/>
    <mergeCell ref="G68:H68"/>
    <mergeCell ref="G22:H22"/>
    <mergeCell ref="G23:H23"/>
    <mergeCell ref="G24:H24"/>
    <mergeCell ref="AA73:AA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Y73:Y74"/>
    <mergeCell ref="Z73:Z74"/>
    <mergeCell ref="G70:H70"/>
    <mergeCell ref="O73:O74"/>
    <mergeCell ref="G47:H47"/>
    <mergeCell ref="G48:H48"/>
    <mergeCell ref="A73:H74"/>
    <mergeCell ref="D34:E34"/>
    <mergeCell ref="J2:J7"/>
    <mergeCell ref="K2:K7"/>
    <mergeCell ref="M2:M7"/>
    <mergeCell ref="D40:E40"/>
    <mergeCell ref="D45:E45"/>
    <mergeCell ref="D48:E48"/>
    <mergeCell ref="D15:E15"/>
    <mergeCell ref="D19:E19"/>
    <mergeCell ref="D20:E20"/>
    <mergeCell ref="D23:E23"/>
    <mergeCell ref="D29:E29"/>
    <mergeCell ref="D22:E22"/>
    <mergeCell ref="D25:E25"/>
    <mergeCell ref="G15:H15"/>
    <mergeCell ref="A9:H9"/>
    <mergeCell ref="G16:H16"/>
    <mergeCell ref="G18:H18"/>
    <mergeCell ref="G19:H19"/>
    <mergeCell ref="G25:H25"/>
    <mergeCell ref="G20:H20"/>
    <mergeCell ref="AA2:AA7"/>
    <mergeCell ref="X2:X7"/>
    <mergeCell ref="Y2:Y7"/>
    <mergeCell ref="Z2:Z7"/>
    <mergeCell ref="Q2:Q7"/>
    <mergeCell ref="R2:R7"/>
    <mergeCell ref="S2:S7"/>
    <mergeCell ref="T2:T7"/>
    <mergeCell ref="U2:U7"/>
    <mergeCell ref="W2:W7"/>
    <mergeCell ref="V2:V7"/>
    <mergeCell ref="P2:P7"/>
    <mergeCell ref="N2:N7"/>
    <mergeCell ref="O2:O7"/>
    <mergeCell ref="I2:I7"/>
    <mergeCell ref="A1:A8"/>
    <mergeCell ref="B1:B8"/>
    <mergeCell ref="C1:C8"/>
    <mergeCell ref="D1:E7"/>
    <mergeCell ref="F1:F8"/>
    <mergeCell ref="G1:H8"/>
    <mergeCell ref="L2:L7"/>
    <mergeCell ref="D12:E12"/>
    <mergeCell ref="D11:E11"/>
    <mergeCell ref="G56:H56"/>
    <mergeCell ref="G57:H57"/>
    <mergeCell ref="G58:H58"/>
    <mergeCell ref="G59:H59"/>
    <mergeCell ref="G60:H60"/>
    <mergeCell ref="G39:H39"/>
    <mergeCell ref="G40:H40"/>
    <mergeCell ref="G31:H31"/>
    <mergeCell ref="G32:H32"/>
    <mergeCell ref="G33:H33"/>
    <mergeCell ref="G34:H34"/>
    <mergeCell ref="G35:H35"/>
    <mergeCell ref="G44:H44"/>
    <mergeCell ref="G45:H45"/>
    <mergeCell ref="G49:H49"/>
    <mergeCell ref="G50:H50"/>
    <mergeCell ref="G41:H41"/>
    <mergeCell ref="G42:H42"/>
    <mergeCell ref="G43:H43"/>
    <mergeCell ref="G51:H51"/>
    <mergeCell ref="G52:H52"/>
    <mergeCell ref="G53:H53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2E008-A0ED-4D0D-85C2-2293D2BA5A31}">
  <sheetPr codeName="Sheet2"/>
  <dimension ref="A1:AA64"/>
  <sheetViews>
    <sheetView zoomScale="85" zoomScaleNormal="85" workbookViewId="0">
      <selection activeCell="AA64" sqref="A1:AA64"/>
    </sheetView>
  </sheetViews>
  <sheetFormatPr defaultRowHeight="15" x14ac:dyDescent="0.25"/>
  <cols>
    <col min="1" max="1" width="10.42578125" customWidth="1"/>
    <col min="2" max="2" width="13.140625" customWidth="1"/>
    <col min="3" max="3" width="20.7109375" customWidth="1"/>
    <col min="4" max="4" width="9.140625" customWidth="1"/>
    <col min="5" max="5" width="8.7109375" customWidth="1"/>
    <col min="6" max="6" width="9" customWidth="1"/>
    <col min="8" max="8" width="9.140625" customWidth="1"/>
    <col min="24" max="24" width="10.28515625" customWidth="1"/>
    <col min="25" max="25" width="9" customWidth="1"/>
    <col min="27" max="27" width="9" customWidth="1"/>
  </cols>
  <sheetData>
    <row r="1" spans="1:27" ht="14.45" customHeight="1" x14ac:dyDescent="0.25">
      <c r="A1" s="114" t="s">
        <v>43</v>
      </c>
      <c r="B1" s="114" t="s">
        <v>27</v>
      </c>
      <c r="C1" s="114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  <c r="AA1" s="1"/>
    </row>
    <row r="2" spans="1:27" ht="16.149999999999999" customHeight="1" x14ac:dyDescent="0.25">
      <c r="A2" s="115"/>
      <c r="B2" s="115"/>
      <c r="C2" s="115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16</v>
      </c>
      <c r="T2" s="111" t="s">
        <v>17</v>
      </c>
      <c r="U2" s="111" t="s">
        <v>18</v>
      </c>
      <c r="V2" s="111" t="s">
        <v>438</v>
      </c>
      <c r="W2" s="111" t="s">
        <v>19</v>
      </c>
      <c r="X2" s="111" t="s">
        <v>20</v>
      </c>
      <c r="Y2" s="111" t="s">
        <v>22</v>
      </c>
      <c r="Z2" s="111" t="s">
        <v>448</v>
      </c>
      <c r="AA2" s="111"/>
    </row>
    <row r="3" spans="1:27" ht="15" customHeight="1" x14ac:dyDescent="0.25">
      <c r="A3" s="115"/>
      <c r="B3" s="115"/>
      <c r="C3" s="115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27" ht="16.149999999999999" customHeight="1" x14ac:dyDescent="0.25">
      <c r="A4" s="115"/>
      <c r="B4" s="115"/>
      <c r="C4" s="115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1:27" ht="9" customHeight="1" x14ac:dyDescent="0.25">
      <c r="A5" s="115"/>
      <c r="B5" s="115"/>
      <c r="C5" s="115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7" ht="15" customHeight="1" x14ac:dyDescent="0.25">
      <c r="A6" s="115"/>
      <c r="B6" s="115"/>
      <c r="C6" s="115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 ht="16.149999999999999" customHeight="1" x14ac:dyDescent="0.25">
      <c r="A7" s="115"/>
      <c r="B7" s="115"/>
      <c r="C7" s="115"/>
      <c r="D7" s="118"/>
      <c r="E7" s="118"/>
      <c r="F7" s="120"/>
      <c r="G7" s="126"/>
      <c r="H7" s="127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27" ht="13.15" customHeight="1" x14ac:dyDescent="0.25">
      <c r="A8" s="115"/>
      <c r="B8" s="115"/>
      <c r="C8" s="115"/>
      <c r="D8" s="118"/>
      <c r="E8" s="118"/>
      <c r="F8" s="120"/>
      <c r="G8" s="126"/>
      <c r="H8" s="127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</row>
    <row r="9" spans="1:27" ht="18" customHeight="1" thickBot="1" x14ac:dyDescent="0.3">
      <c r="A9" s="116"/>
      <c r="B9" s="116"/>
      <c r="C9" s="116"/>
      <c r="D9" s="53" t="s">
        <v>3</v>
      </c>
      <c r="E9" s="53" t="s">
        <v>4</v>
      </c>
      <c r="F9" s="121"/>
      <c r="G9" s="128"/>
      <c r="H9" s="129"/>
      <c r="I9" s="2" t="s">
        <v>9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11</v>
      </c>
      <c r="O9" s="2" t="s">
        <v>11</v>
      </c>
      <c r="P9" s="2" t="s">
        <v>11</v>
      </c>
      <c r="Q9" s="2" t="s">
        <v>9</v>
      </c>
      <c r="R9" s="2" t="s">
        <v>9</v>
      </c>
      <c r="S9" s="2" t="s">
        <v>9</v>
      </c>
      <c r="T9" s="2" t="s">
        <v>9</v>
      </c>
      <c r="U9" s="2" t="s">
        <v>9</v>
      </c>
      <c r="V9" s="2" t="s">
        <v>9</v>
      </c>
      <c r="W9" s="2" t="s">
        <v>6</v>
      </c>
      <c r="X9" s="2" t="s">
        <v>21</v>
      </c>
      <c r="Y9" s="2" t="s">
        <v>9</v>
      </c>
      <c r="Z9" s="2" t="s">
        <v>6</v>
      </c>
      <c r="AA9" s="2"/>
    </row>
    <row r="10" spans="1:27" x14ac:dyDescent="0.25">
      <c r="A10" s="134" t="s">
        <v>35</v>
      </c>
      <c r="B10" s="135"/>
      <c r="C10" s="135"/>
      <c r="D10" s="135"/>
      <c r="E10" s="135"/>
      <c r="F10" s="135"/>
      <c r="G10" s="135"/>
      <c r="H10" s="13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5">
      <c r="A11" s="49" t="s">
        <v>66</v>
      </c>
      <c r="B11" s="16" t="s">
        <v>298</v>
      </c>
      <c r="C11" s="8" t="s">
        <v>48</v>
      </c>
      <c r="D11" s="107">
        <v>95518</v>
      </c>
      <c r="E11" s="108"/>
      <c r="F11" s="5" t="s">
        <v>8</v>
      </c>
      <c r="G11" s="109" t="s">
        <v>452</v>
      </c>
      <c r="H11" s="110"/>
      <c r="I11" s="5"/>
      <c r="J11" s="5">
        <v>1</v>
      </c>
      <c r="K11" s="7"/>
      <c r="L11" s="7"/>
      <c r="M11" s="7"/>
      <c r="N11" s="6"/>
      <c r="O11" s="6"/>
      <c r="P11" s="6"/>
      <c r="Q11" s="7"/>
      <c r="R11" s="7"/>
      <c r="S11" s="6"/>
      <c r="T11" s="6"/>
      <c r="U11" s="6"/>
      <c r="V11" s="6"/>
      <c r="W11" s="6"/>
      <c r="X11" s="6"/>
      <c r="Y11" s="7"/>
      <c r="Z11" s="7"/>
      <c r="AA11" s="7"/>
    </row>
    <row r="12" spans="1:27" ht="15" customHeight="1" x14ac:dyDescent="0.25">
      <c r="A12" s="49" t="s">
        <v>66</v>
      </c>
      <c r="B12" s="16" t="s">
        <v>363</v>
      </c>
      <c r="C12" s="8" t="s">
        <v>48</v>
      </c>
      <c r="D12" s="107">
        <v>95539</v>
      </c>
      <c r="E12" s="108"/>
      <c r="F12" s="5" t="s">
        <v>8</v>
      </c>
      <c r="G12" s="97" t="s">
        <v>452</v>
      </c>
      <c r="H12" s="98"/>
      <c r="I12" s="5"/>
      <c r="J12" s="5">
        <v>1</v>
      </c>
      <c r="K12" s="7"/>
      <c r="L12" s="7"/>
      <c r="M12" s="7"/>
      <c r="N12" s="6"/>
      <c r="O12" s="6"/>
      <c r="P12" s="6"/>
      <c r="Q12" s="7"/>
      <c r="R12" s="7"/>
      <c r="S12" s="6"/>
      <c r="T12" s="6"/>
      <c r="U12" s="6"/>
      <c r="V12" s="6"/>
      <c r="W12" s="6"/>
      <c r="X12" s="6"/>
      <c r="Y12" s="7"/>
      <c r="Z12" s="7"/>
      <c r="AA12" s="7"/>
    </row>
    <row r="13" spans="1:27" ht="15" customHeight="1" x14ac:dyDescent="0.25">
      <c r="A13" s="49" t="s">
        <v>66</v>
      </c>
      <c r="B13" s="16" t="s">
        <v>494</v>
      </c>
      <c r="C13" s="8" t="s">
        <v>48</v>
      </c>
      <c r="D13" s="12">
        <v>95518</v>
      </c>
      <c r="E13" s="12">
        <v>95550</v>
      </c>
      <c r="F13" s="5" t="s">
        <v>8</v>
      </c>
      <c r="G13" s="97" t="s">
        <v>452</v>
      </c>
      <c r="H13" s="98"/>
      <c r="I13" s="7"/>
      <c r="J13" s="5"/>
      <c r="K13" s="7">
        <f>ROUNDUP((Y13/50)*3,0)</f>
        <v>2</v>
      </c>
      <c r="L13" s="7"/>
      <c r="M13" s="7">
        <f>ROUNDUP(Y13/50,0)</f>
        <v>1</v>
      </c>
      <c r="N13" s="6"/>
      <c r="O13" s="6"/>
      <c r="P13" s="6"/>
      <c r="Q13" s="7"/>
      <c r="R13" s="7"/>
      <c r="S13" s="6"/>
      <c r="T13" s="6"/>
      <c r="U13" s="6"/>
      <c r="V13" s="6"/>
      <c r="W13" s="6"/>
      <c r="X13" s="6"/>
      <c r="Y13" s="7">
        <f>E13-D13</f>
        <v>32</v>
      </c>
      <c r="Z13" s="7"/>
      <c r="AA13" s="7"/>
    </row>
    <row r="14" spans="1:27" ht="15" customHeight="1" x14ac:dyDescent="0.25">
      <c r="A14" s="49" t="s">
        <v>66</v>
      </c>
      <c r="B14" s="16" t="s">
        <v>495</v>
      </c>
      <c r="C14" s="8" t="s">
        <v>48</v>
      </c>
      <c r="D14" s="12">
        <v>95539</v>
      </c>
      <c r="E14" s="12">
        <v>95550</v>
      </c>
      <c r="F14" s="5" t="s">
        <v>8</v>
      </c>
      <c r="G14" s="97" t="s">
        <v>452</v>
      </c>
      <c r="H14" s="98"/>
      <c r="I14" s="7"/>
      <c r="J14" s="5"/>
      <c r="K14" s="7">
        <f>ROUNDUP((Y14/50)*3,0)</f>
        <v>1</v>
      </c>
      <c r="L14" s="7"/>
      <c r="M14" s="7">
        <f>ROUNDUP(Y14/50,0)</f>
        <v>1</v>
      </c>
      <c r="N14" s="6"/>
      <c r="O14" s="6"/>
      <c r="P14" s="6"/>
      <c r="Q14" s="7"/>
      <c r="R14" s="7"/>
      <c r="S14" s="6"/>
      <c r="T14" s="6"/>
      <c r="U14" s="6"/>
      <c r="V14" s="6"/>
      <c r="W14" s="6"/>
      <c r="X14" s="6"/>
      <c r="Y14" s="7">
        <f>E14-D14</f>
        <v>11</v>
      </c>
      <c r="Z14" s="7"/>
      <c r="AA14" s="7"/>
    </row>
    <row r="15" spans="1:27" ht="15" customHeight="1" x14ac:dyDescent="0.25">
      <c r="A15" s="16"/>
      <c r="B15" s="16"/>
      <c r="C15" s="5"/>
      <c r="D15" s="12"/>
      <c r="E15" s="12"/>
      <c r="F15" s="5"/>
      <c r="G15" s="79"/>
      <c r="H15" s="10"/>
      <c r="I15" s="7"/>
      <c r="J15" s="5"/>
      <c r="K15" s="7"/>
      <c r="L15" s="7"/>
      <c r="M15" s="7"/>
      <c r="N15" s="6"/>
      <c r="O15" s="6"/>
      <c r="P15" s="6"/>
      <c r="Q15" s="7"/>
      <c r="R15" s="7"/>
      <c r="S15" s="6"/>
      <c r="T15" s="6"/>
      <c r="U15" s="6"/>
      <c r="V15" s="6"/>
      <c r="W15" s="6"/>
      <c r="X15" s="6"/>
      <c r="Y15" s="7"/>
      <c r="Z15" s="7"/>
      <c r="AA15" s="7"/>
    </row>
    <row r="16" spans="1:27" x14ac:dyDescent="0.25">
      <c r="A16" s="49" t="s">
        <v>67</v>
      </c>
      <c r="B16" s="16" t="s">
        <v>38</v>
      </c>
      <c r="C16" s="5" t="s">
        <v>84</v>
      </c>
      <c r="D16" s="12">
        <v>94550</v>
      </c>
      <c r="E16" s="12">
        <v>1550</v>
      </c>
      <c r="F16" s="5" t="s">
        <v>7</v>
      </c>
      <c r="G16" s="133" t="s">
        <v>452</v>
      </c>
      <c r="H16" s="133"/>
      <c r="I16" s="16"/>
      <c r="J16" s="5"/>
      <c r="K16" s="7"/>
      <c r="L16" s="7"/>
      <c r="M16" s="7"/>
      <c r="N16" s="6"/>
      <c r="O16" s="6"/>
      <c r="P16" s="6">
        <f xml:space="preserve"> (57+45+87+301+260+80+117+123+108)/5280</f>
        <v>0.22310606060606061</v>
      </c>
      <c r="Q16" s="7"/>
      <c r="R16" s="7"/>
      <c r="S16" s="6"/>
      <c r="T16" s="6"/>
      <c r="U16" s="6"/>
      <c r="V16" s="6"/>
      <c r="W16" s="6"/>
      <c r="X16" s="6"/>
      <c r="Y16" s="7"/>
      <c r="Z16" s="6"/>
      <c r="AA16" s="6"/>
    </row>
    <row r="17" spans="1:27" x14ac:dyDescent="0.25">
      <c r="A17" s="49" t="s">
        <v>67</v>
      </c>
      <c r="B17" s="16" t="s">
        <v>57</v>
      </c>
      <c r="C17" s="8" t="s">
        <v>48</v>
      </c>
      <c r="D17" s="12">
        <v>94550</v>
      </c>
      <c r="E17" s="12">
        <v>94731</v>
      </c>
      <c r="F17" s="5" t="s">
        <v>7</v>
      </c>
      <c r="G17" s="109" t="s">
        <v>452</v>
      </c>
      <c r="H17" s="110"/>
      <c r="I17" s="3"/>
      <c r="J17" s="3"/>
      <c r="K17" s="9"/>
      <c r="L17" s="9"/>
      <c r="M17" s="9"/>
      <c r="N17" s="4"/>
      <c r="O17" s="4"/>
      <c r="P17" s="4"/>
      <c r="Q17" s="9"/>
      <c r="R17" s="9"/>
      <c r="S17" s="4"/>
      <c r="T17" s="4"/>
      <c r="U17" s="4"/>
      <c r="V17" s="4"/>
      <c r="W17" s="4"/>
      <c r="X17" s="9"/>
      <c r="Y17" s="9"/>
      <c r="Z17" s="4"/>
      <c r="AA17" s="4"/>
    </row>
    <row r="18" spans="1:27" x14ac:dyDescent="0.25">
      <c r="A18" s="49" t="s">
        <v>67</v>
      </c>
      <c r="B18" s="16" t="s">
        <v>53</v>
      </c>
      <c r="C18" s="10" t="s">
        <v>48</v>
      </c>
      <c r="D18" s="12">
        <v>94550</v>
      </c>
      <c r="E18" s="12">
        <v>95205</v>
      </c>
      <c r="F18" s="5" t="s">
        <v>7</v>
      </c>
      <c r="G18" s="109" t="s">
        <v>452</v>
      </c>
      <c r="H18" s="110"/>
      <c r="I18" s="7">
        <v>118</v>
      </c>
      <c r="J18" s="5"/>
      <c r="K18" s="7">
        <f xml:space="preserve"> ROUNDUP((I18/50)*3, 0)</f>
        <v>8</v>
      </c>
      <c r="L18" s="7"/>
      <c r="M18" s="7">
        <f xml:space="preserve"> ROUNDUP((I18/50), 0)</f>
        <v>3</v>
      </c>
      <c r="N18" s="6"/>
      <c r="O18" s="6"/>
      <c r="P18" s="6"/>
      <c r="Q18" s="7"/>
      <c r="R18" s="7"/>
      <c r="S18" s="6"/>
      <c r="T18" s="6"/>
      <c r="U18" s="6"/>
      <c r="V18" s="6"/>
      <c r="W18" s="6"/>
      <c r="X18" s="6"/>
      <c r="Y18" s="7">
        <f xml:space="preserve"> E18-D18</f>
        <v>655</v>
      </c>
      <c r="Z18" s="6"/>
      <c r="AA18" s="6"/>
    </row>
    <row r="19" spans="1:27" x14ac:dyDescent="0.25">
      <c r="A19" s="49" t="s">
        <v>67</v>
      </c>
      <c r="B19" s="16" t="s">
        <v>75</v>
      </c>
      <c r="C19" s="16" t="s">
        <v>48</v>
      </c>
      <c r="D19" s="52">
        <v>94550</v>
      </c>
      <c r="E19" s="52">
        <v>95550</v>
      </c>
      <c r="F19" s="16" t="s">
        <v>7</v>
      </c>
      <c r="G19" s="109" t="s">
        <v>452</v>
      </c>
      <c r="H19" s="110"/>
      <c r="I19" s="16"/>
      <c r="J19" s="16"/>
      <c r="K19" s="16"/>
      <c r="L19" s="9">
        <f xml:space="preserve"> ROUNDUP(Q19/40, 0)</f>
        <v>25</v>
      </c>
      <c r="M19" s="16"/>
      <c r="N19" s="16"/>
      <c r="O19" s="16"/>
      <c r="P19" s="16"/>
      <c r="Q19" s="45">
        <f xml:space="preserve"> E19-D19</f>
        <v>1000</v>
      </c>
      <c r="R19" s="7"/>
      <c r="S19" s="6"/>
      <c r="T19" s="6"/>
      <c r="U19" s="6"/>
      <c r="V19" s="6"/>
      <c r="W19" s="6"/>
      <c r="X19" s="7"/>
      <c r="Y19" s="7"/>
      <c r="Z19" s="6"/>
      <c r="AA19" s="6"/>
    </row>
    <row r="20" spans="1:27" x14ac:dyDescent="0.25">
      <c r="A20" s="49" t="s">
        <v>67</v>
      </c>
      <c r="B20" s="54" t="s">
        <v>76</v>
      </c>
      <c r="C20" s="10" t="s">
        <v>48</v>
      </c>
      <c r="D20" s="17">
        <v>94658</v>
      </c>
      <c r="E20" s="17">
        <v>94849</v>
      </c>
      <c r="F20" s="3" t="s">
        <v>7</v>
      </c>
      <c r="G20" s="109" t="s">
        <v>452</v>
      </c>
      <c r="H20" s="110"/>
      <c r="I20" s="3"/>
      <c r="J20" s="3"/>
      <c r="K20" s="9"/>
      <c r="L20" s="9">
        <f xml:space="preserve"> ROUNDUP(Q20/40, 0)</f>
        <v>6</v>
      </c>
      <c r="M20" s="9"/>
      <c r="N20" s="4"/>
      <c r="O20" s="4"/>
      <c r="P20" s="4"/>
      <c r="Q20" s="9">
        <f xml:space="preserve"> 119+117</f>
        <v>236</v>
      </c>
      <c r="R20" s="7"/>
      <c r="S20" s="6"/>
      <c r="T20" s="6"/>
      <c r="U20" s="6"/>
      <c r="V20" s="6"/>
      <c r="W20" s="6"/>
      <c r="X20" s="7"/>
      <c r="Y20" s="7"/>
      <c r="Z20" s="6"/>
      <c r="AA20" s="6"/>
    </row>
    <row r="21" spans="1:27" x14ac:dyDescent="0.25">
      <c r="A21" s="49" t="s">
        <v>67</v>
      </c>
      <c r="B21" s="16" t="s">
        <v>77</v>
      </c>
      <c r="C21" s="8" t="s">
        <v>48</v>
      </c>
      <c r="D21" s="12">
        <v>94658</v>
      </c>
      <c r="E21" s="12">
        <v>94898</v>
      </c>
      <c r="F21" s="5" t="s">
        <v>7</v>
      </c>
      <c r="G21" s="109" t="s">
        <v>452</v>
      </c>
      <c r="H21" s="110"/>
      <c r="I21" s="7"/>
      <c r="J21" s="5"/>
      <c r="K21" s="7"/>
      <c r="L21" s="7">
        <f xml:space="preserve"> ROUNDUP((94898-94658)/40, 0)</f>
        <v>6</v>
      </c>
      <c r="M21" s="7"/>
      <c r="N21" s="6"/>
      <c r="O21" s="6"/>
      <c r="P21" s="6"/>
      <c r="Q21" s="7">
        <f xml:space="preserve"> E21-D21</f>
        <v>240</v>
      </c>
      <c r="R21" s="16"/>
      <c r="S21" s="16"/>
      <c r="T21" s="16"/>
      <c r="U21" s="16"/>
      <c r="V21" s="16"/>
      <c r="W21" s="16"/>
      <c r="X21" s="16"/>
      <c r="Y21" s="16"/>
      <c r="Z21" s="6"/>
      <c r="AA21" s="6"/>
    </row>
    <row r="22" spans="1:27" x14ac:dyDescent="0.25">
      <c r="A22" s="49"/>
      <c r="B22" s="16"/>
      <c r="C22" s="8"/>
      <c r="D22" s="107"/>
      <c r="E22" s="108"/>
      <c r="F22" s="5"/>
      <c r="G22" s="109"/>
      <c r="H22" s="110"/>
      <c r="I22" s="7"/>
      <c r="J22" s="5"/>
      <c r="K22" s="7"/>
      <c r="L22" s="7"/>
      <c r="M22" s="7"/>
      <c r="N22" s="6"/>
      <c r="O22" s="6"/>
      <c r="P22" s="46"/>
      <c r="Q22" s="7"/>
      <c r="R22" s="7"/>
      <c r="S22" s="6"/>
      <c r="T22" s="6"/>
      <c r="U22" s="6"/>
      <c r="V22" s="6"/>
      <c r="W22" s="6"/>
      <c r="X22" s="7"/>
      <c r="Y22" s="7"/>
      <c r="Z22" s="6"/>
      <c r="AA22" s="6"/>
    </row>
    <row r="23" spans="1:27" x14ac:dyDescent="0.25">
      <c r="A23" s="49" t="s">
        <v>67</v>
      </c>
      <c r="B23" s="16" t="s">
        <v>79</v>
      </c>
      <c r="C23" s="8" t="s">
        <v>48</v>
      </c>
      <c r="D23" s="12">
        <v>94550</v>
      </c>
      <c r="E23" s="12">
        <v>95550</v>
      </c>
      <c r="F23" s="5"/>
      <c r="G23" s="109" t="s">
        <v>452</v>
      </c>
      <c r="H23" s="110"/>
      <c r="I23" s="7"/>
      <c r="J23" s="5"/>
      <c r="K23" s="7"/>
      <c r="L23" s="7"/>
      <c r="M23" s="7"/>
      <c r="N23" s="6"/>
      <c r="O23" s="6"/>
      <c r="P23" s="6">
        <f xml:space="preserve"> (E23-D23)/5280</f>
        <v>0.18939393939393939</v>
      </c>
      <c r="Q23" s="7"/>
      <c r="R23" s="7"/>
      <c r="S23" s="6"/>
      <c r="T23" s="6"/>
      <c r="U23" s="6"/>
      <c r="V23" s="6"/>
      <c r="W23" s="6"/>
      <c r="X23" s="6"/>
      <c r="Y23" s="7"/>
      <c r="Z23" s="6"/>
      <c r="AA23" s="6"/>
    </row>
    <row r="24" spans="1:27" x14ac:dyDescent="0.25">
      <c r="A24" s="49" t="s">
        <v>67</v>
      </c>
      <c r="B24" s="16" t="s">
        <v>78</v>
      </c>
      <c r="C24" s="8" t="s">
        <v>48</v>
      </c>
      <c r="D24" s="12">
        <v>94898</v>
      </c>
      <c r="E24" s="12">
        <v>95550</v>
      </c>
      <c r="F24" s="5" t="s">
        <v>7</v>
      </c>
      <c r="G24" s="109" t="s">
        <v>452</v>
      </c>
      <c r="H24" s="110"/>
      <c r="I24" s="5"/>
      <c r="J24" s="5"/>
      <c r="K24" s="7"/>
      <c r="L24" s="7"/>
      <c r="M24" s="7"/>
      <c r="N24" s="6"/>
      <c r="O24" s="6"/>
      <c r="P24" s="6">
        <f xml:space="preserve"> (E24-D24)/5280</f>
        <v>0.12348484848484849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49" t="s">
        <v>67</v>
      </c>
      <c r="B25" s="16" t="s">
        <v>80</v>
      </c>
      <c r="C25" s="8" t="s">
        <v>48</v>
      </c>
      <c r="D25" s="107">
        <v>95205</v>
      </c>
      <c r="E25" s="108"/>
      <c r="F25" s="5" t="s">
        <v>7</v>
      </c>
      <c r="G25" s="109" t="s">
        <v>452</v>
      </c>
      <c r="H25" s="110"/>
      <c r="I25" s="5"/>
      <c r="J25" s="5"/>
      <c r="K25" s="7"/>
      <c r="L25" s="7"/>
      <c r="M25" s="7"/>
      <c r="N25" s="6"/>
      <c r="O25" s="6"/>
      <c r="P25" s="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5">
      <c r="A26" s="49" t="s">
        <v>67</v>
      </c>
      <c r="B26" s="16" t="s">
        <v>81</v>
      </c>
      <c r="C26" s="8" t="s">
        <v>83</v>
      </c>
      <c r="D26" s="107">
        <v>1702</v>
      </c>
      <c r="E26" s="108"/>
      <c r="F26" s="5" t="s">
        <v>7</v>
      </c>
      <c r="G26" s="109" t="s">
        <v>452</v>
      </c>
      <c r="H26" s="110"/>
      <c r="I26" s="5"/>
      <c r="J26" s="5">
        <v>1</v>
      </c>
      <c r="K26" s="7"/>
      <c r="L26" s="7"/>
      <c r="M26" s="7"/>
      <c r="N26" s="6"/>
      <c r="O26" s="6"/>
      <c r="P26" s="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5">
      <c r="A27" s="49" t="s">
        <v>67</v>
      </c>
      <c r="B27" s="16" t="s">
        <v>36</v>
      </c>
      <c r="C27" s="8" t="s">
        <v>83</v>
      </c>
      <c r="D27" s="12">
        <v>1550</v>
      </c>
      <c r="E27" s="12">
        <v>1663</v>
      </c>
      <c r="F27" s="5" t="s">
        <v>7</v>
      </c>
      <c r="G27" s="109" t="s">
        <v>452</v>
      </c>
      <c r="H27" s="110"/>
      <c r="I27" s="7">
        <v>113</v>
      </c>
      <c r="J27" s="5"/>
      <c r="K27" s="7">
        <f xml:space="preserve"> ROUNDUP((I27/50)*3, 0)</f>
        <v>7</v>
      </c>
      <c r="L27" s="7"/>
      <c r="M27" s="7">
        <f xml:space="preserve"> ROUNDUP((I27/50), 0)</f>
        <v>3</v>
      </c>
      <c r="N27" s="6"/>
      <c r="O27" s="6"/>
      <c r="P27" s="6"/>
      <c r="Q27" s="7"/>
      <c r="R27" s="7"/>
      <c r="S27" s="6"/>
      <c r="T27" s="6"/>
      <c r="U27" s="6"/>
      <c r="V27" s="6"/>
      <c r="W27" s="6"/>
      <c r="X27" s="6"/>
      <c r="Y27" s="7">
        <f xml:space="preserve"> E27-D27</f>
        <v>113</v>
      </c>
      <c r="Z27" s="7"/>
      <c r="AA27" s="7"/>
    </row>
    <row r="28" spans="1:27" x14ac:dyDescent="0.25">
      <c r="A28" s="49"/>
      <c r="B28" s="16"/>
      <c r="C28" s="8"/>
      <c r="D28" s="107"/>
      <c r="E28" s="108"/>
      <c r="F28" s="5"/>
      <c r="G28" s="109"/>
      <c r="H28" s="110"/>
      <c r="I28" s="5"/>
      <c r="J28" s="5"/>
      <c r="K28" s="7"/>
      <c r="L28" s="7"/>
      <c r="M28" s="7"/>
      <c r="N28" s="6"/>
      <c r="O28" s="6"/>
      <c r="P28" s="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49" t="s">
        <v>67</v>
      </c>
      <c r="B29" s="16" t="s">
        <v>41</v>
      </c>
      <c r="C29" s="8" t="s">
        <v>82</v>
      </c>
      <c r="D29" s="12">
        <v>1550</v>
      </c>
      <c r="E29" s="12">
        <v>1888</v>
      </c>
      <c r="F29" s="5" t="s">
        <v>7</v>
      </c>
      <c r="G29" s="109" t="s">
        <v>452</v>
      </c>
      <c r="H29" s="110"/>
      <c r="I29" s="5"/>
      <c r="J29" s="5"/>
      <c r="K29" s="7"/>
      <c r="L29" s="7"/>
      <c r="M29" s="7"/>
      <c r="N29" s="6"/>
      <c r="O29" s="6"/>
      <c r="P29" s="6">
        <f xml:space="preserve"> (E29-D29)/5280</f>
        <v>6.4015151515151511E-2</v>
      </c>
      <c r="Q29" s="7"/>
      <c r="R29" s="7"/>
      <c r="S29" s="6"/>
      <c r="T29" s="6"/>
      <c r="U29" s="6"/>
      <c r="V29" s="6"/>
      <c r="W29" s="6"/>
      <c r="X29" s="6"/>
      <c r="Y29" s="7"/>
      <c r="Z29" s="6"/>
      <c r="AA29" s="6"/>
    </row>
    <row r="30" spans="1:27" x14ac:dyDescent="0.25">
      <c r="A30" s="49" t="s">
        <v>67</v>
      </c>
      <c r="B30" s="16" t="s">
        <v>34</v>
      </c>
      <c r="C30" s="8" t="s">
        <v>83</v>
      </c>
      <c r="D30" s="12">
        <v>1550</v>
      </c>
      <c r="E30" s="12">
        <v>1702</v>
      </c>
      <c r="F30" s="5" t="s">
        <v>7</v>
      </c>
      <c r="G30" s="109" t="s">
        <v>452</v>
      </c>
      <c r="H30" s="110"/>
      <c r="I30" s="7">
        <v>152</v>
      </c>
      <c r="J30" s="5"/>
      <c r="K30" s="7">
        <f xml:space="preserve"> ROUNDUP((I30/50)*3, 0)</f>
        <v>10</v>
      </c>
      <c r="L30" s="7"/>
      <c r="M30" s="7">
        <f xml:space="preserve"> ROUNDUP((I30/50), 0)</f>
        <v>4</v>
      </c>
      <c r="N30" s="6"/>
      <c r="O30" s="6"/>
      <c r="P30" s="6"/>
      <c r="Q30" s="7"/>
      <c r="R30" s="7"/>
      <c r="S30" s="6"/>
      <c r="T30" s="6"/>
      <c r="U30" s="6"/>
      <c r="V30" s="6"/>
      <c r="W30" s="6"/>
      <c r="X30" s="6"/>
      <c r="Y30" s="7">
        <f xml:space="preserve"> E30-D30</f>
        <v>152</v>
      </c>
      <c r="Z30" s="7"/>
      <c r="AA30" s="7"/>
    </row>
    <row r="31" spans="1:27" x14ac:dyDescent="0.25">
      <c r="A31" s="49" t="s">
        <v>67</v>
      </c>
      <c r="B31" s="16" t="s">
        <v>40</v>
      </c>
      <c r="C31" s="8" t="s">
        <v>82</v>
      </c>
      <c r="D31" s="12">
        <v>1550</v>
      </c>
      <c r="E31" s="12">
        <v>1721</v>
      </c>
      <c r="F31" s="5" t="s">
        <v>8</v>
      </c>
      <c r="G31" s="109" t="s">
        <v>452</v>
      </c>
      <c r="H31" s="110"/>
      <c r="I31" s="5"/>
      <c r="J31" s="5"/>
      <c r="K31" s="7"/>
      <c r="L31" s="7">
        <f xml:space="preserve"> ROUNDUP((P31*5280)/40, 0)</f>
        <v>5</v>
      </c>
      <c r="M31" s="7"/>
      <c r="N31" s="6"/>
      <c r="O31" s="6"/>
      <c r="P31" s="6">
        <f xml:space="preserve"> (E31-D31)/5280</f>
        <v>3.2386363636363637E-2</v>
      </c>
      <c r="Q31" s="7"/>
      <c r="R31" s="7"/>
      <c r="S31" s="6"/>
      <c r="T31" s="6"/>
      <c r="U31" s="6"/>
      <c r="V31" s="6"/>
      <c r="W31" s="6"/>
      <c r="X31" s="6"/>
      <c r="Y31" s="7"/>
      <c r="Z31" s="6"/>
      <c r="AA31" s="6"/>
    </row>
    <row r="32" spans="1:27" x14ac:dyDescent="0.25">
      <c r="A32" s="49" t="s">
        <v>67</v>
      </c>
      <c r="B32" s="16" t="s">
        <v>39</v>
      </c>
      <c r="C32" s="8" t="s">
        <v>82</v>
      </c>
      <c r="D32" s="12">
        <v>1550</v>
      </c>
      <c r="E32" s="12">
        <v>1741</v>
      </c>
      <c r="F32" s="5" t="s">
        <v>7</v>
      </c>
      <c r="G32" s="109" t="s">
        <v>452</v>
      </c>
      <c r="H32" s="110"/>
      <c r="I32" s="5"/>
      <c r="J32" s="5"/>
      <c r="K32" s="7"/>
      <c r="L32" s="7">
        <f xml:space="preserve"> ROUNDUP((P32*5280)/40, 0)</f>
        <v>5</v>
      </c>
      <c r="M32" s="7"/>
      <c r="N32" s="6"/>
      <c r="O32" s="6"/>
      <c r="P32" s="6">
        <f xml:space="preserve"> (E32-D32)/5280</f>
        <v>3.6174242424242421E-2</v>
      </c>
      <c r="Q32" s="7"/>
      <c r="R32" s="7"/>
      <c r="S32" s="6"/>
      <c r="T32" s="6"/>
      <c r="U32" s="6"/>
      <c r="V32" s="6"/>
      <c r="W32" s="6"/>
      <c r="X32" s="7"/>
      <c r="Y32" s="7"/>
      <c r="Z32" s="6"/>
      <c r="AA32" s="6"/>
    </row>
    <row r="33" spans="1:27" x14ac:dyDescent="0.25">
      <c r="A33" s="49"/>
      <c r="B33" s="16"/>
      <c r="C33" s="8"/>
      <c r="D33" s="107"/>
      <c r="E33" s="108"/>
      <c r="F33" s="5"/>
      <c r="G33" s="109"/>
      <c r="H33" s="110"/>
      <c r="I33" s="5"/>
      <c r="J33" s="5"/>
      <c r="K33" s="7"/>
      <c r="L33" s="7"/>
      <c r="M33" s="7"/>
      <c r="N33" s="6"/>
      <c r="O33" s="6"/>
      <c r="P33" s="6"/>
      <c r="Q33" s="7"/>
      <c r="R33" s="7"/>
      <c r="S33" s="6"/>
      <c r="T33" s="6"/>
      <c r="U33" s="6"/>
      <c r="V33" s="6"/>
      <c r="W33" s="6"/>
      <c r="X33" s="6"/>
      <c r="Y33" s="7"/>
      <c r="Z33" s="6"/>
      <c r="AA33" s="6"/>
    </row>
    <row r="34" spans="1:27" x14ac:dyDescent="0.25">
      <c r="A34" s="49" t="s">
        <v>85</v>
      </c>
      <c r="B34" s="16" t="s">
        <v>46</v>
      </c>
      <c r="C34" s="10" t="s">
        <v>48</v>
      </c>
      <c r="D34" s="12">
        <v>96350</v>
      </c>
      <c r="E34" s="12">
        <v>96434</v>
      </c>
      <c r="F34" s="5" t="s">
        <v>8</v>
      </c>
      <c r="G34" s="109" t="s">
        <v>452</v>
      </c>
      <c r="H34" s="110"/>
      <c r="I34" s="5"/>
      <c r="J34" s="5"/>
      <c r="K34" s="7"/>
      <c r="L34" s="9">
        <f xml:space="preserve"> ROUNDUP(Q34/40, 0)</f>
        <v>3</v>
      </c>
      <c r="M34" s="7"/>
      <c r="N34" s="6"/>
      <c r="O34" s="6"/>
      <c r="P34" s="6"/>
      <c r="Q34" s="7">
        <f xml:space="preserve"> E34-D34</f>
        <v>84</v>
      </c>
      <c r="R34" s="7"/>
      <c r="S34" s="6"/>
      <c r="T34" s="6"/>
      <c r="U34" s="6"/>
      <c r="V34" s="6"/>
      <c r="W34" s="6"/>
      <c r="X34" s="6"/>
      <c r="Y34" s="7"/>
      <c r="Z34" s="6"/>
      <c r="AA34" s="6"/>
    </row>
    <row r="35" spans="1:27" x14ac:dyDescent="0.25">
      <c r="A35" s="49" t="s">
        <v>85</v>
      </c>
      <c r="B35" s="16" t="s">
        <v>496</v>
      </c>
      <c r="C35" s="10" t="s">
        <v>48</v>
      </c>
      <c r="D35" s="12">
        <v>96350</v>
      </c>
      <c r="E35" s="12">
        <v>96472</v>
      </c>
      <c r="F35" s="5" t="s">
        <v>7</v>
      </c>
      <c r="G35" s="109" t="s">
        <v>452</v>
      </c>
      <c r="H35" s="110"/>
      <c r="I35" s="7"/>
      <c r="J35" s="5"/>
      <c r="K35" s="7">
        <f xml:space="preserve"> ROUNDUP((Y35/50)*3, 0)</f>
        <v>8</v>
      </c>
      <c r="L35" s="7"/>
      <c r="M35" s="7">
        <f xml:space="preserve"> ROUNDUP((Y35/50), 0)</f>
        <v>3</v>
      </c>
      <c r="N35" s="6"/>
      <c r="O35" s="6"/>
      <c r="P35" s="6"/>
      <c r="Q35" s="7"/>
      <c r="R35" s="7"/>
      <c r="S35" s="6"/>
      <c r="T35" s="6"/>
      <c r="U35" s="6"/>
      <c r="V35" s="6"/>
      <c r="W35" s="6"/>
      <c r="X35" s="6"/>
      <c r="Y35" s="7">
        <f>E35-D35</f>
        <v>122</v>
      </c>
      <c r="Z35" s="6"/>
      <c r="AA35" s="6"/>
    </row>
    <row r="36" spans="1:27" x14ac:dyDescent="0.25">
      <c r="A36" s="49" t="s">
        <v>85</v>
      </c>
      <c r="B36" s="16" t="s">
        <v>498</v>
      </c>
      <c r="C36" s="10" t="s">
        <v>48</v>
      </c>
      <c r="D36" s="107">
        <v>96472</v>
      </c>
      <c r="E36" s="108"/>
      <c r="F36" s="5" t="s">
        <v>7</v>
      </c>
      <c r="G36" s="109" t="s">
        <v>452</v>
      </c>
      <c r="H36" s="110"/>
      <c r="I36" s="5"/>
      <c r="J36" s="5">
        <v>1</v>
      </c>
      <c r="K36" s="7"/>
      <c r="L36" s="7"/>
      <c r="M36" s="7"/>
      <c r="N36" s="6"/>
      <c r="O36" s="6"/>
      <c r="P36" s="6"/>
      <c r="Q36" s="7"/>
      <c r="R36" s="7"/>
      <c r="S36" s="6"/>
      <c r="T36" s="6"/>
      <c r="U36" s="6"/>
      <c r="V36" s="6"/>
      <c r="W36" s="6"/>
      <c r="X36" s="6"/>
      <c r="Y36" s="7"/>
      <c r="Z36" s="6"/>
      <c r="AA36" s="6"/>
    </row>
    <row r="37" spans="1:27" x14ac:dyDescent="0.25">
      <c r="A37" s="49"/>
      <c r="B37" s="16"/>
      <c r="C37" s="10"/>
      <c r="D37" s="107"/>
      <c r="E37" s="108"/>
      <c r="F37" s="5"/>
      <c r="G37" s="109"/>
      <c r="H37" s="110"/>
      <c r="I37" s="5"/>
      <c r="J37" s="5"/>
      <c r="K37" s="7"/>
      <c r="L37" s="7"/>
      <c r="M37" s="7"/>
      <c r="N37" s="6"/>
      <c r="O37" s="6"/>
      <c r="P37" s="6"/>
      <c r="Q37" s="7"/>
      <c r="R37" s="7"/>
      <c r="S37" s="6"/>
      <c r="T37" s="6"/>
      <c r="U37" s="6"/>
      <c r="V37" s="6"/>
      <c r="W37" s="6"/>
      <c r="X37" s="6"/>
      <c r="Y37" s="7"/>
      <c r="Z37" s="6"/>
      <c r="AA37" s="6"/>
    </row>
    <row r="38" spans="1:27" x14ac:dyDescent="0.25">
      <c r="A38" s="49" t="s">
        <v>86</v>
      </c>
      <c r="B38" s="16" t="s">
        <v>54</v>
      </c>
      <c r="C38" s="8" t="s">
        <v>48</v>
      </c>
      <c r="D38" s="12">
        <v>91865</v>
      </c>
      <c r="E38" s="12">
        <v>93550</v>
      </c>
      <c r="F38" s="5" t="s">
        <v>7</v>
      </c>
      <c r="G38" s="109" t="s">
        <v>452</v>
      </c>
      <c r="H38" s="110"/>
      <c r="I38" s="5"/>
      <c r="J38" s="5"/>
      <c r="K38" s="7"/>
      <c r="L38" s="7"/>
      <c r="M38" s="7"/>
      <c r="N38" s="6"/>
      <c r="O38" s="6"/>
      <c r="P38" s="6">
        <f xml:space="preserve"> (E38-D38)/5280</f>
        <v>0.3191287878787879</v>
      </c>
      <c r="Q38" s="7"/>
      <c r="R38" s="7"/>
      <c r="S38" s="6"/>
      <c r="T38" s="6"/>
      <c r="U38" s="6"/>
      <c r="V38" s="6"/>
      <c r="W38" s="7"/>
      <c r="X38" s="7"/>
      <c r="Y38" s="7"/>
      <c r="Z38" s="6"/>
      <c r="AA38" s="6"/>
    </row>
    <row r="39" spans="1:27" ht="15" customHeight="1" x14ac:dyDescent="0.25">
      <c r="A39" s="49" t="s">
        <v>86</v>
      </c>
      <c r="B39" s="16" t="s">
        <v>38</v>
      </c>
      <c r="C39" s="8" t="s">
        <v>48</v>
      </c>
      <c r="D39" s="12">
        <v>91865</v>
      </c>
      <c r="E39" s="12">
        <v>93550</v>
      </c>
      <c r="F39" s="5" t="s">
        <v>7</v>
      </c>
      <c r="G39" s="109" t="s">
        <v>452</v>
      </c>
      <c r="H39" s="110"/>
      <c r="I39" s="5"/>
      <c r="J39" s="5"/>
      <c r="K39" s="7"/>
      <c r="L39" s="7"/>
      <c r="M39" s="7"/>
      <c r="N39" s="6"/>
      <c r="O39" s="6"/>
      <c r="P39" s="6">
        <f xml:space="preserve"> (E39-D39)/5280</f>
        <v>0.3191287878787879</v>
      </c>
      <c r="Q39" s="7"/>
      <c r="R39" s="7"/>
      <c r="S39" s="6"/>
      <c r="T39" s="6"/>
      <c r="U39" s="6"/>
      <c r="V39" s="6"/>
      <c r="W39" s="6"/>
      <c r="X39" s="6"/>
      <c r="Y39" s="7"/>
      <c r="Z39" s="6"/>
      <c r="AA39" s="6"/>
    </row>
    <row r="40" spans="1:27" ht="15" customHeight="1" x14ac:dyDescent="0.25">
      <c r="A40" s="49" t="s">
        <v>86</v>
      </c>
      <c r="B40" s="16" t="s">
        <v>57</v>
      </c>
      <c r="C40" s="8" t="s">
        <v>48</v>
      </c>
      <c r="D40" s="12">
        <v>92126</v>
      </c>
      <c r="E40" s="12">
        <v>92550</v>
      </c>
      <c r="F40" s="5" t="s">
        <v>7</v>
      </c>
      <c r="G40" s="109" t="s">
        <v>452</v>
      </c>
      <c r="H40" s="110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</row>
    <row r="41" spans="1:27" ht="15" customHeight="1" x14ac:dyDescent="0.25">
      <c r="A41" s="49" t="s">
        <v>86</v>
      </c>
      <c r="B41" s="16" t="s">
        <v>87</v>
      </c>
      <c r="C41" s="8" t="s">
        <v>48</v>
      </c>
      <c r="D41" s="12">
        <v>91565</v>
      </c>
      <c r="E41" s="12">
        <v>92550</v>
      </c>
      <c r="F41" s="5" t="s">
        <v>7</v>
      </c>
      <c r="G41" s="109" t="s">
        <v>504</v>
      </c>
      <c r="H41" s="110"/>
      <c r="I41" s="3"/>
      <c r="J41" s="3"/>
      <c r="K41" s="9"/>
      <c r="L41" s="9">
        <f xml:space="preserve"> ROUNDUP(Q41/40, 0)</f>
        <v>25</v>
      </c>
      <c r="M41" s="9"/>
      <c r="N41" s="4"/>
      <c r="O41" s="4"/>
      <c r="P41" s="4"/>
      <c r="Q41" s="9">
        <f>E41-D41</f>
        <v>985</v>
      </c>
      <c r="R41" s="9"/>
      <c r="S41" s="4"/>
      <c r="T41" s="4"/>
      <c r="U41" s="4"/>
      <c r="V41" s="4"/>
      <c r="W41" s="4"/>
      <c r="X41" s="4"/>
      <c r="Y41" s="9"/>
      <c r="Z41" s="4"/>
      <c r="AA41" s="4"/>
    </row>
    <row r="42" spans="1:27" ht="15" customHeight="1" x14ac:dyDescent="0.25">
      <c r="A42" s="49"/>
      <c r="B42" s="16"/>
      <c r="C42" s="8"/>
      <c r="D42" s="12"/>
      <c r="E42" s="12"/>
      <c r="F42" s="5"/>
      <c r="G42" s="109"/>
      <c r="H42" s="110"/>
      <c r="I42" s="5"/>
      <c r="J42" s="5"/>
      <c r="K42" s="7"/>
      <c r="L42" s="7"/>
      <c r="M42" s="7"/>
      <c r="N42" s="6"/>
      <c r="O42" s="6"/>
      <c r="P42" s="6"/>
      <c r="Q42" s="7"/>
      <c r="R42" s="7"/>
      <c r="S42" s="6"/>
      <c r="T42" s="6"/>
      <c r="U42" s="6"/>
      <c r="V42" s="6"/>
      <c r="W42" s="6"/>
      <c r="X42" s="6"/>
      <c r="Y42" s="7"/>
      <c r="Z42" s="6"/>
      <c r="AA42" s="6"/>
    </row>
    <row r="43" spans="1:27" ht="15" customHeight="1" x14ac:dyDescent="0.25">
      <c r="A43" s="49" t="s">
        <v>503</v>
      </c>
      <c r="B43" s="16" t="s">
        <v>53</v>
      </c>
      <c r="C43" s="8" t="s">
        <v>48</v>
      </c>
      <c r="D43" s="12">
        <v>92786</v>
      </c>
      <c r="E43" s="12">
        <v>93550</v>
      </c>
      <c r="F43" s="5" t="s">
        <v>7</v>
      </c>
      <c r="G43" s="109" t="s">
        <v>452</v>
      </c>
      <c r="H43" s="110"/>
      <c r="I43" s="7"/>
      <c r="J43" s="5"/>
      <c r="K43" s="7">
        <f xml:space="preserve"> ROUNDUP((Y43/50)*3, 0)</f>
        <v>46</v>
      </c>
      <c r="L43" s="7"/>
      <c r="M43" s="7">
        <f xml:space="preserve"> ROUNDUP((Y43/50), 0)</f>
        <v>16</v>
      </c>
      <c r="N43" s="6"/>
      <c r="O43" s="6"/>
      <c r="P43" s="6"/>
      <c r="Q43" s="7"/>
      <c r="R43" s="7"/>
      <c r="S43" s="6"/>
      <c r="T43" s="6"/>
      <c r="U43" s="6"/>
      <c r="V43" s="6"/>
      <c r="W43" s="6"/>
      <c r="X43" s="6"/>
      <c r="Y43" s="7">
        <f xml:space="preserve"> E43-D43</f>
        <v>764</v>
      </c>
      <c r="Z43" s="6"/>
      <c r="AA43" s="6"/>
    </row>
    <row r="44" spans="1:27" x14ac:dyDescent="0.25">
      <c r="A44" s="49" t="s">
        <v>503</v>
      </c>
      <c r="B44" s="16" t="s">
        <v>87</v>
      </c>
      <c r="C44" s="10" t="s">
        <v>48</v>
      </c>
      <c r="D44" s="12">
        <v>92550</v>
      </c>
      <c r="E44" s="12">
        <v>93400</v>
      </c>
      <c r="F44" s="5" t="s">
        <v>7</v>
      </c>
      <c r="G44" s="109" t="s">
        <v>452</v>
      </c>
      <c r="H44" s="110"/>
      <c r="I44" s="5"/>
      <c r="J44" s="5"/>
      <c r="K44" s="7"/>
      <c r="L44" s="9">
        <f xml:space="preserve"> ROUNDUP(Q44/40, 0)</f>
        <v>22</v>
      </c>
      <c r="M44" s="7"/>
      <c r="N44" s="6"/>
      <c r="O44" s="6"/>
      <c r="P44" s="6"/>
      <c r="Q44" s="7">
        <f xml:space="preserve"> E44-D44</f>
        <v>850</v>
      </c>
      <c r="R44" s="7"/>
      <c r="S44" s="6"/>
      <c r="T44" s="6"/>
      <c r="U44" s="6"/>
      <c r="V44" s="6"/>
      <c r="W44" s="6"/>
      <c r="X44" s="6"/>
      <c r="Y44" s="7"/>
      <c r="Z44" s="6"/>
      <c r="AA44" s="6"/>
    </row>
    <row r="45" spans="1:27" ht="15" customHeight="1" x14ac:dyDescent="0.25">
      <c r="A45" s="49" t="s">
        <v>503</v>
      </c>
      <c r="B45" s="16" t="s">
        <v>58</v>
      </c>
      <c r="C45" s="8" t="s">
        <v>48</v>
      </c>
      <c r="D45" s="12">
        <v>93400</v>
      </c>
      <c r="E45" s="12">
        <v>93550</v>
      </c>
      <c r="F45" s="5" t="s">
        <v>7</v>
      </c>
      <c r="G45" s="109" t="s">
        <v>452</v>
      </c>
      <c r="H45" s="110"/>
      <c r="I45" s="5"/>
      <c r="J45" s="5"/>
      <c r="K45" s="7"/>
      <c r="L45" s="7">
        <f xml:space="preserve"> ROUNDUP((N45*5280)/80, 0)</f>
        <v>2</v>
      </c>
      <c r="M45" s="7"/>
      <c r="N45" s="6">
        <f xml:space="preserve"> (E45-D45)/5280</f>
        <v>2.8409090909090908E-2</v>
      </c>
      <c r="O45" s="6"/>
      <c r="P45" s="6"/>
      <c r="Q45" s="7"/>
      <c r="R45" s="7"/>
      <c r="S45" s="6"/>
      <c r="T45" s="6"/>
      <c r="U45" s="6"/>
      <c r="V45" s="6"/>
      <c r="W45" s="6"/>
      <c r="X45" s="6"/>
      <c r="Y45" s="7"/>
      <c r="Z45" s="6"/>
      <c r="AA45" s="6"/>
    </row>
    <row r="46" spans="1:27" ht="15" customHeight="1" x14ac:dyDescent="0.25">
      <c r="A46" s="49" t="s">
        <v>503</v>
      </c>
      <c r="B46" s="16" t="s">
        <v>56</v>
      </c>
      <c r="C46" s="8" t="s">
        <v>48</v>
      </c>
      <c r="D46" s="12">
        <v>92911</v>
      </c>
      <c r="E46" s="12">
        <v>93550</v>
      </c>
      <c r="F46" s="5" t="s">
        <v>7</v>
      </c>
      <c r="G46" s="109" t="s">
        <v>452</v>
      </c>
      <c r="H46" s="110"/>
      <c r="I46" s="5"/>
      <c r="J46" s="5"/>
      <c r="K46" s="7"/>
      <c r="L46" s="7"/>
      <c r="M46" s="7"/>
      <c r="N46" s="6"/>
      <c r="O46" s="6"/>
      <c r="P46" s="6"/>
      <c r="Q46" s="7"/>
      <c r="R46" s="7">
        <f xml:space="preserve"> E46-D46</f>
        <v>639</v>
      </c>
      <c r="S46" s="6"/>
      <c r="T46" s="6"/>
      <c r="U46" s="6"/>
      <c r="V46" s="6"/>
      <c r="W46" s="6"/>
      <c r="X46" s="6"/>
      <c r="Y46" s="7"/>
      <c r="Z46" s="6"/>
      <c r="AA46" s="6"/>
    </row>
    <row r="47" spans="1:27" ht="15" customHeight="1" x14ac:dyDescent="0.25">
      <c r="A47" s="49" t="s">
        <v>503</v>
      </c>
      <c r="B47" s="16" t="s">
        <v>57</v>
      </c>
      <c r="C47" s="8" t="s">
        <v>48</v>
      </c>
      <c r="D47" s="12">
        <v>92550</v>
      </c>
      <c r="E47" s="12">
        <v>93550</v>
      </c>
      <c r="F47" s="5" t="s">
        <v>7</v>
      </c>
      <c r="G47" s="109" t="s">
        <v>452</v>
      </c>
      <c r="H47" s="110"/>
      <c r="I47" s="5"/>
      <c r="J47" s="5"/>
      <c r="K47" s="7"/>
      <c r="L47" s="7"/>
      <c r="M47" s="7"/>
      <c r="N47" s="6"/>
      <c r="O47" s="6"/>
      <c r="P47" s="6"/>
      <c r="Q47" s="7"/>
      <c r="R47" s="7"/>
      <c r="S47" s="6"/>
      <c r="T47" s="6"/>
      <c r="U47" s="6"/>
      <c r="V47" s="6"/>
      <c r="W47" s="6"/>
      <c r="X47" s="6"/>
      <c r="Y47" s="7"/>
      <c r="Z47" s="6"/>
      <c r="AA47" s="6"/>
    </row>
    <row r="48" spans="1:27" ht="15" customHeight="1" x14ac:dyDescent="0.25">
      <c r="A48" s="49"/>
      <c r="B48" s="16"/>
      <c r="C48" s="8"/>
      <c r="D48" s="107"/>
      <c r="E48" s="108"/>
      <c r="F48" s="5"/>
      <c r="G48" s="109"/>
      <c r="H48" s="110"/>
      <c r="I48" s="5"/>
      <c r="J48" s="5"/>
      <c r="K48" s="7"/>
      <c r="L48" s="7"/>
      <c r="M48" s="7"/>
      <c r="N48" s="6"/>
      <c r="O48" s="6"/>
      <c r="P48" s="6"/>
      <c r="Q48" s="7"/>
      <c r="R48" s="7"/>
      <c r="S48" s="6"/>
      <c r="T48" s="6"/>
      <c r="U48" s="6"/>
      <c r="V48" s="6"/>
      <c r="W48" s="6"/>
      <c r="X48" s="6"/>
      <c r="Y48" s="7"/>
      <c r="Z48" s="6"/>
      <c r="AA48" s="6"/>
    </row>
    <row r="49" spans="1:27" ht="15" customHeight="1" x14ac:dyDescent="0.25">
      <c r="A49" s="49" t="s">
        <v>503</v>
      </c>
      <c r="B49" s="16" t="s">
        <v>54</v>
      </c>
      <c r="C49" s="8" t="s">
        <v>48</v>
      </c>
      <c r="D49" s="12">
        <v>92550</v>
      </c>
      <c r="E49" s="12">
        <v>93550</v>
      </c>
      <c r="F49" s="5" t="s">
        <v>7</v>
      </c>
      <c r="G49" s="109" t="s">
        <v>452</v>
      </c>
      <c r="H49" s="110"/>
      <c r="I49" s="5"/>
      <c r="J49" s="5"/>
      <c r="K49" s="7"/>
      <c r="L49" s="7">
        <f xml:space="preserve"> ROUNDUP((P49*5280)/80, 0)</f>
        <v>13</v>
      </c>
      <c r="M49" s="7"/>
      <c r="N49" s="6"/>
      <c r="O49" s="6"/>
      <c r="P49" s="6">
        <f xml:space="preserve"> (E49-D49)/5280</f>
        <v>0.18939393939393939</v>
      </c>
      <c r="Q49" s="7"/>
      <c r="R49" s="7"/>
      <c r="S49" s="6"/>
      <c r="T49" s="6"/>
      <c r="U49" s="6"/>
      <c r="V49" s="6"/>
      <c r="W49" s="6"/>
      <c r="X49" s="6"/>
      <c r="Y49" s="7"/>
      <c r="Z49" s="6"/>
      <c r="AA49" s="6"/>
    </row>
    <row r="50" spans="1:27" ht="15" customHeight="1" x14ac:dyDescent="0.25">
      <c r="A50" s="49" t="s">
        <v>503</v>
      </c>
      <c r="B50" s="16" t="s">
        <v>38</v>
      </c>
      <c r="C50" s="8" t="s">
        <v>48</v>
      </c>
      <c r="D50" s="12">
        <v>92550</v>
      </c>
      <c r="E50" s="12">
        <v>93550</v>
      </c>
      <c r="F50" s="5" t="s">
        <v>7</v>
      </c>
      <c r="G50" s="109" t="s">
        <v>452</v>
      </c>
      <c r="H50" s="110"/>
      <c r="I50" s="5"/>
      <c r="J50" s="5"/>
      <c r="K50" s="7"/>
      <c r="L50" s="7"/>
      <c r="M50" s="7"/>
      <c r="N50" s="6"/>
      <c r="O50" s="6"/>
      <c r="P50" s="6">
        <f xml:space="preserve"> (E50-D50)/5280</f>
        <v>0.18939393939393939</v>
      </c>
      <c r="Q50" s="7"/>
      <c r="R50" s="7"/>
      <c r="S50" s="6"/>
      <c r="T50" s="6"/>
      <c r="U50" s="6"/>
      <c r="V50" s="6"/>
      <c r="W50" s="6"/>
      <c r="X50" s="6"/>
      <c r="Y50" s="7"/>
      <c r="Z50" s="6"/>
      <c r="AA50" s="6"/>
    </row>
    <row r="51" spans="1:27" ht="15" customHeight="1" x14ac:dyDescent="0.25">
      <c r="A51" s="137" t="s">
        <v>88</v>
      </c>
      <c r="B51" s="138"/>
      <c r="C51" s="138"/>
      <c r="D51" s="138"/>
      <c r="E51" s="138"/>
      <c r="F51" s="138"/>
      <c r="G51" s="138"/>
      <c r="H51" s="139"/>
      <c r="I51" s="5"/>
      <c r="J51" s="5"/>
      <c r="K51" s="7"/>
      <c r="L51" s="7"/>
      <c r="M51" s="7"/>
      <c r="N51" s="6"/>
      <c r="O51" s="6"/>
      <c r="P51" s="6"/>
      <c r="Q51" s="7"/>
      <c r="R51" s="7"/>
      <c r="S51" s="6"/>
      <c r="T51" s="6"/>
      <c r="U51" s="6"/>
      <c r="V51" s="6"/>
      <c r="W51" s="6"/>
      <c r="X51" s="6"/>
      <c r="Y51" s="7"/>
      <c r="Z51" s="6"/>
      <c r="AA51" s="6"/>
    </row>
    <row r="52" spans="1:27" ht="15" customHeight="1" x14ac:dyDescent="0.25">
      <c r="A52" s="49" t="s">
        <v>89</v>
      </c>
      <c r="B52" s="16" t="s">
        <v>90</v>
      </c>
      <c r="C52" s="8" t="s">
        <v>31</v>
      </c>
      <c r="D52" s="107">
        <v>1053</v>
      </c>
      <c r="E52" s="108"/>
      <c r="F52" s="5" t="s">
        <v>7</v>
      </c>
      <c r="G52" s="109" t="s">
        <v>452</v>
      </c>
      <c r="H52" s="110"/>
      <c r="I52" s="5"/>
      <c r="J52" s="5"/>
      <c r="K52" s="7"/>
      <c r="L52" s="7"/>
      <c r="M52" s="7"/>
      <c r="N52" s="6"/>
      <c r="O52" s="6"/>
      <c r="P52" s="6"/>
      <c r="Q52" s="7"/>
      <c r="R52" s="7"/>
      <c r="S52" s="6"/>
      <c r="T52" s="7">
        <v>22</v>
      </c>
      <c r="U52" s="6"/>
      <c r="V52" s="6"/>
      <c r="W52" s="6"/>
      <c r="X52" s="6"/>
      <c r="Y52" s="7"/>
      <c r="Z52" s="6"/>
      <c r="AA52" s="6"/>
    </row>
    <row r="53" spans="1:27" ht="15" customHeight="1" x14ac:dyDescent="0.25">
      <c r="A53" s="49" t="s">
        <v>89</v>
      </c>
      <c r="B53" s="16" t="s">
        <v>91</v>
      </c>
      <c r="C53" s="8" t="s">
        <v>31</v>
      </c>
      <c r="D53" s="12">
        <v>1053</v>
      </c>
      <c r="E53" s="12">
        <v>1171</v>
      </c>
      <c r="F53" s="5" t="s">
        <v>7</v>
      </c>
      <c r="G53" s="109" t="s">
        <v>452</v>
      </c>
      <c r="H53" s="110"/>
      <c r="I53" s="5"/>
      <c r="J53" s="5"/>
      <c r="K53" s="7"/>
      <c r="L53" s="7">
        <f xml:space="preserve"> ROUNDUP(Q53/40, 0)</f>
        <v>3</v>
      </c>
      <c r="M53" s="7"/>
      <c r="N53" s="6"/>
      <c r="O53" s="6"/>
      <c r="P53" s="6"/>
      <c r="Q53" s="7">
        <v>120</v>
      </c>
      <c r="R53" s="7"/>
      <c r="S53" s="6"/>
      <c r="T53" s="6"/>
      <c r="U53" s="6"/>
      <c r="V53" s="6"/>
      <c r="W53" s="6"/>
      <c r="X53" s="6"/>
      <c r="Y53" s="7"/>
      <c r="Z53" s="6"/>
      <c r="AA53" s="6"/>
    </row>
    <row r="54" spans="1:27" ht="15" customHeight="1" x14ac:dyDescent="0.25">
      <c r="A54" s="49" t="s">
        <v>89</v>
      </c>
      <c r="B54" s="16" t="s">
        <v>94</v>
      </c>
      <c r="C54" s="8" t="s">
        <v>31</v>
      </c>
      <c r="D54" s="12">
        <v>1053</v>
      </c>
      <c r="E54" s="12">
        <v>1142</v>
      </c>
      <c r="F54" s="20" t="s">
        <v>72</v>
      </c>
      <c r="G54" s="109" t="s">
        <v>452</v>
      </c>
      <c r="H54" s="110"/>
      <c r="I54" s="16"/>
      <c r="J54" s="16"/>
      <c r="K54" s="16"/>
      <c r="L54" s="16"/>
      <c r="M54" s="16"/>
      <c r="N54" s="16"/>
      <c r="O54" s="16"/>
      <c r="P54" s="6">
        <f xml:space="preserve"> (E54-D54)/5280</f>
        <v>1.6856060606060607E-2</v>
      </c>
      <c r="Q54" s="16"/>
      <c r="R54" s="16"/>
      <c r="S54" s="16"/>
      <c r="T54" s="16"/>
      <c r="U54" s="16"/>
      <c r="V54" s="16"/>
      <c r="W54" s="16"/>
      <c r="X54" s="16"/>
      <c r="Y54" s="7"/>
      <c r="Z54" s="6"/>
      <c r="AA54" s="6"/>
    </row>
    <row r="55" spans="1:27" ht="15" customHeight="1" x14ac:dyDescent="0.25">
      <c r="A55" s="49" t="s">
        <v>89</v>
      </c>
      <c r="B55" s="16" t="s">
        <v>92</v>
      </c>
      <c r="C55" s="8" t="s">
        <v>31</v>
      </c>
      <c r="D55" s="107">
        <v>1063</v>
      </c>
      <c r="E55" s="108"/>
      <c r="F55" s="5" t="s">
        <v>7</v>
      </c>
      <c r="G55" s="109" t="s">
        <v>452</v>
      </c>
      <c r="H55" s="110"/>
      <c r="I55" s="5"/>
      <c r="J55" s="5"/>
      <c r="K55" s="7"/>
      <c r="L55" s="7"/>
      <c r="M55" s="7"/>
      <c r="N55" s="6"/>
      <c r="O55" s="6"/>
      <c r="P55" s="6"/>
      <c r="Q55" s="7"/>
      <c r="R55" s="7"/>
      <c r="S55" s="6"/>
      <c r="T55" s="6"/>
      <c r="U55" s="6"/>
      <c r="V55" s="6"/>
      <c r="W55" s="7">
        <v>1</v>
      </c>
      <c r="X55" s="6"/>
      <c r="Y55" s="7"/>
      <c r="Z55" s="6"/>
      <c r="AA55" s="6"/>
    </row>
    <row r="56" spans="1:27" ht="15" customHeight="1" x14ac:dyDescent="0.25">
      <c r="A56" s="49" t="s">
        <v>89</v>
      </c>
      <c r="B56" s="16" t="s">
        <v>93</v>
      </c>
      <c r="C56" s="8" t="s">
        <v>31</v>
      </c>
      <c r="D56" s="107">
        <v>1107</v>
      </c>
      <c r="E56" s="108"/>
      <c r="F56" s="5" t="s">
        <v>42</v>
      </c>
      <c r="G56" s="109" t="s">
        <v>452</v>
      </c>
      <c r="H56" s="110"/>
      <c r="I56" s="5"/>
      <c r="J56" s="5">
        <v>1</v>
      </c>
      <c r="K56" s="7"/>
      <c r="L56" s="7"/>
      <c r="M56" s="7"/>
      <c r="N56" s="6"/>
      <c r="O56" s="6"/>
      <c r="P56" s="6"/>
      <c r="Q56" s="7"/>
      <c r="R56" s="7"/>
      <c r="S56" s="6"/>
      <c r="T56" s="6"/>
      <c r="U56" s="6"/>
      <c r="V56" s="6"/>
      <c r="W56" s="7"/>
      <c r="X56" s="6"/>
      <c r="Y56" s="7"/>
      <c r="Z56" s="6"/>
      <c r="AA56" s="6"/>
    </row>
    <row r="57" spans="1:27" ht="15" customHeight="1" x14ac:dyDescent="0.25">
      <c r="A57" s="49"/>
      <c r="B57" s="16"/>
      <c r="C57" s="16"/>
      <c r="D57" s="107"/>
      <c r="E57" s="108"/>
      <c r="F57" s="5"/>
      <c r="G57" s="109"/>
      <c r="H57" s="110"/>
      <c r="I57" s="5"/>
      <c r="J57" s="5"/>
      <c r="K57" s="7"/>
      <c r="L57" s="7"/>
      <c r="M57" s="7"/>
      <c r="N57" s="6"/>
      <c r="O57" s="6"/>
      <c r="P57" s="6"/>
      <c r="Q57" s="7"/>
      <c r="R57" s="7"/>
      <c r="S57" s="6"/>
      <c r="T57" s="6"/>
      <c r="U57" s="6"/>
      <c r="V57" s="6"/>
      <c r="W57" s="7"/>
      <c r="X57" s="6"/>
      <c r="Y57" s="7"/>
      <c r="Z57" s="6"/>
      <c r="AA57" s="6"/>
    </row>
    <row r="58" spans="1:27" ht="15" customHeight="1" x14ac:dyDescent="0.25">
      <c r="A58" s="49" t="s">
        <v>89</v>
      </c>
      <c r="B58" s="16" t="s">
        <v>95</v>
      </c>
      <c r="C58" s="8" t="s">
        <v>31</v>
      </c>
      <c r="D58" s="107">
        <v>1129</v>
      </c>
      <c r="E58" s="108"/>
      <c r="F58" s="5" t="s">
        <v>7</v>
      </c>
      <c r="G58" s="109" t="s">
        <v>452</v>
      </c>
      <c r="H58" s="110"/>
      <c r="I58" s="5"/>
      <c r="J58" s="5"/>
      <c r="K58" s="7"/>
      <c r="L58" s="7"/>
      <c r="M58" s="7"/>
      <c r="N58" s="6"/>
      <c r="O58" s="6"/>
      <c r="P58" s="6"/>
      <c r="Q58" s="7"/>
      <c r="R58" s="7"/>
      <c r="S58" s="6"/>
      <c r="T58" s="6"/>
      <c r="U58" s="6"/>
      <c r="V58" s="6"/>
      <c r="W58" s="7">
        <v>1</v>
      </c>
      <c r="X58" s="6"/>
      <c r="Y58" s="7"/>
      <c r="Z58" s="6"/>
      <c r="AA58" s="6"/>
    </row>
    <row r="59" spans="1:27" ht="15" customHeight="1" x14ac:dyDescent="0.25">
      <c r="A59" s="49" t="s">
        <v>89</v>
      </c>
      <c r="B59" s="55" t="s">
        <v>97</v>
      </c>
      <c r="C59" s="13" t="s">
        <v>31</v>
      </c>
      <c r="D59" s="12">
        <v>1053</v>
      </c>
      <c r="E59" s="12">
        <v>1550</v>
      </c>
      <c r="F59" s="5" t="s">
        <v>7</v>
      </c>
      <c r="G59" s="109" t="s">
        <v>452</v>
      </c>
      <c r="H59" s="110"/>
      <c r="I59" s="5"/>
      <c r="J59" s="5"/>
      <c r="K59" s="7"/>
      <c r="L59" s="7">
        <f>(400/40)+((E59-1453)/80)</f>
        <v>11.2125</v>
      </c>
      <c r="M59" s="7"/>
      <c r="N59" s="6"/>
      <c r="O59" s="6"/>
      <c r="P59" s="6">
        <f xml:space="preserve"> (E59-D59)/5280</f>
        <v>9.4128787878787881E-2</v>
      </c>
      <c r="Q59" s="7"/>
      <c r="R59" s="7"/>
      <c r="S59" s="6"/>
      <c r="T59" s="6"/>
      <c r="U59" s="6"/>
      <c r="V59" s="6"/>
      <c r="W59" s="7"/>
      <c r="X59" s="6"/>
      <c r="Y59" s="7"/>
      <c r="Z59" s="6"/>
      <c r="AA59" s="6"/>
    </row>
    <row r="60" spans="1:27" ht="15" customHeight="1" x14ac:dyDescent="0.25">
      <c r="A60" s="49" t="s">
        <v>89</v>
      </c>
      <c r="B60" s="16" t="s">
        <v>98</v>
      </c>
      <c r="C60" s="8" t="s">
        <v>31</v>
      </c>
      <c r="D60" s="12">
        <v>1053</v>
      </c>
      <c r="E60" s="12">
        <v>1550</v>
      </c>
      <c r="F60" s="5" t="s">
        <v>62</v>
      </c>
      <c r="G60" s="109" t="s">
        <v>452</v>
      </c>
      <c r="H60" s="110"/>
      <c r="I60" s="5"/>
      <c r="J60" s="5"/>
      <c r="K60" s="7"/>
      <c r="L60" s="7">
        <f>(400/40)+((E60-1453)/80)</f>
        <v>11.2125</v>
      </c>
      <c r="M60" s="7"/>
      <c r="N60" s="6"/>
      <c r="O60" s="6"/>
      <c r="P60" s="6">
        <f xml:space="preserve"> (E60-D60)/5280</f>
        <v>9.4128787878787881E-2</v>
      </c>
      <c r="Q60" s="7"/>
      <c r="R60" s="7"/>
      <c r="S60" s="6"/>
      <c r="T60" s="6"/>
      <c r="U60" s="6"/>
      <c r="V60" s="6"/>
      <c r="W60" s="7"/>
      <c r="X60" s="6"/>
      <c r="Y60" s="7"/>
      <c r="Z60" s="6"/>
      <c r="AA60" s="6"/>
    </row>
    <row r="61" spans="1:27" ht="15" customHeight="1" x14ac:dyDescent="0.25">
      <c r="A61" s="49" t="s">
        <v>89</v>
      </c>
      <c r="B61" s="16" t="s">
        <v>96</v>
      </c>
      <c r="C61" s="8" t="s">
        <v>31</v>
      </c>
      <c r="D61" s="12">
        <v>1107</v>
      </c>
      <c r="E61" s="12">
        <v>1550</v>
      </c>
      <c r="F61" s="5" t="s">
        <v>8</v>
      </c>
      <c r="G61" s="109" t="s">
        <v>452</v>
      </c>
      <c r="H61" s="110"/>
      <c r="I61" s="7">
        <f xml:space="preserve"> E61-D61</f>
        <v>443</v>
      </c>
      <c r="J61" s="5"/>
      <c r="K61" s="7">
        <f xml:space="preserve"> ROUNDUP((I61/50)*3, 0)</f>
        <v>27</v>
      </c>
      <c r="L61" s="7"/>
      <c r="M61" s="7">
        <f xml:space="preserve"> ROUNDUP((I61/50), 0)</f>
        <v>9</v>
      </c>
      <c r="N61" s="6"/>
      <c r="O61" s="6"/>
      <c r="P61" s="6"/>
      <c r="Q61" s="7"/>
      <c r="R61" s="7"/>
      <c r="S61" s="6"/>
      <c r="T61" s="6"/>
      <c r="U61" s="6"/>
      <c r="V61" s="6"/>
      <c r="W61" s="6"/>
      <c r="X61" s="6"/>
      <c r="Y61" s="7">
        <f xml:space="preserve"> E61-D61</f>
        <v>443</v>
      </c>
      <c r="Z61" s="6"/>
      <c r="AA61" s="6"/>
    </row>
    <row r="62" spans="1:27" ht="15" customHeight="1" x14ac:dyDescent="0.25">
      <c r="A62" s="49" t="s">
        <v>89</v>
      </c>
      <c r="B62" s="16" t="s">
        <v>99</v>
      </c>
      <c r="C62" s="8" t="s">
        <v>31</v>
      </c>
      <c r="D62" s="12">
        <v>1221</v>
      </c>
      <c r="E62" s="12">
        <v>1550</v>
      </c>
      <c r="F62" s="5" t="s">
        <v>8</v>
      </c>
      <c r="G62" s="109" t="s">
        <v>452</v>
      </c>
      <c r="H62" s="110"/>
      <c r="I62" s="7"/>
      <c r="J62" s="5"/>
      <c r="K62" s="7">
        <f xml:space="preserve"> ROUNDUP((Y62/50)*3, 0)</f>
        <v>20</v>
      </c>
      <c r="L62" s="7"/>
      <c r="M62" s="7">
        <f xml:space="preserve"> ROUNDUP((Y62/50), 0)</f>
        <v>7</v>
      </c>
      <c r="N62" s="6"/>
      <c r="O62" s="6"/>
      <c r="P62" s="6"/>
      <c r="Q62" s="7"/>
      <c r="R62" s="7"/>
      <c r="S62" s="6"/>
      <c r="T62" s="6"/>
      <c r="U62" s="6"/>
      <c r="V62" s="6"/>
      <c r="W62" s="6"/>
      <c r="X62" s="6"/>
      <c r="Y62" s="7">
        <f xml:space="preserve"> E62-D62</f>
        <v>329</v>
      </c>
      <c r="Z62" s="7"/>
      <c r="AA62" s="7"/>
    </row>
    <row r="63" spans="1:27" ht="15" customHeight="1" x14ac:dyDescent="0.25">
      <c r="A63" s="101" t="s">
        <v>432</v>
      </c>
      <c r="B63" s="102"/>
      <c r="C63" s="102"/>
      <c r="D63" s="102"/>
      <c r="E63" s="102"/>
      <c r="F63" s="102"/>
      <c r="G63" s="99" t="s">
        <v>452</v>
      </c>
      <c r="H63" s="99"/>
      <c r="I63" s="72">
        <f>SUM(I11:I62)</f>
        <v>826</v>
      </c>
      <c r="J63" s="72">
        <f>SUM(J11:J62)</f>
        <v>5</v>
      </c>
      <c r="K63" s="72">
        <f>SUM(K11:K62)</f>
        <v>129</v>
      </c>
      <c r="L63" s="72">
        <f t="shared" ref="L63" si="0">SUM(L11:L62)</f>
        <v>137.42500000000001</v>
      </c>
      <c r="M63" s="72">
        <f t="shared" ref="M63:AA63" si="1">SUM(M11:M62)</f>
        <v>47</v>
      </c>
      <c r="N63" s="75">
        <f t="shared" si="1"/>
        <v>2.8409090909090908E-2</v>
      </c>
      <c r="O63" s="75">
        <f t="shared" si="1"/>
        <v>0</v>
      </c>
      <c r="P63" s="75">
        <f t="shared" si="1"/>
        <v>1.8907196969696971</v>
      </c>
      <c r="Q63" s="72">
        <f t="shared" si="1"/>
        <v>3515</v>
      </c>
      <c r="R63" s="72">
        <f t="shared" si="1"/>
        <v>639</v>
      </c>
      <c r="S63" s="72">
        <f t="shared" si="1"/>
        <v>0</v>
      </c>
      <c r="T63" s="72">
        <f t="shared" si="1"/>
        <v>22</v>
      </c>
      <c r="U63" s="72">
        <f t="shared" si="1"/>
        <v>0</v>
      </c>
      <c r="V63" s="72">
        <f t="shared" si="1"/>
        <v>0</v>
      </c>
      <c r="W63" s="72">
        <f t="shared" si="1"/>
        <v>2</v>
      </c>
      <c r="X63" s="72">
        <f t="shared" si="1"/>
        <v>0</v>
      </c>
      <c r="Y63" s="72">
        <f t="shared" si="1"/>
        <v>2621</v>
      </c>
      <c r="Z63" s="72">
        <f t="shared" si="1"/>
        <v>0</v>
      </c>
      <c r="AA63" s="72">
        <f t="shared" si="1"/>
        <v>0</v>
      </c>
    </row>
    <row r="64" spans="1:27" ht="15.6" customHeight="1" thickBot="1" x14ac:dyDescent="0.3">
      <c r="A64" s="104"/>
      <c r="B64" s="105"/>
      <c r="C64" s="105"/>
      <c r="D64" s="105"/>
      <c r="E64" s="105"/>
      <c r="F64" s="105"/>
      <c r="G64" s="100" t="s">
        <v>453</v>
      </c>
      <c r="H64" s="100"/>
      <c r="I64" s="69">
        <v>0</v>
      </c>
      <c r="J64" s="69">
        <v>0</v>
      </c>
      <c r="K64" s="69">
        <v>0</v>
      </c>
      <c r="L64" s="69">
        <v>1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</row>
  </sheetData>
  <mergeCells count="95">
    <mergeCell ref="D48:E48"/>
    <mergeCell ref="G49:H49"/>
    <mergeCell ref="G50:H50"/>
    <mergeCell ref="G48:H48"/>
    <mergeCell ref="G42:H42"/>
    <mergeCell ref="G36:H36"/>
    <mergeCell ref="A63:F64"/>
    <mergeCell ref="G63:H63"/>
    <mergeCell ref="G64:H64"/>
    <mergeCell ref="D56:E56"/>
    <mergeCell ref="D52:E52"/>
    <mergeCell ref="D55:E55"/>
    <mergeCell ref="D58:E58"/>
    <mergeCell ref="D57:E57"/>
    <mergeCell ref="A51:H51"/>
    <mergeCell ref="G52:H52"/>
    <mergeCell ref="G56:H56"/>
    <mergeCell ref="D37:E37"/>
    <mergeCell ref="G46:H46"/>
    <mergeCell ref="G44:H44"/>
    <mergeCell ref="G38:H38"/>
    <mergeCell ref="G39:H39"/>
    <mergeCell ref="G40:H40"/>
    <mergeCell ref="G43:H43"/>
    <mergeCell ref="G41:H41"/>
    <mergeCell ref="G47:H47"/>
    <mergeCell ref="G37:H37"/>
    <mergeCell ref="G20:H20"/>
    <mergeCell ref="G21:H21"/>
    <mergeCell ref="G22:H22"/>
    <mergeCell ref="G23:H23"/>
    <mergeCell ref="G35:H35"/>
    <mergeCell ref="G24:H24"/>
    <mergeCell ref="G25:H25"/>
    <mergeCell ref="G31:H31"/>
    <mergeCell ref="G32:H32"/>
    <mergeCell ref="G33:H33"/>
    <mergeCell ref="G26:H26"/>
    <mergeCell ref="G27:H27"/>
    <mergeCell ref="G28:H28"/>
    <mergeCell ref="G29:H29"/>
    <mergeCell ref="G30:H30"/>
    <mergeCell ref="J2:J8"/>
    <mergeCell ref="K2:K8"/>
    <mergeCell ref="X2:X8"/>
    <mergeCell ref="A10:H10"/>
    <mergeCell ref="G17:H17"/>
    <mergeCell ref="A1:A9"/>
    <mergeCell ref="B1:B9"/>
    <mergeCell ref="C1:C9"/>
    <mergeCell ref="L2:L8"/>
    <mergeCell ref="Z2:Z8"/>
    <mergeCell ref="M2:M8"/>
    <mergeCell ref="N2:N8"/>
    <mergeCell ref="O2:O8"/>
    <mergeCell ref="Q2:Q8"/>
    <mergeCell ref="R2:R8"/>
    <mergeCell ref="S2:S8"/>
    <mergeCell ref="T2:T8"/>
    <mergeCell ref="W2:W8"/>
    <mergeCell ref="U2:U8"/>
    <mergeCell ref="V2:V8"/>
    <mergeCell ref="P2:P8"/>
    <mergeCell ref="G62:H62"/>
    <mergeCell ref="D25:E25"/>
    <mergeCell ref="D26:E26"/>
    <mergeCell ref="D28:E28"/>
    <mergeCell ref="G45:H45"/>
    <mergeCell ref="G57:H57"/>
    <mergeCell ref="G58:H58"/>
    <mergeCell ref="G59:H59"/>
    <mergeCell ref="G60:H60"/>
    <mergeCell ref="G61:H61"/>
    <mergeCell ref="D33:E33"/>
    <mergeCell ref="D36:E36"/>
    <mergeCell ref="G53:H53"/>
    <mergeCell ref="G54:H54"/>
    <mergeCell ref="G55:H55"/>
    <mergeCell ref="G34:H34"/>
    <mergeCell ref="AA2:AA8"/>
    <mergeCell ref="G18:H18"/>
    <mergeCell ref="D22:E22"/>
    <mergeCell ref="I2:I8"/>
    <mergeCell ref="G1:H9"/>
    <mergeCell ref="G19:H19"/>
    <mergeCell ref="G16:H16"/>
    <mergeCell ref="G11:H11"/>
    <mergeCell ref="G12:H12"/>
    <mergeCell ref="G13:H13"/>
    <mergeCell ref="G14:H14"/>
    <mergeCell ref="D11:E11"/>
    <mergeCell ref="D12:E12"/>
    <mergeCell ref="D1:E8"/>
    <mergeCell ref="F1:F9"/>
    <mergeCell ref="Y2:Y8"/>
  </mergeCells>
  <phoneticPr fontId="2" type="noConversion"/>
  <pageMargins left="0.7" right="0.7" top="0.75" bottom="0.75" header="0.3" footer="0.3"/>
  <pageSetup orientation="portrait" r:id="rId1"/>
  <ignoredErrors>
    <ignoredError sqref="Q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50D8-D0D2-4D76-84B4-C32ED6CE41A5}">
  <sheetPr codeName="Sheet3"/>
  <dimension ref="A1:AA62"/>
  <sheetViews>
    <sheetView zoomScale="80" zoomScaleNormal="80" workbookViewId="0">
      <selection activeCell="AA62" sqref="A1:AA62"/>
    </sheetView>
  </sheetViews>
  <sheetFormatPr defaultRowHeight="15" x14ac:dyDescent="0.25"/>
  <cols>
    <col min="1" max="1" width="10.5703125" customWidth="1"/>
    <col min="2" max="2" width="12.7109375" customWidth="1"/>
    <col min="3" max="3" width="20" customWidth="1"/>
    <col min="4" max="5" width="9.140625" customWidth="1"/>
    <col min="16" max="16" width="9.140625" customWidth="1"/>
    <col min="24" max="24" width="10.7109375" bestFit="1" customWidth="1"/>
    <col min="27" max="27" width="9.140625" customWidth="1"/>
  </cols>
  <sheetData>
    <row r="1" spans="1:27" ht="18" customHeight="1" x14ac:dyDescent="0.25">
      <c r="A1" s="114" t="s">
        <v>43</v>
      </c>
      <c r="B1" s="114" t="s">
        <v>27</v>
      </c>
      <c r="C1" s="114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  <c r="AA1" s="1"/>
    </row>
    <row r="2" spans="1:27" ht="18" customHeight="1" x14ac:dyDescent="0.25">
      <c r="A2" s="115"/>
      <c r="B2" s="115"/>
      <c r="C2" s="115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16</v>
      </c>
      <c r="T2" s="111" t="s">
        <v>17</v>
      </c>
      <c r="U2" s="111" t="s">
        <v>18</v>
      </c>
      <c r="V2" s="111" t="s">
        <v>438</v>
      </c>
      <c r="W2" s="111" t="s">
        <v>19</v>
      </c>
      <c r="X2" s="111" t="s">
        <v>20</v>
      </c>
      <c r="Y2" s="111" t="s">
        <v>22</v>
      </c>
      <c r="Z2" s="111" t="s">
        <v>423</v>
      </c>
      <c r="AA2" s="111"/>
    </row>
    <row r="3" spans="1:27" ht="18" customHeight="1" x14ac:dyDescent="0.25">
      <c r="A3" s="115"/>
      <c r="B3" s="115"/>
      <c r="C3" s="115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27" ht="18" customHeight="1" x14ac:dyDescent="0.25">
      <c r="A4" s="115"/>
      <c r="B4" s="115"/>
      <c r="C4" s="115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1:27" ht="18" customHeight="1" x14ac:dyDescent="0.25">
      <c r="A5" s="115"/>
      <c r="B5" s="115"/>
      <c r="C5" s="115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7" ht="18" customHeight="1" x14ac:dyDescent="0.25">
      <c r="A6" s="115"/>
      <c r="B6" s="115"/>
      <c r="C6" s="115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 ht="3" customHeight="1" x14ac:dyDescent="0.25">
      <c r="A7" s="115"/>
      <c r="B7" s="115"/>
      <c r="C7" s="115"/>
      <c r="D7" s="118"/>
      <c r="E7" s="118"/>
      <c r="F7" s="120"/>
      <c r="G7" s="126"/>
      <c r="H7" s="127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27" ht="21" customHeight="1" x14ac:dyDescent="0.25">
      <c r="A8" s="115"/>
      <c r="B8" s="115"/>
      <c r="C8" s="115"/>
      <c r="D8" s="118"/>
      <c r="E8" s="118"/>
      <c r="F8" s="120"/>
      <c r="G8" s="126"/>
      <c r="H8" s="127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27" ht="19.899999999999999" customHeight="1" x14ac:dyDescent="0.25">
      <c r="A9" s="115"/>
      <c r="B9" s="115"/>
      <c r="C9" s="115"/>
      <c r="D9" s="118"/>
      <c r="E9" s="118"/>
      <c r="F9" s="120"/>
      <c r="G9" s="126"/>
      <c r="H9" s="127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</row>
    <row r="10" spans="1:27" ht="18" customHeight="1" x14ac:dyDescent="0.25">
      <c r="A10" s="115"/>
      <c r="B10" s="115"/>
      <c r="C10" s="115"/>
      <c r="D10" s="118"/>
      <c r="E10" s="118"/>
      <c r="F10" s="120"/>
      <c r="G10" s="126"/>
      <c r="H10" s="127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</row>
    <row r="11" spans="1:27" ht="19.899999999999999" customHeight="1" thickBot="1" x14ac:dyDescent="0.3">
      <c r="A11" s="116"/>
      <c r="B11" s="116"/>
      <c r="C11" s="116"/>
      <c r="D11" s="53" t="s">
        <v>3</v>
      </c>
      <c r="E11" s="53" t="s">
        <v>4</v>
      </c>
      <c r="F11" s="121"/>
      <c r="G11" s="128"/>
      <c r="H11" s="129"/>
      <c r="I11" s="2" t="s">
        <v>9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11</v>
      </c>
      <c r="O11" s="2" t="s">
        <v>11</v>
      </c>
      <c r="P11" s="2" t="s">
        <v>11</v>
      </c>
      <c r="Q11" s="2" t="s">
        <v>9</v>
      </c>
      <c r="R11" s="2" t="s">
        <v>9</v>
      </c>
      <c r="S11" s="2" t="s">
        <v>9</v>
      </c>
      <c r="T11" s="2" t="s">
        <v>9</v>
      </c>
      <c r="U11" s="2" t="s">
        <v>9</v>
      </c>
      <c r="V11" s="2" t="s">
        <v>9</v>
      </c>
      <c r="W11" s="2" t="s">
        <v>6</v>
      </c>
      <c r="X11" s="2" t="s">
        <v>21</v>
      </c>
      <c r="Y11" s="2" t="s">
        <v>9</v>
      </c>
      <c r="Z11" s="2" t="s">
        <v>6</v>
      </c>
      <c r="AA11" s="2"/>
    </row>
    <row r="12" spans="1:27" x14ac:dyDescent="0.25">
      <c r="A12" s="130" t="s">
        <v>88</v>
      </c>
      <c r="B12" s="131"/>
      <c r="C12" s="131"/>
      <c r="D12" s="131"/>
      <c r="E12" s="131"/>
      <c r="F12" s="131"/>
      <c r="G12" s="131"/>
      <c r="H12" s="13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customHeight="1" x14ac:dyDescent="0.25">
      <c r="A13" s="49" t="s">
        <v>89</v>
      </c>
      <c r="B13" s="16" t="s">
        <v>94</v>
      </c>
      <c r="C13" s="8" t="s">
        <v>31</v>
      </c>
      <c r="D13" s="12">
        <v>1125</v>
      </c>
      <c r="E13" s="12">
        <v>1550</v>
      </c>
      <c r="F13" s="5" t="s">
        <v>8</v>
      </c>
      <c r="G13" s="109" t="s">
        <v>452</v>
      </c>
      <c r="H13" s="110"/>
      <c r="I13" s="5"/>
      <c r="J13" s="5"/>
      <c r="K13" s="7"/>
      <c r="L13" s="7"/>
      <c r="M13" s="7"/>
      <c r="N13" s="6"/>
      <c r="O13" s="6"/>
      <c r="P13" s="6">
        <f xml:space="preserve"> (E13-D13)/5280</f>
        <v>8.049242424242424E-2</v>
      </c>
      <c r="Q13" s="7"/>
      <c r="R13" s="7"/>
      <c r="S13" s="6"/>
      <c r="T13" s="6"/>
      <c r="U13" s="6"/>
      <c r="V13" s="6"/>
      <c r="W13" s="7"/>
      <c r="X13" s="6"/>
      <c r="Y13" s="7"/>
      <c r="Z13" s="7"/>
      <c r="AA13" s="7"/>
    </row>
    <row r="14" spans="1:27" ht="15" customHeight="1" x14ac:dyDescent="0.25">
      <c r="A14" s="49" t="s">
        <v>89</v>
      </c>
      <c r="B14" s="16" t="s">
        <v>100</v>
      </c>
      <c r="C14" s="8" t="s">
        <v>31</v>
      </c>
      <c r="D14" s="12">
        <v>1221</v>
      </c>
      <c r="E14" s="12">
        <v>1550</v>
      </c>
      <c r="F14" s="5" t="s">
        <v>8</v>
      </c>
      <c r="G14" s="109" t="s">
        <v>452</v>
      </c>
      <c r="H14" s="110"/>
      <c r="I14" s="5"/>
      <c r="J14" s="5"/>
      <c r="K14" s="7"/>
      <c r="L14" s="7"/>
      <c r="M14" s="7"/>
      <c r="N14" s="6"/>
      <c r="O14" s="6"/>
      <c r="P14" s="6">
        <f xml:space="preserve"> (E14-D14)/5280</f>
        <v>6.2310606060606059E-2</v>
      </c>
      <c r="Q14" s="7"/>
      <c r="R14" s="7"/>
      <c r="S14" s="6"/>
      <c r="T14" s="6"/>
      <c r="U14" s="6"/>
      <c r="V14" s="6"/>
      <c r="W14" s="7"/>
      <c r="X14" s="6"/>
      <c r="Y14" s="7"/>
      <c r="Z14" s="7"/>
      <c r="AA14" s="7"/>
    </row>
    <row r="15" spans="1:27" ht="15" customHeight="1" x14ac:dyDescent="0.25">
      <c r="A15" s="49" t="s">
        <v>89</v>
      </c>
      <c r="B15" s="16" t="s">
        <v>473</v>
      </c>
      <c r="C15" s="8" t="s">
        <v>31</v>
      </c>
      <c r="D15" s="12">
        <v>1121</v>
      </c>
      <c r="E15" s="12">
        <v>1226</v>
      </c>
      <c r="F15" s="5" t="s">
        <v>8</v>
      </c>
      <c r="G15" s="109" t="s">
        <v>452</v>
      </c>
      <c r="H15" s="110"/>
      <c r="I15" s="5"/>
      <c r="J15" s="5"/>
      <c r="K15" s="7"/>
      <c r="L15" s="7"/>
      <c r="M15" s="7"/>
      <c r="N15" s="6"/>
      <c r="O15" s="6"/>
      <c r="P15" s="6"/>
      <c r="Q15" s="7"/>
      <c r="R15" s="7"/>
      <c r="S15" s="6"/>
      <c r="T15" s="6"/>
      <c r="U15" s="6"/>
      <c r="V15" s="6"/>
      <c r="W15" s="7"/>
      <c r="X15" s="7">
        <f>2510/9</f>
        <v>278.88888888888891</v>
      </c>
      <c r="Y15" s="7"/>
      <c r="Z15" s="7"/>
      <c r="AA15" s="7"/>
    </row>
    <row r="16" spans="1:27" ht="15" customHeight="1" x14ac:dyDescent="0.25">
      <c r="A16" s="49"/>
      <c r="B16" s="16"/>
      <c r="C16" s="8"/>
      <c r="D16" s="107"/>
      <c r="E16" s="108"/>
      <c r="F16" s="5"/>
      <c r="G16" s="109"/>
      <c r="H16" s="110"/>
      <c r="I16" s="5"/>
      <c r="J16" s="5"/>
      <c r="K16" s="7"/>
      <c r="L16" s="7"/>
      <c r="M16" s="7"/>
      <c r="N16" s="6"/>
      <c r="O16" s="6"/>
      <c r="P16" s="6"/>
      <c r="Q16" s="7"/>
      <c r="R16" s="7"/>
      <c r="S16" s="6"/>
      <c r="T16" s="6"/>
      <c r="U16" s="6"/>
      <c r="V16" s="6"/>
      <c r="W16" s="7"/>
      <c r="X16" s="6"/>
      <c r="Y16" s="7"/>
      <c r="Z16" s="7"/>
      <c r="AA16" s="7"/>
    </row>
    <row r="17" spans="1:27" ht="15" customHeight="1" x14ac:dyDescent="0.25">
      <c r="A17" s="49" t="s">
        <v>101</v>
      </c>
      <c r="B17" s="16" t="s">
        <v>102</v>
      </c>
      <c r="C17" s="8" t="s">
        <v>48</v>
      </c>
      <c r="D17" s="12">
        <v>93716</v>
      </c>
      <c r="E17" s="12">
        <v>94550</v>
      </c>
      <c r="F17" s="5" t="s">
        <v>7</v>
      </c>
      <c r="G17" s="109" t="s">
        <v>452</v>
      </c>
      <c r="H17" s="110"/>
      <c r="I17" s="5"/>
      <c r="J17" s="5"/>
      <c r="K17" s="7"/>
      <c r="L17" s="9">
        <f xml:space="preserve"> ROUNDUP(Q17/40, 0)</f>
        <v>21</v>
      </c>
      <c r="M17" s="7"/>
      <c r="N17" s="6"/>
      <c r="O17" s="6"/>
      <c r="P17" s="6"/>
      <c r="Q17" s="7">
        <f xml:space="preserve"> E17-D17</f>
        <v>834</v>
      </c>
      <c r="R17" s="7"/>
      <c r="S17" s="6"/>
      <c r="T17" s="6"/>
      <c r="U17" s="6"/>
      <c r="V17" s="6"/>
      <c r="W17" s="7"/>
      <c r="X17" s="6"/>
      <c r="Y17" s="7"/>
      <c r="Z17" s="7"/>
      <c r="AA17" s="7"/>
    </row>
    <row r="18" spans="1:27" ht="15" customHeight="1" x14ac:dyDescent="0.25">
      <c r="A18" s="49" t="s">
        <v>101</v>
      </c>
      <c r="B18" s="16" t="s">
        <v>103</v>
      </c>
      <c r="C18" s="8" t="s">
        <v>105</v>
      </c>
      <c r="D18" s="12">
        <v>94016</v>
      </c>
      <c r="E18" s="12">
        <v>94550</v>
      </c>
      <c r="F18" s="5" t="s">
        <v>7</v>
      </c>
      <c r="G18" s="109" t="s">
        <v>452</v>
      </c>
      <c r="H18" s="110"/>
      <c r="I18" s="5"/>
      <c r="J18" s="5"/>
      <c r="K18" s="7"/>
      <c r="L18" s="7">
        <f xml:space="preserve"> ROUNDUP((94412-94016)/40, 0)</f>
        <v>10</v>
      </c>
      <c r="M18" s="7"/>
      <c r="N18" s="6"/>
      <c r="O18" s="6"/>
      <c r="P18" s="6"/>
      <c r="Q18" s="7">
        <f xml:space="preserve"> E18-D18</f>
        <v>534</v>
      </c>
      <c r="R18" s="7"/>
      <c r="S18" s="6"/>
      <c r="T18" s="6"/>
      <c r="U18" s="6"/>
      <c r="V18" s="6"/>
      <c r="W18" s="7"/>
      <c r="X18" s="6"/>
      <c r="Y18" s="7"/>
      <c r="Z18" s="7"/>
      <c r="AA18" s="7"/>
    </row>
    <row r="19" spans="1:27" x14ac:dyDescent="0.25">
      <c r="A19" s="49" t="s">
        <v>101</v>
      </c>
      <c r="B19" s="16" t="s">
        <v>104</v>
      </c>
      <c r="C19" s="8" t="s">
        <v>106</v>
      </c>
      <c r="D19" s="12">
        <v>94016</v>
      </c>
      <c r="E19" s="12">
        <v>94550</v>
      </c>
      <c r="F19" s="5" t="s">
        <v>7</v>
      </c>
      <c r="G19" s="109" t="s">
        <v>452</v>
      </c>
      <c r="H19" s="110"/>
      <c r="I19" s="5"/>
      <c r="J19" s="5"/>
      <c r="K19" s="7"/>
      <c r="L19" s="7"/>
      <c r="M19" s="7"/>
      <c r="N19" s="6"/>
      <c r="O19" s="6"/>
      <c r="P19" s="6">
        <f xml:space="preserve"> (E19-D19)/5280</f>
        <v>0.10113636363636364</v>
      </c>
      <c r="Q19" s="7"/>
      <c r="R19" s="7"/>
      <c r="S19" s="6"/>
      <c r="T19" s="6"/>
      <c r="U19" s="6"/>
      <c r="V19" s="6"/>
      <c r="W19" s="6"/>
      <c r="X19" s="6"/>
      <c r="Y19" s="7"/>
      <c r="Z19" s="6"/>
      <c r="AA19" s="6"/>
    </row>
    <row r="20" spans="1:27" ht="15" customHeight="1" x14ac:dyDescent="0.25">
      <c r="A20" s="49"/>
      <c r="B20" s="16"/>
      <c r="C20" s="5"/>
      <c r="D20" s="107"/>
      <c r="E20" s="108"/>
      <c r="F20" s="5"/>
      <c r="G20" s="109"/>
      <c r="H20" s="110"/>
      <c r="I20" s="5"/>
      <c r="J20" s="5"/>
      <c r="K20" s="7"/>
      <c r="L20" s="7"/>
      <c r="M20" s="7"/>
      <c r="N20" s="6"/>
      <c r="O20" s="6"/>
      <c r="P20" s="6"/>
      <c r="Q20" s="7"/>
      <c r="R20" s="7"/>
      <c r="S20" s="6"/>
      <c r="T20" s="6"/>
      <c r="U20" s="6"/>
      <c r="V20" s="6"/>
      <c r="W20" s="6"/>
      <c r="X20" s="6"/>
      <c r="Y20" s="7"/>
      <c r="Z20" s="6"/>
      <c r="AA20" s="6"/>
    </row>
    <row r="21" spans="1:27" x14ac:dyDescent="0.25">
      <c r="A21" s="49" t="s">
        <v>101</v>
      </c>
      <c r="B21" s="16" t="s">
        <v>109</v>
      </c>
      <c r="C21" s="8" t="s">
        <v>48</v>
      </c>
      <c r="D21" s="12">
        <v>94506</v>
      </c>
      <c r="E21" s="12">
        <v>94550</v>
      </c>
      <c r="F21" s="5" t="s">
        <v>7</v>
      </c>
      <c r="G21" s="109" t="s">
        <v>452</v>
      </c>
      <c r="H21" s="110"/>
      <c r="I21" s="7"/>
      <c r="J21" s="5"/>
      <c r="K21" s="7">
        <f xml:space="preserve"> ROUNDUP((Y21/50)*3, 0)</f>
        <v>3</v>
      </c>
      <c r="L21" s="7"/>
      <c r="M21" s="7">
        <f xml:space="preserve"> ROUNDUP((Y21/50), 0)</f>
        <v>1</v>
      </c>
      <c r="N21" s="6"/>
      <c r="O21" s="6"/>
      <c r="P21" s="6"/>
      <c r="Q21" s="7"/>
      <c r="R21" s="7"/>
      <c r="S21" s="6"/>
      <c r="T21" s="6"/>
      <c r="U21" s="6"/>
      <c r="V21" s="6"/>
      <c r="W21" s="6"/>
      <c r="X21" s="6"/>
      <c r="Y21" s="7">
        <f xml:space="preserve"> E21-D21</f>
        <v>44</v>
      </c>
      <c r="Z21" s="6"/>
      <c r="AA21" s="6"/>
    </row>
    <row r="22" spans="1:27" x14ac:dyDescent="0.25">
      <c r="A22" s="49" t="s">
        <v>101</v>
      </c>
      <c r="B22" s="16" t="s">
        <v>110</v>
      </c>
      <c r="C22" s="8" t="s">
        <v>48</v>
      </c>
      <c r="D22" s="52">
        <v>94487</v>
      </c>
      <c r="E22" s="12">
        <v>94550</v>
      </c>
      <c r="F22" s="5" t="s">
        <v>7</v>
      </c>
      <c r="G22" s="109" t="s">
        <v>452</v>
      </c>
      <c r="H22" s="110"/>
      <c r="I22" s="16"/>
      <c r="J22" s="16"/>
      <c r="K22" s="16"/>
      <c r="L22" s="16"/>
      <c r="M22" s="16"/>
      <c r="N22" s="16"/>
      <c r="O22" s="16"/>
      <c r="P22" s="6">
        <f xml:space="preserve"> (E22-D22)/5280</f>
        <v>1.1931818181818182E-2</v>
      </c>
      <c r="Q22" s="45"/>
      <c r="R22" s="7"/>
      <c r="S22" s="6"/>
      <c r="T22" s="6"/>
      <c r="U22" s="6"/>
      <c r="V22" s="6"/>
      <c r="W22" s="6"/>
      <c r="X22" s="7"/>
      <c r="Y22" s="7"/>
      <c r="Z22" s="6"/>
      <c r="AA22" s="6"/>
    </row>
    <row r="23" spans="1:27" x14ac:dyDescent="0.25">
      <c r="A23" s="49" t="s">
        <v>101</v>
      </c>
      <c r="B23" s="16" t="s">
        <v>113</v>
      </c>
      <c r="C23" s="5" t="s">
        <v>48</v>
      </c>
      <c r="D23" s="52">
        <v>94412</v>
      </c>
      <c r="E23" s="12">
        <v>94550</v>
      </c>
      <c r="F23" s="20" t="s">
        <v>7</v>
      </c>
      <c r="G23" s="109" t="s">
        <v>452</v>
      </c>
      <c r="H23" s="110"/>
      <c r="I23" s="3"/>
      <c r="J23" s="3"/>
      <c r="K23" s="9"/>
      <c r="L23" s="9"/>
      <c r="M23" s="9"/>
      <c r="N23" s="4"/>
      <c r="O23" s="4"/>
      <c r="P23" s="6">
        <f xml:space="preserve"> (E23-D23)/5280</f>
        <v>2.6136363636363635E-2</v>
      </c>
      <c r="Q23" s="9"/>
      <c r="R23" s="7"/>
      <c r="S23" s="6"/>
      <c r="T23" s="6"/>
      <c r="U23" s="6"/>
      <c r="V23" s="6"/>
      <c r="W23" s="6"/>
      <c r="X23" s="7"/>
      <c r="Y23" s="7"/>
      <c r="Z23" s="6"/>
      <c r="AA23" s="6"/>
    </row>
    <row r="24" spans="1:27" x14ac:dyDescent="0.25">
      <c r="A24" s="49" t="s">
        <v>101</v>
      </c>
      <c r="B24" s="54" t="s">
        <v>112</v>
      </c>
      <c r="C24" s="10" t="s">
        <v>48</v>
      </c>
      <c r="D24" s="17">
        <v>94487</v>
      </c>
      <c r="E24" s="12">
        <v>94550</v>
      </c>
      <c r="F24" s="5" t="s">
        <v>7</v>
      </c>
      <c r="G24" s="109" t="s">
        <v>452</v>
      </c>
      <c r="H24" s="110"/>
      <c r="I24" s="7"/>
      <c r="J24" s="5"/>
      <c r="K24" s="7"/>
      <c r="L24" s="7"/>
      <c r="M24" s="7"/>
      <c r="N24" s="6"/>
      <c r="O24" s="6"/>
      <c r="P24" s="6">
        <f xml:space="preserve"> (E24-D24)/5280</f>
        <v>1.1931818181818182E-2</v>
      </c>
      <c r="Q24" s="7"/>
      <c r="R24" s="81"/>
      <c r="S24" s="81"/>
      <c r="T24" s="81"/>
      <c r="U24" s="81"/>
      <c r="V24" s="81"/>
      <c r="W24" s="81"/>
      <c r="X24" s="81"/>
      <c r="Y24" s="81"/>
      <c r="Z24" s="6"/>
      <c r="AA24" s="6"/>
    </row>
    <row r="25" spans="1:27" x14ac:dyDescent="0.25">
      <c r="A25" s="87" t="s">
        <v>101</v>
      </c>
      <c r="B25" s="83" t="s">
        <v>502</v>
      </c>
      <c r="C25" s="21" t="s">
        <v>48</v>
      </c>
      <c r="D25" s="88">
        <v>93550</v>
      </c>
      <c r="E25" s="89">
        <v>93716</v>
      </c>
      <c r="F25" s="22" t="s">
        <v>7</v>
      </c>
      <c r="G25" s="151" t="s">
        <v>452</v>
      </c>
      <c r="H25" s="152"/>
      <c r="I25" s="18"/>
      <c r="J25" s="22"/>
      <c r="K25" s="18"/>
      <c r="L25" s="7">
        <f xml:space="preserve"> ROUNDUP((N25*5280)/80, 0)</f>
        <v>3</v>
      </c>
      <c r="M25" s="18"/>
      <c r="N25" s="19">
        <f>(E25-D25)/5280</f>
        <v>3.1439393939393941E-2</v>
      </c>
      <c r="O25" s="19"/>
      <c r="P25" s="90"/>
      <c r="Q25" s="18"/>
      <c r="R25" s="18"/>
      <c r="S25" s="19"/>
      <c r="T25" s="19"/>
      <c r="U25" s="19"/>
      <c r="V25" s="19"/>
      <c r="W25" s="19"/>
      <c r="X25" s="18"/>
      <c r="Y25" s="18"/>
      <c r="Z25" s="19"/>
      <c r="AA25" s="19"/>
    </row>
    <row r="26" spans="1:27" x14ac:dyDescent="0.25">
      <c r="A26" s="73"/>
      <c r="B26" s="73"/>
      <c r="C26" s="73"/>
      <c r="D26" s="143"/>
      <c r="E26" s="144"/>
      <c r="F26" s="73"/>
      <c r="G26" s="143"/>
      <c r="H26" s="144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</row>
    <row r="27" spans="1:27" x14ac:dyDescent="0.25">
      <c r="A27" s="91" t="s">
        <v>107</v>
      </c>
      <c r="B27" s="54" t="s">
        <v>110</v>
      </c>
      <c r="C27" s="10" t="s">
        <v>83</v>
      </c>
      <c r="D27" s="17">
        <v>1550</v>
      </c>
      <c r="E27" s="17">
        <v>2638</v>
      </c>
      <c r="F27" s="3" t="s">
        <v>7</v>
      </c>
      <c r="G27" s="97" t="s">
        <v>452</v>
      </c>
      <c r="H27" s="98"/>
      <c r="I27" s="9"/>
      <c r="J27" s="3"/>
      <c r="K27" s="9"/>
      <c r="L27" s="7">
        <f xml:space="preserve"> ROUNDUP((P27*5280)/80, 0)</f>
        <v>14</v>
      </c>
      <c r="M27" s="9"/>
      <c r="N27" s="4"/>
      <c r="O27" s="4"/>
      <c r="P27" s="4">
        <f xml:space="preserve"> (E27-D27)/5280</f>
        <v>0.20606060606060606</v>
      </c>
      <c r="Q27" s="9"/>
      <c r="R27" s="9"/>
      <c r="S27" s="4"/>
      <c r="T27" s="4"/>
      <c r="U27" s="4"/>
      <c r="V27" s="4"/>
      <c r="W27" s="4"/>
      <c r="X27" s="4"/>
      <c r="Y27" s="9"/>
      <c r="Z27" s="4"/>
      <c r="AA27" s="4"/>
    </row>
    <row r="28" spans="1:27" x14ac:dyDescent="0.25">
      <c r="A28" s="49" t="s">
        <v>107</v>
      </c>
      <c r="B28" s="16" t="s">
        <v>112</v>
      </c>
      <c r="C28" s="8" t="s">
        <v>83</v>
      </c>
      <c r="D28" s="12">
        <v>1550</v>
      </c>
      <c r="E28" s="12">
        <v>2638</v>
      </c>
      <c r="F28" s="5" t="s">
        <v>8</v>
      </c>
      <c r="G28" s="109" t="s">
        <v>452</v>
      </c>
      <c r="H28" s="110"/>
      <c r="I28" s="7"/>
      <c r="J28" s="5"/>
      <c r="K28" s="7"/>
      <c r="L28" s="7"/>
      <c r="M28" s="7"/>
      <c r="N28" s="6"/>
      <c r="O28" s="6"/>
      <c r="P28" s="6">
        <f xml:space="preserve"> (E28-D28)/5280</f>
        <v>0.20606060606060606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5">
      <c r="A29" s="49" t="s">
        <v>107</v>
      </c>
      <c r="B29" s="16" t="s">
        <v>114</v>
      </c>
      <c r="C29" s="8" t="s">
        <v>83</v>
      </c>
      <c r="D29" s="107">
        <v>1677</v>
      </c>
      <c r="E29" s="108"/>
      <c r="F29" s="5" t="s">
        <v>7</v>
      </c>
      <c r="G29" s="109" t="s">
        <v>452</v>
      </c>
      <c r="H29" s="110"/>
      <c r="I29" s="5"/>
      <c r="J29" s="5">
        <v>1</v>
      </c>
      <c r="K29" s="7"/>
      <c r="L29" s="7"/>
      <c r="M29" s="7"/>
      <c r="N29" s="6"/>
      <c r="O29" s="6"/>
      <c r="P29" s="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5">
      <c r="A30" s="49" t="s">
        <v>107</v>
      </c>
      <c r="B30" s="16" t="s">
        <v>116</v>
      </c>
      <c r="C30" s="8" t="s">
        <v>83</v>
      </c>
      <c r="D30" s="12">
        <v>1550</v>
      </c>
      <c r="E30" s="12">
        <v>1677</v>
      </c>
      <c r="F30" s="5" t="s">
        <v>7</v>
      </c>
      <c r="G30" s="109" t="s">
        <v>452</v>
      </c>
      <c r="H30" s="110"/>
      <c r="I30" s="7">
        <v>130</v>
      </c>
      <c r="J30" s="5"/>
      <c r="K30" s="7">
        <f xml:space="preserve"> ROUNDUP((Y30/50)*3, 0)</f>
        <v>8</v>
      </c>
      <c r="L30" s="7"/>
      <c r="M30" s="7">
        <f xml:space="preserve"> ROUNDUP((Y30/50), 0)</f>
        <v>3</v>
      </c>
      <c r="N30" s="6"/>
      <c r="O30" s="6"/>
      <c r="P30" s="6"/>
      <c r="Q30" s="7"/>
      <c r="R30" s="7"/>
      <c r="S30" s="6"/>
      <c r="T30" s="6"/>
      <c r="U30" s="6"/>
      <c r="V30" s="6"/>
      <c r="W30" s="6"/>
      <c r="X30" s="6"/>
      <c r="Y30" s="7">
        <v>130</v>
      </c>
      <c r="Z30" s="7"/>
      <c r="AA30" s="7"/>
    </row>
    <row r="31" spans="1:27" x14ac:dyDescent="0.25">
      <c r="A31" s="49" t="s">
        <v>107</v>
      </c>
      <c r="B31" s="16" t="s">
        <v>117</v>
      </c>
      <c r="C31" s="8" t="s">
        <v>83</v>
      </c>
      <c r="D31" s="12">
        <v>1550</v>
      </c>
      <c r="E31" s="12">
        <v>1577</v>
      </c>
      <c r="F31" s="5" t="s">
        <v>8</v>
      </c>
      <c r="G31" s="109" t="s">
        <v>452</v>
      </c>
      <c r="H31" s="110"/>
      <c r="I31" s="7"/>
      <c r="J31" s="5"/>
      <c r="K31" s="7"/>
      <c r="L31" s="7"/>
      <c r="M31" s="7"/>
      <c r="N31" s="6"/>
      <c r="O31" s="6"/>
      <c r="P31" s="6">
        <f xml:space="preserve"> (E31-D31)/5280</f>
        <v>5.1136363636363636E-3</v>
      </c>
      <c r="Q31" s="7"/>
      <c r="R31" s="7"/>
      <c r="S31" s="6"/>
      <c r="T31" s="6"/>
      <c r="U31" s="6"/>
      <c r="V31" s="6"/>
      <c r="W31" s="6"/>
      <c r="X31" s="6"/>
      <c r="Y31" s="7"/>
      <c r="Z31" s="7"/>
      <c r="AA31" s="7"/>
    </row>
    <row r="32" spans="1:27" x14ac:dyDescent="0.25">
      <c r="A32" s="82"/>
      <c r="B32" s="81"/>
      <c r="C32" s="8"/>
      <c r="D32" s="107"/>
      <c r="E32" s="108"/>
      <c r="F32" s="5"/>
      <c r="G32" s="109"/>
      <c r="H32" s="110"/>
      <c r="I32" s="5"/>
      <c r="J32" s="5"/>
      <c r="K32" s="7"/>
      <c r="L32" s="7"/>
      <c r="M32" s="7"/>
      <c r="N32" s="6"/>
      <c r="O32" s="6"/>
      <c r="P32" s="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25">
      <c r="A33" s="49" t="s">
        <v>107</v>
      </c>
      <c r="B33" s="55" t="s">
        <v>119</v>
      </c>
      <c r="C33" s="8" t="s">
        <v>82</v>
      </c>
      <c r="D33" s="107">
        <v>1748</v>
      </c>
      <c r="E33" s="108"/>
      <c r="F33" s="5" t="s">
        <v>7</v>
      </c>
      <c r="G33" s="109" t="s">
        <v>452</v>
      </c>
      <c r="H33" s="110"/>
      <c r="I33" s="5"/>
      <c r="J33" s="5">
        <v>1</v>
      </c>
      <c r="K33" s="7"/>
      <c r="L33" s="7"/>
      <c r="M33" s="7"/>
      <c r="N33" s="6"/>
      <c r="O33" s="6"/>
      <c r="P33" s="6"/>
      <c r="Q33" s="7"/>
      <c r="R33" s="7"/>
      <c r="S33" s="6"/>
      <c r="T33" s="6"/>
      <c r="U33" s="6"/>
      <c r="V33" s="6"/>
      <c r="W33" s="6"/>
      <c r="X33" s="6"/>
      <c r="Y33" s="7"/>
      <c r="Z33" s="6"/>
      <c r="AA33" s="6"/>
    </row>
    <row r="34" spans="1:27" x14ac:dyDescent="0.25">
      <c r="A34" s="49" t="s">
        <v>107</v>
      </c>
      <c r="B34" s="16" t="s">
        <v>115</v>
      </c>
      <c r="C34" s="8" t="s">
        <v>82</v>
      </c>
      <c r="D34" s="12">
        <v>1596</v>
      </c>
      <c r="E34" s="12">
        <v>1785</v>
      </c>
      <c r="F34" s="5" t="s">
        <v>8</v>
      </c>
      <c r="G34" s="109" t="s">
        <v>452</v>
      </c>
      <c r="H34" s="110"/>
      <c r="I34" s="7"/>
      <c r="J34" s="5"/>
      <c r="K34" s="7"/>
      <c r="L34" s="7"/>
      <c r="M34" s="7"/>
      <c r="N34" s="6"/>
      <c r="O34" s="6"/>
      <c r="P34" s="6"/>
      <c r="Q34" s="7"/>
      <c r="R34" s="7"/>
      <c r="S34" s="6"/>
      <c r="T34" s="6"/>
      <c r="U34" s="6"/>
      <c r="V34" s="6"/>
      <c r="W34" s="6"/>
      <c r="X34" s="7">
        <v>2325</v>
      </c>
      <c r="Y34" s="7"/>
      <c r="Z34" s="7"/>
      <c r="AA34" s="7"/>
    </row>
    <row r="35" spans="1:27" x14ac:dyDescent="0.25">
      <c r="A35" s="49" t="s">
        <v>107</v>
      </c>
      <c r="B35" s="16" t="s">
        <v>111</v>
      </c>
      <c r="C35" s="8" t="s">
        <v>82</v>
      </c>
      <c r="D35" s="12">
        <v>1550</v>
      </c>
      <c r="E35" s="12">
        <v>1773</v>
      </c>
      <c r="F35" s="5" t="s">
        <v>8</v>
      </c>
      <c r="G35" s="109" t="s">
        <v>452</v>
      </c>
      <c r="H35" s="110"/>
      <c r="I35" s="5"/>
      <c r="J35" s="5"/>
      <c r="K35" s="7"/>
      <c r="L35" s="7">
        <f xml:space="preserve"> ROUNDUP((P35*5280)/80, 0)</f>
        <v>3</v>
      </c>
      <c r="M35" s="7"/>
      <c r="N35" s="6"/>
      <c r="O35" s="6"/>
      <c r="P35" s="6">
        <f xml:space="preserve"> (E35-D35)/5280</f>
        <v>4.2234848484848486E-2</v>
      </c>
      <c r="Q35" s="7"/>
      <c r="R35" s="7"/>
      <c r="S35" s="6"/>
      <c r="T35" s="6"/>
      <c r="U35" s="6"/>
      <c r="V35" s="6"/>
      <c r="W35" s="6"/>
      <c r="X35" s="6"/>
      <c r="Y35" s="7"/>
      <c r="Z35" s="6"/>
      <c r="AA35" s="6"/>
    </row>
    <row r="36" spans="1:27" x14ac:dyDescent="0.25">
      <c r="A36" s="49" t="s">
        <v>107</v>
      </c>
      <c r="B36" s="16" t="s">
        <v>120</v>
      </c>
      <c r="C36" s="8" t="s">
        <v>82</v>
      </c>
      <c r="D36" s="12">
        <v>1550</v>
      </c>
      <c r="E36" s="12">
        <v>1785</v>
      </c>
      <c r="F36" s="5" t="s">
        <v>8</v>
      </c>
      <c r="G36" s="109" t="s">
        <v>452</v>
      </c>
      <c r="H36" s="110"/>
      <c r="I36" s="5"/>
      <c r="J36" s="5"/>
      <c r="K36" s="7"/>
      <c r="L36" s="7"/>
      <c r="M36" s="7"/>
      <c r="N36" s="6"/>
      <c r="O36" s="6"/>
      <c r="P36" s="6">
        <f xml:space="preserve"> (E36-D36)/5280</f>
        <v>4.450757575757576E-2</v>
      </c>
      <c r="Q36" s="7"/>
      <c r="R36" s="7"/>
      <c r="S36" s="6"/>
      <c r="T36" s="6"/>
      <c r="U36" s="6"/>
      <c r="V36" s="6"/>
      <c r="W36" s="6"/>
      <c r="X36" s="7"/>
      <c r="Y36" s="7"/>
      <c r="Z36" s="6"/>
      <c r="AA36" s="6"/>
    </row>
    <row r="37" spans="1:27" x14ac:dyDescent="0.25">
      <c r="A37" s="49" t="s">
        <v>107</v>
      </c>
      <c r="B37" s="16" t="s">
        <v>113</v>
      </c>
      <c r="C37" s="8" t="s">
        <v>48</v>
      </c>
      <c r="D37" s="12">
        <v>94550</v>
      </c>
      <c r="E37" s="12">
        <v>94731</v>
      </c>
      <c r="F37" s="5" t="s">
        <v>7</v>
      </c>
      <c r="G37" s="109" t="s">
        <v>452</v>
      </c>
      <c r="H37" s="110"/>
      <c r="I37" s="5"/>
      <c r="J37" s="5"/>
      <c r="K37" s="7"/>
      <c r="M37" s="7"/>
      <c r="N37" s="6"/>
      <c r="O37" s="6"/>
      <c r="P37" s="6">
        <f xml:space="preserve"> (E37-D37)/5280</f>
        <v>3.4280303030303029E-2</v>
      </c>
      <c r="Q37" s="7"/>
      <c r="R37" s="7"/>
      <c r="S37" s="6"/>
      <c r="T37" s="6"/>
      <c r="U37" s="6"/>
      <c r="V37" s="6"/>
      <c r="W37" s="6"/>
      <c r="X37" s="6"/>
      <c r="Y37" s="7"/>
      <c r="Z37" s="6"/>
      <c r="AA37" s="6"/>
    </row>
    <row r="38" spans="1:27" x14ac:dyDescent="0.25">
      <c r="A38" s="49"/>
      <c r="B38" s="16"/>
      <c r="C38" s="10"/>
      <c r="D38" s="107"/>
      <c r="E38" s="108"/>
      <c r="F38" s="5"/>
      <c r="G38" s="109"/>
      <c r="H38" s="110"/>
      <c r="I38" s="5"/>
      <c r="J38" s="5"/>
      <c r="K38" s="7"/>
      <c r="L38" s="7"/>
      <c r="M38" s="7"/>
      <c r="N38" s="6"/>
      <c r="O38" s="6"/>
      <c r="P38" s="6"/>
      <c r="Q38" s="7"/>
      <c r="R38" s="7"/>
      <c r="S38" s="6"/>
      <c r="T38" s="6"/>
      <c r="U38" s="6"/>
      <c r="V38" s="6"/>
      <c r="W38" s="6"/>
      <c r="X38" s="6"/>
      <c r="Y38" s="7"/>
      <c r="Z38" s="6"/>
      <c r="AA38" s="6"/>
    </row>
    <row r="39" spans="1:27" x14ac:dyDescent="0.25">
      <c r="A39" s="49" t="s">
        <v>107</v>
      </c>
      <c r="B39" s="16" t="s">
        <v>109</v>
      </c>
      <c r="C39" s="10" t="s">
        <v>48</v>
      </c>
      <c r="D39" s="12">
        <v>94550</v>
      </c>
      <c r="E39" s="12">
        <v>95238</v>
      </c>
      <c r="F39" s="5"/>
      <c r="G39" s="109" t="s">
        <v>452</v>
      </c>
      <c r="H39" s="110"/>
      <c r="I39" s="7">
        <v>140</v>
      </c>
      <c r="J39" s="5"/>
      <c r="K39" s="7">
        <f xml:space="preserve"> ROUNDUP((Y39/50)*3, 0)</f>
        <v>42</v>
      </c>
      <c r="L39" s="7"/>
      <c r="M39" s="7">
        <f xml:space="preserve"> ROUNDUP((Y39/50), 0)</f>
        <v>14</v>
      </c>
      <c r="N39" s="6"/>
      <c r="O39" s="6"/>
      <c r="P39" s="6"/>
      <c r="Q39" s="7"/>
      <c r="R39" s="7"/>
      <c r="S39" s="6"/>
      <c r="T39" s="6"/>
      <c r="U39" s="6"/>
      <c r="V39" s="6"/>
      <c r="W39" s="6"/>
      <c r="X39" s="6"/>
      <c r="Y39" s="7">
        <f xml:space="preserve"> E39-D39</f>
        <v>688</v>
      </c>
      <c r="Z39" s="6"/>
      <c r="AA39" s="6"/>
    </row>
    <row r="40" spans="1:27" x14ac:dyDescent="0.25">
      <c r="A40" s="49" t="s">
        <v>107</v>
      </c>
      <c r="B40" s="16" t="s">
        <v>108</v>
      </c>
      <c r="C40" s="10" t="s">
        <v>48</v>
      </c>
      <c r="D40" s="12">
        <v>94550</v>
      </c>
      <c r="E40" s="12">
        <v>94732</v>
      </c>
      <c r="F40" s="5" t="s">
        <v>7</v>
      </c>
      <c r="G40" s="109" t="s">
        <v>452</v>
      </c>
      <c r="H40" s="110"/>
      <c r="I40" s="5"/>
      <c r="J40" s="5"/>
      <c r="K40" s="7"/>
      <c r="L40" s="7"/>
      <c r="M40" s="7"/>
      <c r="N40" s="6"/>
      <c r="O40" s="6"/>
      <c r="P40" s="6"/>
      <c r="Q40" s="7"/>
      <c r="R40" s="7"/>
      <c r="S40" s="6"/>
      <c r="T40" s="6"/>
      <c r="U40" s="6"/>
      <c r="V40" s="6"/>
      <c r="W40" s="6"/>
      <c r="X40" s="6"/>
      <c r="Y40" s="7"/>
      <c r="Z40" s="6"/>
      <c r="AA40" s="6"/>
    </row>
    <row r="41" spans="1:27" x14ac:dyDescent="0.25">
      <c r="A41" s="49" t="s">
        <v>107</v>
      </c>
      <c r="B41" s="16" t="s">
        <v>121</v>
      </c>
      <c r="C41" s="10" t="s">
        <v>48</v>
      </c>
      <c r="D41" s="107">
        <v>95238</v>
      </c>
      <c r="E41" s="108"/>
      <c r="F41" s="5" t="s">
        <v>7</v>
      </c>
      <c r="G41" s="109" t="s">
        <v>452</v>
      </c>
      <c r="H41" s="110"/>
      <c r="I41" s="5"/>
      <c r="J41" s="5">
        <v>1</v>
      </c>
      <c r="K41" s="7"/>
      <c r="L41" s="7"/>
      <c r="M41" s="7"/>
      <c r="N41" s="6"/>
      <c r="O41" s="6"/>
      <c r="P41" s="6"/>
      <c r="Q41" s="7"/>
      <c r="R41" s="7"/>
      <c r="S41" s="6"/>
      <c r="T41" s="6"/>
      <c r="U41" s="6"/>
      <c r="V41" s="6"/>
      <c r="W41" s="7"/>
      <c r="X41" s="7"/>
      <c r="Y41" s="7"/>
      <c r="Z41" s="6"/>
      <c r="AA41" s="6"/>
    </row>
    <row r="42" spans="1:27" ht="15" customHeight="1" x14ac:dyDescent="0.25">
      <c r="A42" s="49" t="s">
        <v>107</v>
      </c>
      <c r="B42" s="83" t="s">
        <v>427</v>
      </c>
      <c r="C42" s="21" t="s">
        <v>82</v>
      </c>
      <c r="D42" s="12">
        <v>1550</v>
      </c>
      <c r="E42" s="12">
        <v>1748</v>
      </c>
      <c r="F42" s="22" t="s">
        <v>8</v>
      </c>
      <c r="G42" s="109" t="s">
        <v>452</v>
      </c>
      <c r="H42" s="110"/>
      <c r="I42" s="7"/>
      <c r="J42" s="5"/>
      <c r="K42" s="7">
        <f xml:space="preserve"> ROUNDUP((I42/50)*3, 0)</f>
        <v>0</v>
      </c>
      <c r="L42" s="7"/>
      <c r="M42" s="7">
        <f xml:space="preserve"> ROUNDUP((I42/50), 0)</f>
        <v>0</v>
      </c>
      <c r="N42" s="6"/>
      <c r="O42" s="6"/>
      <c r="P42" s="6"/>
      <c r="Q42" s="7"/>
      <c r="R42" s="7"/>
      <c r="S42" s="6"/>
      <c r="T42" s="6"/>
      <c r="U42" s="6"/>
      <c r="V42" s="6"/>
      <c r="W42" s="6"/>
      <c r="X42" s="6"/>
      <c r="Y42" s="7">
        <f xml:space="preserve"> E42-D42</f>
        <v>198</v>
      </c>
      <c r="Z42" s="19"/>
      <c r="AA42" s="19"/>
    </row>
    <row r="43" spans="1:27" ht="15" customHeight="1" x14ac:dyDescent="0.25">
      <c r="A43" s="16"/>
      <c r="B43" s="16"/>
      <c r="C43" s="5"/>
      <c r="D43" s="107"/>
      <c r="E43" s="108"/>
      <c r="F43" s="5"/>
      <c r="G43" s="109"/>
      <c r="H43" s="110"/>
      <c r="I43" s="7"/>
      <c r="J43" s="5"/>
      <c r="K43" s="7"/>
      <c r="L43" s="7"/>
      <c r="M43" s="7"/>
      <c r="N43" s="6"/>
      <c r="O43" s="6"/>
      <c r="P43" s="6"/>
      <c r="Q43" s="7"/>
      <c r="R43" s="7"/>
      <c r="S43" s="6"/>
      <c r="T43" s="6"/>
      <c r="U43" s="6"/>
      <c r="V43" s="6"/>
      <c r="W43" s="6"/>
      <c r="X43" s="6"/>
      <c r="Y43" s="7"/>
      <c r="Z43" s="19"/>
      <c r="AA43" s="19"/>
    </row>
    <row r="44" spans="1:27" ht="15" customHeight="1" x14ac:dyDescent="0.25">
      <c r="A44" s="16" t="s">
        <v>500</v>
      </c>
      <c r="B44" s="16" t="s">
        <v>502</v>
      </c>
      <c r="C44" s="16" t="s">
        <v>48</v>
      </c>
      <c r="D44" s="52">
        <v>92005</v>
      </c>
      <c r="E44" s="52">
        <v>93550</v>
      </c>
      <c r="F44" s="16" t="s">
        <v>7</v>
      </c>
      <c r="G44" s="133" t="s">
        <v>452</v>
      </c>
      <c r="H44" s="133"/>
      <c r="I44" s="5"/>
      <c r="J44" s="5"/>
      <c r="K44" s="7"/>
      <c r="L44" s="7">
        <f xml:space="preserve"> ROUNDUP((N44*5280)/80, 0)</f>
        <v>20</v>
      </c>
      <c r="M44" s="7"/>
      <c r="N44" s="6">
        <f>(E44-D44)/5280</f>
        <v>0.29261363636363635</v>
      </c>
      <c r="O44" s="6"/>
      <c r="P44" s="6"/>
      <c r="Q44" s="7"/>
      <c r="R44" s="7"/>
      <c r="S44" s="6"/>
      <c r="T44" s="6"/>
      <c r="U44" s="6"/>
      <c r="V44" s="6"/>
      <c r="W44" s="6"/>
      <c r="X44" s="6"/>
      <c r="Y44" s="7"/>
      <c r="Z44" s="6"/>
      <c r="AA44" s="6"/>
    </row>
    <row r="45" spans="1:27" ht="15" customHeight="1" x14ac:dyDescent="0.25">
      <c r="A45" s="140" t="s">
        <v>122</v>
      </c>
      <c r="B45" s="141"/>
      <c r="C45" s="141"/>
      <c r="D45" s="141"/>
      <c r="E45" s="141"/>
      <c r="F45" s="141"/>
      <c r="G45" s="141"/>
      <c r="H45" s="142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" customHeight="1" x14ac:dyDescent="0.25">
      <c r="A46" s="48" t="s">
        <v>123</v>
      </c>
      <c r="B46" s="42" t="s">
        <v>192</v>
      </c>
      <c r="C46" s="8" t="s">
        <v>30</v>
      </c>
      <c r="D46" s="5" t="s">
        <v>124</v>
      </c>
      <c r="E46" s="5" t="s">
        <v>125</v>
      </c>
      <c r="F46" s="5" t="s">
        <v>8</v>
      </c>
      <c r="G46" s="109" t="s">
        <v>453</v>
      </c>
      <c r="H46" s="110"/>
      <c r="I46" s="3"/>
      <c r="J46" s="3"/>
      <c r="K46" s="3"/>
      <c r="L46" s="9">
        <f xml:space="preserve"> ROUNDUP(Q46/40, 0)</f>
        <v>5</v>
      </c>
      <c r="M46" s="3"/>
      <c r="N46" s="3"/>
      <c r="O46" s="3"/>
      <c r="P46" s="3"/>
      <c r="Q46" s="3">
        <v>175</v>
      </c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" customHeight="1" x14ac:dyDescent="0.25">
      <c r="A47" s="48" t="s">
        <v>123</v>
      </c>
      <c r="B47" s="42" t="s">
        <v>95</v>
      </c>
      <c r="C47" s="10" t="s">
        <v>30</v>
      </c>
      <c r="D47" s="109" t="s">
        <v>126</v>
      </c>
      <c r="E47" s="110"/>
      <c r="F47" s="5" t="s">
        <v>8</v>
      </c>
      <c r="G47" s="109" t="s">
        <v>453</v>
      </c>
      <c r="H47" s="110"/>
      <c r="I47" s="5"/>
      <c r="J47" s="5"/>
      <c r="K47" s="5"/>
      <c r="L47" s="5"/>
      <c r="M47" s="5"/>
      <c r="N47" s="5"/>
      <c r="O47" s="5"/>
      <c r="P47" s="5"/>
      <c r="Q47" s="3"/>
      <c r="R47" s="5"/>
      <c r="S47" s="5"/>
      <c r="T47" s="5"/>
      <c r="U47" s="5"/>
      <c r="V47" s="5"/>
      <c r="W47" s="5">
        <v>2</v>
      </c>
      <c r="X47" s="5"/>
      <c r="Y47" s="5"/>
      <c r="Z47" s="5"/>
      <c r="AA47" s="5"/>
    </row>
    <row r="48" spans="1:27" ht="15" customHeight="1" x14ac:dyDescent="0.25">
      <c r="A48" s="48" t="s">
        <v>123</v>
      </c>
      <c r="B48" s="42" t="s">
        <v>193</v>
      </c>
      <c r="C48" s="42" t="s">
        <v>30</v>
      </c>
      <c r="D48" s="149" t="s">
        <v>127</v>
      </c>
      <c r="E48" s="150"/>
      <c r="F48" s="42" t="s">
        <v>8</v>
      </c>
      <c r="G48" s="109" t="s">
        <v>453</v>
      </c>
      <c r="H48" s="110"/>
      <c r="I48" s="42"/>
      <c r="J48" s="42"/>
      <c r="K48" s="42"/>
      <c r="L48" s="42"/>
      <c r="M48" s="42"/>
      <c r="N48" s="42"/>
      <c r="O48" s="42"/>
      <c r="P48" s="42"/>
      <c r="Q48" s="3"/>
      <c r="R48" s="5"/>
      <c r="S48" s="5"/>
      <c r="T48" s="5"/>
      <c r="U48" s="5"/>
      <c r="V48" s="5"/>
      <c r="W48" s="5">
        <v>2</v>
      </c>
      <c r="X48" s="5"/>
      <c r="Y48" s="5"/>
      <c r="Z48" s="5"/>
      <c r="AA48" s="5"/>
    </row>
    <row r="49" spans="1:27" ht="15" customHeight="1" x14ac:dyDescent="0.25">
      <c r="A49" s="48" t="s">
        <v>123</v>
      </c>
      <c r="B49" s="84" t="s">
        <v>195</v>
      </c>
      <c r="C49" s="10" t="s">
        <v>30</v>
      </c>
      <c r="D49" s="3" t="s">
        <v>128</v>
      </c>
      <c r="E49" s="3" t="s">
        <v>125</v>
      </c>
      <c r="F49" s="3" t="s">
        <v>8</v>
      </c>
      <c r="G49" s="109" t="s">
        <v>453</v>
      </c>
      <c r="H49" s="110"/>
      <c r="I49" s="3"/>
      <c r="J49" s="3"/>
      <c r="K49" s="3"/>
      <c r="L49" s="9">
        <f xml:space="preserve"> ROUNDUP(Q49/40, 0)</f>
        <v>3</v>
      </c>
      <c r="M49" s="3"/>
      <c r="N49" s="3"/>
      <c r="O49" s="3"/>
      <c r="P49" s="3"/>
      <c r="Q49" s="3">
        <v>81</v>
      </c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" customHeight="1" x14ac:dyDescent="0.25">
      <c r="A50" s="48" t="s">
        <v>123</v>
      </c>
      <c r="B50" s="42" t="s">
        <v>196</v>
      </c>
      <c r="C50" s="8" t="s">
        <v>30</v>
      </c>
      <c r="D50" s="5" t="s">
        <v>129</v>
      </c>
      <c r="E50" s="5" t="s">
        <v>125</v>
      </c>
      <c r="F50" s="5" t="s">
        <v>8</v>
      </c>
      <c r="G50" s="109" t="s">
        <v>453</v>
      </c>
      <c r="H50" s="110"/>
      <c r="I50" s="5"/>
      <c r="J50" s="5"/>
      <c r="K50" s="5"/>
      <c r="L50" s="9">
        <v>3</v>
      </c>
      <c r="M50" s="5"/>
      <c r="N50" s="5"/>
      <c r="O50" s="5"/>
      <c r="P50" s="5"/>
      <c r="Q50" s="3">
        <v>66</v>
      </c>
      <c r="R50" s="85"/>
      <c r="S50" s="85"/>
      <c r="T50" s="85"/>
      <c r="U50" s="85"/>
      <c r="V50" s="85"/>
      <c r="W50" s="85"/>
      <c r="X50" s="85"/>
      <c r="Y50" s="85"/>
      <c r="Z50" s="5"/>
      <c r="AA50" s="5"/>
    </row>
    <row r="51" spans="1:27" ht="15" customHeight="1" x14ac:dyDescent="0.25">
      <c r="A51" s="48"/>
      <c r="B51" s="42"/>
      <c r="C51" s="8"/>
      <c r="D51" s="109"/>
      <c r="E51" s="110"/>
      <c r="F51" s="5"/>
      <c r="G51" s="109"/>
      <c r="H51" s="110"/>
      <c r="I51" s="5"/>
      <c r="J51" s="5"/>
      <c r="K51" s="5"/>
      <c r="L51" s="5"/>
      <c r="M51" s="5"/>
      <c r="N51" s="5"/>
      <c r="O51" s="5"/>
      <c r="P51" s="8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" customHeight="1" x14ac:dyDescent="0.25">
      <c r="A52" s="48" t="s">
        <v>123</v>
      </c>
      <c r="B52" s="42" t="s">
        <v>194</v>
      </c>
      <c r="C52" s="8" t="s">
        <v>30</v>
      </c>
      <c r="D52" s="109" t="s">
        <v>130</v>
      </c>
      <c r="E52" s="110"/>
      <c r="F52" s="5" t="s">
        <v>8</v>
      </c>
      <c r="G52" s="109" t="s">
        <v>453</v>
      </c>
      <c r="H52" s="11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>
        <v>2</v>
      </c>
      <c r="X52" s="5"/>
      <c r="Y52" s="5"/>
      <c r="Z52" s="5"/>
      <c r="AA52" s="5"/>
    </row>
    <row r="53" spans="1:27" ht="15" customHeight="1" x14ac:dyDescent="0.25">
      <c r="A53" s="48" t="s">
        <v>123</v>
      </c>
      <c r="B53" s="42" t="s">
        <v>197</v>
      </c>
      <c r="C53" s="8" t="s">
        <v>30</v>
      </c>
      <c r="D53" s="5" t="s">
        <v>125</v>
      </c>
      <c r="E53" s="5" t="s">
        <v>131</v>
      </c>
      <c r="F53" s="5" t="s">
        <v>8</v>
      </c>
      <c r="G53" s="109" t="s">
        <v>453</v>
      </c>
      <c r="H53" s="110"/>
      <c r="I53" s="5"/>
      <c r="J53" s="5"/>
      <c r="K53" s="5"/>
      <c r="L53" s="5"/>
      <c r="M53" s="5"/>
      <c r="N53" s="5"/>
      <c r="O53" s="5"/>
      <c r="P53" s="5"/>
      <c r="Q53" s="5"/>
      <c r="R53" s="5">
        <v>60</v>
      </c>
      <c r="S53" s="5"/>
      <c r="T53" s="5"/>
      <c r="U53" s="5"/>
      <c r="V53" s="5"/>
      <c r="W53" s="5"/>
      <c r="X53" s="5"/>
      <c r="Y53" s="5"/>
      <c r="Z53" s="5"/>
      <c r="AA53" s="5"/>
    </row>
    <row r="54" spans="1:27" ht="15" customHeight="1" x14ac:dyDescent="0.25">
      <c r="A54" s="48" t="s">
        <v>123</v>
      </c>
      <c r="B54" s="42" t="s">
        <v>198</v>
      </c>
      <c r="C54" s="8" t="s">
        <v>30</v>
      </c>
      <c r="D54" s="5" t="s">
        <v>132</v>
      </c>
      <c r="E54" s="5" t="s">
        <v>133</v>
      </c>
      <c r="F54" s="5" t="s">
        <v>62</v>
      </c>
      <c r="G54" s="109" t="s">
        <v>453</v>
      </c>
      <c r="H54" s="110"/>
      <c r="I54" s="5"/>
      <c r="J54" s="5"/>
      <c r="K54" s="5"/>
      <c r="L54" s="5"/>
      <c r="M54" s="5"/>
      <c r="N54" s="5"/>
      <c r="O54" s="5"/>
      <c r="P54" s="5"/>
      <c r="Q54" s="5"/>
      <c r="R54" s="5">
        <v>106</v>
      </c>
      <c r="S54" s="5"/>
      <c r="T54" s="5"/>
      <c r="U54" s="5"/>
      <c r="V54" s="5"/>
      <c r="W54" s="5"/>
      <c r="X54" s="5"/>
      <c r="Y54" s="5"/>
      <c r="Z54" s="5"/>
      <c r="AA54" s="5"/>
    </row>
    <row r="55" spans="1:27" ht="15" customHeight="1" x14ac:dyDescent="0.25">
      <c r="A55" s="48" t="s">
        <v>123</v>
      </c>
      <c r="B55" s="42" t="s">
        <v>199</v>
      </c>
      <c r="C55" s="8" t="s">
        <v>134</v>
      </c>
      <c r="D55" s="109" t="s">
        <v>458</v>
      </c>
      <c r="E55" s="110"/>
      <c r="F55" s="5" t="s">
        <v>8</v>
      </c>
      <c r="G55" s="109" t="s">
        <v>453</v>
      </c>
      <c r="H55" s="11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>
        <v>2</v>
      </c>
      <c r="X55" s="5"/>
      <c r="Y55" s="5"/>
      <c r="Z55" s="5"/>
      <c r="AA55" s="5"/>
    </row>
    <row r="56" spans="1:27" ht="15" customHeight="1" x14ac:dyDescent="0.25">
      <c r="A56" s="48" t="s">
        <v>123</v>
      </c>
      <c r="B56" s="42" t="s">
        <v>200</v>
      </c>
      <c r="C56" s="8" t="s">
        <v>134</v>
      </c>
      <c r="D56" s="109" t="s">
        <v>459</v>
      </c>
      <c r="E56" s="110"/>
      <c r="F56" s="5" t="s">
        <v>8</v>
      </c>
      <c r="G56" s="109" t="s">
        <v>453</v>
      </c>
      <c r="H56" s="11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>
        <v>2</v>
      </c>
      <c r="X56" s="5"/>
      <c r="Y56" s="5"/>
      <c r="Z56" s="5"/>
      <c r="AA56" s="5"/>
    </row>
    <row r="57" spans="1:27" ht="15" customHeight="1" x14ac:dyDescent="0.25">
      <c r="A57" s="48"/>
      <c r="B57" s="42"/>
      <c r="C57" s="8"/>
      <c r="D57" s="109"/>
      <c r="E57" s="110"/>
      <c r="F57" s="5"/>
      <c r="G57" s="109"/>
      <c r="H57" s="11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" customHeight="1" x14ac:dyDescent="0.25">
      <c r="A58" s="48" t="s">
        <v>123</v>
      </c>
      <c r="B58" s="42" t="s">
        <v>201</v>
      </c>
      <c r="C58" s="8" t="s">
        <v>134</v>
      </c>
      <c r="D58" s="109" t="s">
        <v>460</v>
      </c>
      <c r="E58" s="110"/>
      <c r="F58" s="5" t="s">
        <v>8</v>
      </c>
      <c r="G58" s="109" t="s">
        <v>453</v>
      </c>
      <c r="H58" s="11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>
        <v>2</v>
      </c>
      <c r="X58" s="5"/>
      <c r="Y58" s="5"/>
      <c r="Z58" s="5"/>
      <c r="AA58" s="5"/>
    </row>
    <row r="59" spans="1:27" ht="15" customHeight="1" x14ac:dyDescent="0.25">
      <c r="A59" s="48" t="s">
        <v>123</v>
      </c>
      <c r="B59" s="42" t="s">
        <v>118</v>
      </c>
      <c r="C59" s="8" t="s">
        <v>490</v>
      </c>
      <c r="D59" s="12">
        <v>4740</v>
      </c>
      <c r="E59" s="5" t="s">
        <v>135</v>
      </c>
      <c r="F59" s="5" t="s">
        <v>62</v>
      </c>
      <c r="G59" s="109" t="s">
        <v>453</v>
      </c>
      <c r="H59" s="110"/>
      <c r="I59" s="5"/>
      <c r="J59" s="5"/>
      <c r="K59" s="5"/>
      <c r="L59" s="5"/>
      <c r="M59" s="5"/>
      <c r="N59" s="5"/>
      <c r="O59" s="5"/>
      <c r="P59" s="6">
        <f>(134+22+198)/5280</f>
        <v>6.7045454545454547E-2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" customHeight="1" x14ac:dyDescent="0.25">
      <c r="A60" s="48" t="s">
        <v>123</v>
      </c>
      <c r="B60" s="42" t="s">
        <v>203</v>
      </c>
      <c r="C60" s="8" t="s">
        <v>30</v>
      </c>
      <c r="D60" s="5" t="s">
        <v>136</v>
      </c>
      <c r="E60" s="5" t="s">
        <v>137</v>
      </c>
      <c r="F60" s="5" t="s">
        <v>7</v>
      </c>
      <c r="G60" s="109" t="s">
        <v>453</v>
      </c>
      <c r="H60" s="110"/>
      <c r="I60" s="5"/>
      <c r="J60" s="5"/>
      <c r="K60" s="5"/>
      <c r="L60" s="5">
        <v>3</v>
      </c>
      <c r="M60" s="5"/>
      <c r="N60" s="5"/>
      <c r="O60" s="5">
        <v>0.01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 x14ac:dyDescent="0.25">
      <c r="A61" s="145" t="s">
        <v>432</v>
      </c>
      <c r="B61" s="146"/>
      <c r="C61" s="146"/>
      <c r="D61" s="146"/>
      <c r="E61" s="146"/>
      <c r="F61" s="146"/>
      <c r="G61" s="99" t="s">
        <v>452</v>
      </c>
      <c r="H61" s="99"/>
      <c r="I61" s="72">
        <f>SUM(I13:I44)</f>
        <v>270</v>
      </c>
      <c r="J61" s="72">
        <f t="shared" ref="J61:AA61" si="0">SUM(J13:J44)</f>
        <v>3</v>
      </c>
      <c r="K61" s="72">
        <f t="shared" si="0"/>
        <v>53</v>
      </c>
      <c r="L61" s="72">
        <f t="shared" ref="L61" si="1">SUM(L13:L44)</f>
        <v>71</v>
      </c>
      <c r="M61" s="72">
        <f t="shared" si="0"/>
        <v>18</v>
      </c>
      <c r="N61" s="75">
        <f t="shared" si="0"/>
        <v>0.32405303030303029</v>
      </c>
      <c r="O61" s="75">
        <f t="shared" si="0"/>
        <v>0</v>
      </c>
      <c r="P61" s="75">
        <f t="shared" si="0"/>
        <v>0.83219696969696977</v>
      </c>
      <c r="Q61" s="72">
        <f t="shared" si="0"/>
        <v>1368</v>
      </c>
      <c r="R61" s="72">
        <f t="shared" si="0"/>
        <v>0</v>
      </c>
      <c r="S61" s="72">
        <f t="shared" si="0"/>
        <v>0</v>
      </c>
      <c r="T61" s="72">
        <f t="shared" si="0"/>
        <v>0</v>
      </c>
      <c r="U61" s="72">
        <f t="shared" si="0"/>
        <v>0</v>
      </c>
      <c r="V61" s="72">
        <f t="shared" si="0"/>
        <v>0</v>
      </c>
      <c r="W61" s="72">
        <f t="shared" si="0"/>
        <v>0</v>
      </c>
      <c r="X61" s="72">
        <f t="shared" si="0"/>
        <v>2603.8888888888887</v>
      </c>
      <c r="Y61" s="72">
        <f t="shared" si="0"/>
        <v>1060</v>
      </c>
      <c r="Z61" s="72">
        <f t="shared" si="0"/>
        <v>0</v>
      </c>
      <c r="AA61" s="72">
        <f t="shared" si="0"/>
        <v>0</v>
      </c>
    </row>
    <row r="62" spans="1:27" ht="15.75" thickBot="1" x14ac:dyDescent="0.3">
      <c r="A62" s="147"/>
      <c r="B62" s="148"/>
      <c r="C62" s="148"/>
      <c r="D62" s="148"/>
      <c r="E62" s="148"/>
      <c r="F62" s="148"/>
      <c r="G62" s="100" t="s">
        <v>453</v>
      </c>
      <c r="H62" s="100"/>
      <c r="I62" s="69">
        <f>SUM(I46:I60)</f>
        <v>0</v>
      </c>
      <c r="J62" s="69">
        <f t="shared" ref="J62:AA62" si="2">SUM(J46:J60)</f>
        <v>0</v>
      </c>
      <c r="K62" s="69">
        <f t="shared" si="2"/>
        <v>0</v>
      </c>
      <c r="L62" s="69">
        <f t="shared" ref="L62" si="3">SUM(L46:L60)</f>
        <v>14</v>
      </c>
      <c r="M62" s="69">
        <f t="shared" si="2"/>
        <v>0</v>
      </c>
      <c r="N62" s="70">
        <f t="shared" si="2"/>
        <v>0</v>
      </c>
      <c r="O62" s="70">
        <f t="shared" si="2"/>
        <v>0.01</v>
      </c>
      <c r="P62" s="70">
        <f t="shared" si="2"/>
        <v>6.7045454545454547E-2</v>
      </c>
      <c r="Q62" s="69">
        <f t="shared" si="2"/>
        <v>322</v>
      </c>
      <c r="R62" s="69">
        <f t="shared" si="2"/>
        <v>166</v>
      </c>
      <c r="S62" s="69">
        <f t="shared" si="2"/>
        <v>0</v>
      </c>
      <c r="T62" s="69">
        <f t="shared" si="2"/>
        <v>0</v>
      </c>
      <c r="U62" s="69">
        <f t="shared" si="2"/>
        <v>0</v>
      </c>
      <c r="V62" s="69">
        <f t="shared" si="2"/>
        <v>0</v>
      </c>
      <c r="W62" s="69">
        <f t="shared" si="2"/>
        <v>12</v>
      </c>
      <c r="X62" s="69">
        <f t="shared" si="2"/>
        <v>0</v>
      </c>
      <c r="Y62" s="69">
        <f t="shared" si="2"/>
        <v>0</v>
      </c>
      <c r="Z62" s="69">
        <f t="shared" si="2"/>
        <v>0</v>
      </c>
      <c r="AA62" s="69">
        <f t="shared" si="2"/>
        <v>0</v>
      </c>
    </row>
  </sheetData>
  <mergeCells count="94">
    <mergeCell ref="G13:H13"/>
    <mergeCell ref="G14:H14"/>
    <mergeCell ref="G15:H15"/>
    <mergeCell ref="G18:H18"/>
    <mergeCell ref="G32:H32"/>
    <mergeCell ref="G33:H33"/>
    <mergeCell ref="G34:H34"/>
    <mergeCell ref="G35:H35"/>
    <mergeCell ref="G25:H25"/>
    <mergeCell ref="G27:H27"/>
    <mergeCell ref="G28:H28"/>
    <mergeCell ref="G31:H31"/>
    <mergeCell ref="N2:N10"/>
    <mergeCell ref="O2:O10"/>
    <mergeCell ref="X2:X10"/>
    <mergeCell ref="Q2:Q10"/>
    <mergeCell ref="R2:R10"/>
    <mergeCell ref="S2:S10"/>
    <mergeCell ref="T2:T10"/>
    <mergeCell ref="U2:U10"/>
    <mergeCell ref="W2:W10"/>
    <mergeCell ref="V2:V10"/>
    <mergeCell ref="P2:P10"/>
    <mergeCell ref="AA2:AA10"/>
    <mergeCell ref="Y2:Y10"/>
    <mergeCell ref="Z2:Z10"/>
    <mergeCell ref="A61:F62"/>
    <mergeCell ref="D52:E52"/>
    <mergeCell ref="D55:E55"/>
    <mergeCell ref="D56:E56"/>
    <mergeCell ref="D47:E47"/>
    <mergeCell ref="D48:E48"/>
    <mergeCell ref="D57:E57"/>
    <mergeCell ref="D58:E58"/>
    <mergeCell ref="D51:E51"/>
    <mergeCell ref="M2:M10"/>
    <mergeCell ref="G29:H29"/>
    <mergeCell ref="G23:H23"/>
    <mergeCell ref="G24:H24"/>
    <mergeCell ref="L2:L10"/>
    <mergeCell ref="D41:E41"/>
    <mergeCell ref="G43:H43"/>
    <mergeCell ref="D43:E43"/>
    <mergeCell ref="I2:I10"/>
    <mergeCell ref="J2:J10"/>
    <mergeCell ref="D16:E16"/>
    <mergeCell ref="G17:H17"/>
    <mergeCell ref="D26:E26"/>
    <mergeCell ref="D29:E29"/>
    <mergeCell ref="D33:E33"/>
    <mergeCell ref="D32:E32"/>
    <mergeCell ref="D38:E38"/>
    <mergeCell ref="G37:H37"/>
    <mergeCell ref="K2:K10"/>
    <mergeCell ref="G36:H36"/>
    <mergeCell ref="D20:E20"/>
    <mergeCell ref="G20:H20"/>
    <mergeCell ref="G19:H19"/>
    <mergeCell ref="G16:H16"/>
    <mergeCell ref="G26:H26"/>
    <mergeCell ref="G21:H21"/>
    <mergeCell ref="G22:H22"/>
    <mergeCell ref="G1:H11"/>
    <mergeCell ref="A12:H12"/>
    <mergeCell ref="G58:H58"/>
    <mergeCell ref="A1:A11"/>
    <mergeCell ref="B1:B11"/>
    <mergeCell ref="C1:C11"/>
    <mergeCell ref="D1:E10"/>
    <mergeCell ref="F1:F11"/>
    <mergeCell ref="G47:H47"/>
    <mergeCell ref="G48:H48"/>
    <mergeCell ref="G49:H49"/>
    <mergeCell ref="G50:H50"/>
    <mergeCell ref="G51:H51"/>
    <mergeCell ref="G40:H40"/>
    <mergeCell ref="G38:H38"/>
    <mergeCell ref="G30:H30"/>
    <mergeCell ref="G59:H59"/>
    <mergeCell ref="G60:H60"/>
    <mergeCell ref="G62:H62"/>
    <mergeCell ref="G61:H61"/>
    <mergeCell ref="G39:H39"/>
    <mergeCell ref="G44:H44"/>
    <mergeCell ref="G57:H57"/>
    <mergeCell ref="G52:H52"/>
    <mergeCell ref="G53:H53"/>
    <mergeCell ref="G54:H54"/>
    <mergeCell ref="G55:H55"/>
    <mergeCell ref="G56:H56"/>
    <mergeCell ref="G41:H41"/>
    <mergeCell ref="G42:H42"/>
    <mergeCell ref="A45:H45"/>
    <mergeCell ref="G46:H46"/>
  </mergeCells>
  <phoneticPr fontId="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BD47-0343-4A40-9B8D-310213470A96}">
  <sheetPr codeName="Sheet4"/>
  <dimension ref="A1:AA64"/>
  <sheetViews>
    <sheetView zoomScale="80" zoomScaleNormal="80" workbookViewId="0">
      <selection activeCell="AA64" sqref="A1:AA64"/>
    </sheetView>
  </sheetViews>
  <sheetFormatPr defaultRowHeight="15" x14ac:dyDescent="0.25"/>
  <cols>
    <col min="1" max="1" width="10.5703125" customWidth="1"/>
    <col min="2" max="2" width="12.7109375" customWidth="1"/>
    <col min="3" max="3" width="20" customWidth="1"/>
    <col min="4" max="5" width="9.140625" customWidth="1"/>
    <col min="7" max="8" width="9" customWidth="1"/>
    <col min="10" max="10" width="11" customWidth="1"/>
    <col min="12" max="12" width="8.85546875" customWidth="1"/>
    <col min="24" max="24" width="10.7109375" bestFit="1" customWidth="1"/>
    <col min="27" max="27" width="8" customWidth="1"/>
  </cols>
  <sheetData>
    <row r="1" spans="1:27" ht="18" customHeight="1" x14ac:dyDescent="0.25">
      <c r="A1" s="114" t="s">
        <v>43</v>
      </c>
      <c r="B1" s="114" t="s">
        <v>27</v>
      </c>
      <c r="C1" s="114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  <c r="AA1" s="1"/>
    </row>
    <row r="2" spans="1:27" ht="16.5" customHeight="1" x14ac:dyDescent="0.25">
      <c r="A2" s="115"/>
      <c r="B2" s="115"/>
      <c r="C2" s="115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449</v>
      </c>
      <c r="T2" s="111" t="s">
        <v>17</v>
      </c>
      <c r="U2" s="111" t="s">
        <v>18</v>
      </c>
      <c r="V2" s="111" t="s">
        <v>450</v>
      </c>
      <c r="W2" s="111" t="s">
        <v>19</v>
      </c>
      <c r="X2" s="111" t="s">
        <v>20</v>
      </c>
      <c r="Y2" s="111" t="s">
        <v>22</v>
      </c>
      <c r="Z2" s="111" t="s">
        <v>448</v>
      </c>
      <c r="AA2" s="111"/>
    </row>
    <row r="3" spans="1:27" ht="16.5" customHeight="1" x14ac:dyDescent="0.25">
      <c r="A3" s="115"/>
      <c r="B3" s="115"/>
      <c r="C3" s="115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27" ht="16.5" customHeight="1" x14ac:dyDescent="0.25">
      <c r="A4" s="115"/>
      <c r="B4" s="115"/>
      <c r="C4" s="115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1:27" ht="11.25" customHeight="1" x14ac:dyDescent="0.25">
      <c r="A5" s="115"/>
      <c r="B5" s="115"/>
      <c r="C5" s="115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7" ht="9.75" customHeight="1" x14ac:dyDescent="0.25">
      <c r="A6" s="115"/>
      <c r="B6" s="115"/>
      <c r="C6" s="115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 ht="9.75" customHeight="1" x14ac:dyDescent="0.25">
      <c r="A7" s="115"/>
      <c r="B7" s="115"/>
      <c r="C7" s="115"/>
      <c r="D7" s="118"/>
      <c r="E7" s="118"/>
      <c r="F7" s="120"/>
      <c r="G7" s="126"/>
      <c r="H7" s="127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</row>
    <row r="8" spans="1:27" ht="18" customHeight="1" thickBot="1" x14ac:dyDescent="0.3">
      <c r="A8" s="116"/>
      <c r="B8" s="116"/>
      <c r="C8" s="116"/>
      <c r="D8" s="53" t="s">
        <v>3</v>
      </c>
      <c r="E8" s="53" t="s">
        <v>4</v>
      </c>
      <c r="F8" s="121"/>
      <c r="G8" s="128"/>
      <c r="H8" s="129"/>
      <c r="I8" s="2" t="s">
        <v>9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11</v>
      </c>
      <c r="O8" s="2" t="s">
        <v>11</v>
      </c>
      <c r="P8" s="2" t="s">
        <v>11</v>
      </c>
      <c r="Q8" s="2" t="s">
        <v>9</v>
      </c>
      <c r="R8" s="2" t="s">
        <v>9</v>
      </c>
      <c r="S8" s="2" t="s">
        <v>9</v>
      </c>
      <c r="T8" s="2" t="s">
        <v>9</v>
      </c>
      <c r="U8" s="2" t="s">
        <v>9</v>
      </c>
      <c r="V8" s="2" t="s">
        <v>9</v>
      </c>
      <c r="W8" s="2" t="s">
        <v>6</v>
      </c>
      <c r="X8" s="2" t="s">
        <v>21</v>
      </c>
      <c r="Y8" s="2" t="s">
        <v>9</v>
      </c>
      <c r="Z8" s="2" t="s">
        <v>6</v>
      </c>
      <c r="AA8" s="2"/>
    </row>
    <row r="9" spans="1:27" x14ac:dyDescent="0.25">
      <c r="A9" s="134" t="s">
        <v>122</v>
      </c>
      <c r="B9" s="135"/>
      <c r="C9" s="135"/>
      <c r="D9" s="135"/>
      <c r="E9" s="135"/>
      <c r="F9" s="135"/>
      <c r="G9" s="135"/>
      <c r="H9" s="13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customHeight="1" x14ac:dyDescent="0.25">
      <c r="A10" s="48" t="s">
        <v>123</v>
      </c>
      <c r="B10" s="42" t="s">
        <v>202</v>
      </c>
      <c r="C10" s="8" t="s">
        <v>30</v>
      </c>
      <c r="D10" s="5" t="s">
        <v>136</v>
      </c>
      <c r="E10" s="5" t="s">
        <v>135</v>
      </c>
      <c r="F10" s="5" t="s">
        <v>7</v>
      </c>
      <c r="G10" s="109" t="s">
        <v>453</v>
      </c>
      <c r="H10" s="110"/>
      <c r="I10" s="5"/>
      <c r="J10" s="5"/>
      <c r="K10" s="5"/>
      <c r="L10" s="5">
        <f xml:space="preserve"> ROUNDUP((O10*5280)/80, 0)</f>
        <v>4</v>
      </c>
      <c r="M10" s="5"/>
      <c r="N10" s="5"/>
      <c r="O10" s="5">
        <v>0.05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5" customHeight="1" x14ac:dyDescent="0.25">
      <c r="A11" s="48" t="s">
        <v>123</v>
      </c>
      <c r="B11" s="42" t="s">
        <v>204</v>
      </c>
      <c r="C11" s="8" t="s">
        <v>30</v>
      </c>
      <c r="D11" s="109" t="s">
        <v>136</v>
      </c>
      <c r="E11" s="110"/>
      <c r="F11" s="5" t="s">
        <v>7</v>
      </c>
      <c r="G11" s="109" t="s">
        <v>453</v>
      </c>
      <c r="H11" s="1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v>26</v>
      </c>
      <c r="U11" s="5"/>
      <c r="V11" s="5"/>
      <c r="W11" s="5"/>
      <c r="X11" s="5"/>
      <c r="Y11" s="5"/>
      <c r="Z11" s="5"/>
      <c r="AA11" s="5"/>
    </row>
    <row r="12" spans="1:27" ht="15" customHeight="1" x14ac:dyDescent="0.25">
      <c r="A12" s="48" t="s">
        <v>123</v>
      </c>
      <c r="B12" s="42" t="s">
        <v>205</v>
      </c>
      <c r="C12" s="8" t="s">
        <v>30</v>
      </c>
      <c r="D12" s="5" t="s">
        <v>136</v>
      </c>
      <c r="E12" s="5" t="s">
        <v>135</v>
      </c>
      <c r="F12" s="5" t="s">
        <v>7</v>
      </c>
      <c r="G12" s="109" t="s">
        <v>453</v>
      </c>
      <c r="H12" s="110"/>
      <c r="I12" s="5"/>
      <c r="J12" s="5"/>
      <c r="K12" s="5"/>
      <c r="L12" s="9">
        <f xml:space="preserve"> ROUNDUP(Q12/40, 0)</f>
        <v>7</v>
      </c>
      <c r="M12" s="5"/>
      <c r="N12" s="5"/>
      <c r="O12" s="5"/>
      <c r="P12" s="5"/>
      <c r="Q12" s="5">
        <v>270</v>
      </c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5" customHeight="1" x14ac:dyDescent="0.25">
      <c r="A13" s="48" t="s">
        <v>123</v>
      </c>
      <c r="B13" s="42" t="s">
        <v>201</v>
      </c>
      <c r="C13" s="8" t="s">
        <v>30</v>
      </c>
      <c r="D13" s="109" t="s">
        <v>138</v>
      </c>
      <c r="E13" s="110"/>
      <c r="F13" s="5" t="s">
        <v>7</v>
      </c>
      <c r="G13" s="109" t="s">
        <v>453</v>
      </c>
      <c r="H13" s="1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>
        <v>2</v>
      </c>
      <c r="X13" s="5"/>
      <c r="Y13" s="5"/>
      <c r="Z13" s="5"/>
      <c r="AA13" s="5"/>
    </row>
    <row r="14" spans="1:27" ht="15" customHeight="1" x14ac:dyDescent="0.25">
      <c r="A14" s="48" t="s">
        <v>123</v>
      </c>
      <c r="B14" s="42" t="s">
        <v>206</v>
      </c>
      <c r="C14" s="8" t="s">
        <v>30</v>
      </c>
      <c r="D14" s="109" t="s">
        <v>139</v>
      </c>
      <c r="E14" s="110"/>
      <c r="F14" s="5" t="s">
        <v>7</v>
      </c>
      <c r="G14" s="109" t="s">
        <v>453</v>
      </c>
      <c r="H14" s="1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2</v>
      </c>
      <c r="X14" s="5"/>
      <c r="Y14" s="5"/>
      <c r="Z14" s="5"/>
      <c r="AA14" s="5"/>
    </row>
    <row r="15" spans="1:27" ht="15" customHeight="1" x14ac:dyDescent="0.25">
      <c r="A15" s="48"/>
      <c r="B15" s="42"/>
      <c r="C15" s="10"/>
      <c r="D15" s="109"/>
      <c r="E15" s="110"/>
      <c r="F15" s="5"/>
      <c r="G15" s="109"/>
      <c r="H15" s="11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5" customHeight="1" x14ac:dyDescent="0.25">
      <c r="A16" s="48" t="s">
        <v>123</v>
      </c>
      <c r="B16" s="42" t="s">
        <v>207</v>
      </c>
      <c r="C16" s="10" t="s">
        <v>30</v>
      </c>
      <c r="D16" s="109" t="s">
        <v>140</v>
      </c>
      <c r="E16" s="110"/>
      <c r="F16" s="5" t="s">
        <v>7</v>
      </c>
      <c r="G16" s="109" t="s">
        <v>453</v>
      </c>
      <c r="H16" s="11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2</v>
      </c>
      <c r="X16" s="5"/>
      <c r="Y16" s="5"/>
      <c r="Z16" s="5"/>
      <c r="AA16" s="5"/>
    </row>
    <row r="17" spans="1:27" x14ac:dyDescent="0.25">
      <c r="A17" s="48" t="s">
        <v>123</v>
      </c>
      <c r="B17" s="42" t="s">
        <v>208</v>
      </c>
      <c r="C17" s="8" t="s">
        <v>30</v>
      </c>
      <c r="D17" s="109" t="s">
        <v>141</v>
      </c>
      <c r="E17" s="110"/>
      <c r="F17" s="5" t="s">
        <v>7</v>
      </c>
      <c r="G17" s="109" t="s">
        <v>453</v>
      </c>
      <c r="H17" s="11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>
        <v>2</v>
      </c>
      <c r="X17" s="5"/>
      <c r="Y17" s="5"/>
      <c r="Z17" s="5"/>
      <c r="AA17" s="5"/>
    </row>
    <row r="18" spans="1:27" x14ac:dyDescent="0.25">
      <c r="A18" s="48" t="s">
        <v>123</v>
      </c>
      <c r="B18" s="42" t="s">
        <v>248</v>
      </c>
      <c r="C18" s="8" t="s">
        <v>249</v>
      </c>
      <c r="D18" s="12">
        <v>16264</v>
      </c>
      <c r="E18" s="12">
        <v>16380</v>
      </c>
      <c r="F18" s="5" t="s">
        <v>7</v>
      </c>
      <c r="G18" s="109" t="s">
        <v>453</v>
      </c>
      <c r="H18" s="110"/>
      <c r="I18" s="5"/>
      <c r="J18" s="5"/>
      <c r="K18" s="5"/>
      <c r="L18" s="5"/>
      <c r="M18" s="5"/>
      <c r="N18" s="5"/>
      <c r="O18" s="5"/>
      <c r="P18" s="5"/>
      <c r="Q18" s="5"/>
      <c r="R18" s="7">
        <f xml:space="preserve"> E18-D18</f>
        <v>116</v>
      </c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25">
      <c r="A19" s="48"/>
      <c r="B19" s="42"/>
      <c r="C19" s="8"/>
      <c r="D19" s="107"/>
      <c r="E19" s="108"/>
      <c r="F19" s="5"/>
      <c r="G19" s="86"/>
      <c r="H19" s="8"/>
      <c r="I19" s="5"/>
      <c r="J19" s="5"/>
      <c r="K19" s="5"/>
      <c r="L19" s="5"/>
      <c r="M19" s="5"/>
      <c r="N19" s="5"/>
      <c r="O19" s="5"/>
      <c r="P19" s="5"/>
      <c r="Q19" s="5"/>
      <c r="R19" s="7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25">
      <c r="A20" s="48" t="s">
        <v>142</v>
      </c>
      <c r="B20" s="42" t="s">
        <v>202</v>
      </c>
      <c r="C20" s="5" t="s">
        <v>30</v>
      </c>
      <c r="D20" s="5" t="s">
        <v>135</v>
      </c>
      <c r="E20" s="5" t="s">
        <v>143</v>
      </c>
      <c r="F20" s="5" t="s">
        <v>144</v>
      </c>
      <c r="G20" s="109" t="s">
        <v>453</v>
      </c>
      <c r="H20" s="110"/>
      <c r="I20" s="5"/>
      <c r="J20" s="5"/>
      <c r="K20" s="5"/>
      <c r="L20" s="5">
        <v>3</v>
      </c>
      <c r="M20" s="5"/>
      <c r="N20" s="5"/>
      <c r="O20" s="5">
        <v>0.01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25">
      <c r="A21" s="48" t="s">
        <v>142</v>
      </c>
      <c r="B21" s="42" t="s">
        <v>118</v>
      </c>
      <c r="C21" s="5" t="s">
        <v>30</v>
      </c>
      <c r="D21" s="5" t="s">
        <v>135</v>
      </c>
      <c r="E21" s="5" t="s">
        <v>145</v>
      </c>
      <c r="F21" s="5" t="s">
        <v>62</v>
      </c>
      <c r="G21" s="109" t="s">
        <v>453</v>
      </c>
      <c r="H21" s="110"/>
      <c r="I21" s="5"/>
      <c r="J21" s="5"/>
      <c r="K21" s="5"/>
      <c r="L21" s="5"/>
      <c r="M21" s="5"/>
      <c r="N21" s="5"/>
      <c r="O21" s="5"/>
      <c r="P21" s="42">
        <v>0.01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x14ac:dyDescent="0.25">
      <c r="A22" s="48" t="s">
        <v>142</v>
      </c>
      <c r="B22" s="42" t="s">
        <v>205</v>
      </c>
      <c r="C22" s="5" t="s">
        <v>30</v>
      </c>
      <c r="D22" s="5" t="s">
        <v>135</v>
      </c>
      <c r="E22" s="5" t="s">
        <v>143</v>
      </c>
      <c r="F22" s="5" t="s">
        <v>62</v>
      </c>
      <c r="G22" s="109" t="s">
        <v>453</v>
      </c>
      <c r="H22" s="110"/>
      <c r="I22" s="5"/>
      <c r="J22" s="5"/>
      <c r="K22" s="5"/>
      <c r="L22" s="9">
        <v>3</v>
      </c>
      <c r="M22" s="5"/>
      <c r="N22" s="5"/>
      <c r="O22" s="5"/>
      <c r="P22" s="5"/>
      <c r="Q22" s="5">
        <v>40</v>
      </c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25">
      <c r="A23" s="48" t="s">
        <v>142</v>
      </c>
      <c r="B23" s="42" t="s">
        <v>209</v>
      </c>
      <c r="C23" s="5" t="s">
        <v>30</v>
      </c>
      <c r="D23" s="133" t="s">
        <v>143</v>
      </c>
      <c r="E23" s="133"/>
      <c r="F23" s="5" t="s">
        <v>7</v>
      </c>
      <c r="G23" s="109" t="s">
        <v>453</v>
      </c>
      <c r="H23" s="11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v>11</v>
      </c>
      <c r="U23" s="5"/>
      <c r="V23" s="5"/>
      <c r="W23" s="5"/>
      <c r="X23" s="5"/>
      <c r="Y23" s="5"/>
      <c r="Z23" s="5"/>
      <c r="AA23" s="5"/>
    </row>
    <row r="24" spans="1:27" x14ac:dyDescent="0.25">
      <c r="A24" s="48" t="s">
        <v>142</v>
      </c>
      <c r="B24" s="42" t="s">
        <v>210</v>
      </c>
      <c r="C24" s="42" t="s">
        <v>37</v>
      </c>
      <c r="D24" s="5" t="s">
        <v>146</v>
      </c>
      <c r="E24" s="5" t="s">
        <v>147</v>
      </c>
      <c r="F24" s="42" t="s">
        <v>62</v>
      </c>
      <c r="G24" s="109" t="s">
        <v>453</v>
      </c>
      <c r="H24" s="110"/>
      <c r="I24" s="5"/>
      <c r="J24" s="5"/>
      <c r="K24" s="5"/>
      <c r="L24" s="5"/>
      <c r="M24" s="5"/>
      <c r="N24" s="5"/>
      <c r="O24" s="5"/>
      <c r="P24" s="5">
        <v>0.26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25">
      <c r="A25" s="48"/>
      <c r="B25" s="42"/>
      <c r="C25" s="5"/>
      <c r="D25" s="133"/>
      <c r="E25" s="133"/>
      <c r="F25" s="5"/>
      <c r="G25" s="109"/>
      <c r="H25" s="11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25">
      <c r="A26" s="48" t="s">
        <v>142</v>
      </c>
      <c r="B26" s="42" t="s">
        <v>211</v>
      </c>
      <c r="C26" s="5" t="s">
        <v>30</v>
      </c>
      <c r="D26" s="133" t="s">
        <v>148</v>
      </c>
      <c r="E26" s="133"/>
      <c r="F26" s="5" t="s">
        <v>7</v>
      </c>
      <c r="G26" s="109" t="s">
        <v>453</v>
      </c>
      <c r="H26" s="11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v>22</v>
      </c>
      <c r="U26" s="5"/>
      <c r="V26" s="5"/>
      <c r="W26" s="5"/>
      <c r="X26" s="5"/>
      <c r="Y26" s="5"/>
      <c r="Z26" s="5"/>
      <c r="AA26" s="5"/>
    </row>
    <row r="27" spans="1:27" x14ac:dyDescent="0.25">
      <c r="A27" s="48" t="s">
        <v>142</v>
      </c>
      <c r="B27" s="42" t="s">
        <v>212</v>
      </c>
      <c r="C27" s="5" t="s">
        <v>30</v>
      </c>
      <c r="D27" s="5" t="s">
        <v>148</v>
      </c>
      <c r="E27" s="5" t="s">
        <v>149</v>
      </c>
      <c r="F27" s="5" t="s">
        <v>7</v>
      </c>
      <c r="G27" s="109" t="s">
        <v>453</v>
      </c>
      <c r="H27" s="110"/>
      <c r="I27" s="42"/>
      <c r="J27" s="42"/>
      <c r="K27" s="42"/>
      <c r="L27" s="9">
        <f xml:space="preserve"> ROUNDUP(Q27/40, 0)</f>
        <v>8</v>
      </c>
      <c r="M27" s="42"/>
      <c r="N27" s="42"/>
      <c r="O27" s="42"/>
      <c r="P27" s="5"/>
      <c r="Q27" s="42">
        <v>313</v>
      </c>
      <c r="R27" s="42"/>
      <c r="S27" s="42"/>
      <c r="T27" s="42"/>
      <c r="U27" s="42"/>
      <c r="V27" s="42"/>
      <c r="W27" s="42"/>
      <c r="X27" s="42"/>
      <c r="Y27" s="5"/>
      <c r="Z27" s="5"/>
      <c r="AA27" s="5"/>
    </row>
    <row r="28" spans="1:27" x14ac:dyDescent="0.25">
      <c r="A28" s="48" t="s">
        <v>142</v>
      </c>
      <c r="B28" s="42" t="s">
        <v>213</v>
      </c>
      <c r="C28" s="5" t="s">
        <v>30</v>
      </c>
      <c r="D28" s="5" t="s">
        <v>148</v>
      </c>
      <c r="E28" s="5" t="s">
        <v>150</v>
      </c>
      <c r="F28" s="5" t="s">
        <v>7</v>
      </c>
      <c r="G28" s="109" t="s">
        <v>453</v>
      </c>
      <c r="H28" s="110"/>
      <c r="I28" s="5"/>
      <c r="J28" s="5"/>
      <c r="K28" s="5"/>
      <c r="L28" s="5">
        <f xml:space="preserve"> ROUNDUP((O28*5280)/80, 0)</f>
        <v>10</v>
      </c>
      <c r="M28" s="5"/>
      <c r="N28" s="5"/>
      <c r="O28" s="5">
        <v>0.14000000000000001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25">
      <c r="A29" s="48" t="s">
        <v>142</v>
      </c>
      <c r="B29" s="42" t="s">
        <v>208</v>
      </c>
      <c r="C29" s="5" t="s">
        <v>30</v>
      </c>
      <c r="D29" s="133" t="s">
        <v>151</v>
      </c>
      <c r="E29" s="133"/>
      <c r="F29" s="5" t="s">
        <v>7</v>
      </c>
      <c r="G29" s="109" t="s">
        <v>453</v>
      </c>
      <c r="H29" s="11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2</v>
      </c>
      <c r="X29" s="5"/>
      <c r="Y29" s="5"/>
      <c r="Z29" s="5"/>
      <c r="AA29" s="5"/>
    </row>
    <row r="30" spans="1:27" x14ac:dyDescent="0.25">
      <c r="A30" s="48" t="s">
        <v>142</v>
      </c>
      <c r="B30" s="42" t="s">
        <v>214</v>
      </c>
      <c r="C30" s="42" t="s">
        <v>30</v>
      </c>
      <c r="D30" s="133" t="s">
        <v>152</v>
      </c>
      <c r="E30" s="133"/>
      <c r="F30" s="5" t="s">
        <v>7</v>
      </c>
      <c r="G30" s="109" t="s">
        <v>453</v>
      </c>
      <c r="H30" s="11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>
        <v>2</v>
      </c>
      <c r="X30" s="5"/>
      <c r="Y30" s="5"/>
      <c r="Z30" s="5"/>
      <c r="AA30" s="5"/>
    </row>
    <row r="31" spans="1:27" x14ac:dyDescent="0.25">
      <c r="A31" s="48"/>
      <c r="B31" s="42"/>
      <c r="C31" s="5"/>
      <c r="D31" s="133"/>
      <c r="E31" s="133"/>
      <c r="F31" s="5"/>
      <c r="G31" s="109"/>
      <c r="H31" s="11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x14ac:dyDescent="0.25">
      <c r="A32" s="48" t="s">
        <v>142</v>
      </c>
      <c r="B32" s="42" t="s">
        <v>215</v>
      </c>
      <c r="C32" s="5" t="s">
        <v>30</v>
      </c>
      <c r="D32" s="133" t="s">
        <v>153</v>
      </c>
      <c r="E32" s="133"/>
      <c r="F32" s="5" t="s">
        <v>7</v>
      </c>
      <c r="G32" s="109" t="s">
        <v>453</v>
      </c>
      <c r="H32" s="11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>
        <v>2</v>
      </c>
      <c r="X32" s="5"/>
      <c r="Y32" s="5"/>
      <c r="Z32" s="5"/>
      <c r="AA32" s="5"/>
    </row>
    <row r="33" spans="1:27" x14ac:dyDescent="0.25">
      <c r="A33" s="48" t="s">
        <v>142</v>
      </c>
      <c r="B33" s="42" t="s">
        <v>216</v>
      </c>
      <c r="C33" s="5" t="s">
        <v>30</v>
      </c>
      <c r="D33" s="133" t="s">
        <v>154</v>
      </c>
      <c r="E33" s="133"/>
      <c r="F33" s="5" t="s">
        <v>7</v>
      </c>
      <c r="G33" s="109" t="s">
        <v>453</v>
      </c>
      <c r="H33" s="11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>
        <v>2</v>
      </c>
      <c r="X33" s="5"/>
      <c r="Y33" s="5"/>
      <c r="Z33" s="5"/>
      <c r="AA33" s="5"/>
    </row>
    <row r="34" spans="1:27" x14ac:dyDescent="0.25">
      <c r="A34" s="48" t="s">
        <v>142</v>
      </c>
      <c r="B34" s="42" t="s">
        <v>219</v>
      </c>
      <c r="C34" s="5" t="s">
        <v>30</v>
      </c>
      <c r="D34" s="5" t="s">
        <v>149</v>
      </c>
      <c r="E34" s="5" t="s">
        <v>150</v>
      </c>
      <c r="F34" s="5" t="s">
        <v>7</v>
      </c>
      <c r="G34" s="109" t="s">
        <v>453</v>
      </c>
      <c r="H34" s="110"/>
      <c r="I34" s="5"/>
      <c r="J34" s="5"/>
      <c r="K34" s="5"/>
      <c r="L34" s="5">
        <f xml:space="preserve"> ROUNDUP( (N34*5280)/80, 0)</f>
        <v>6</v>
      </c>
      <c r="M34" s="5"/>
      <c r="N34" s="5">
        <v>0.08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48" t="s">
        <v>142</v>
      </c>
      <c r="B35" s="42" t="s">
        <v>434</v>
      </c>
      <c r="C35" s="5" t="s">
        <v>30</v>
      </c>
      <c r="D35" s="12">
        <v>17370</v>
      </c>
      <c r="E35" s="12">
        <v>17551</v>
      </c>
      <c r="F35" s="5" t="s">
        <v>7</v>
      </c>
      <c r="G35" s="109" t="s">
        <v>453</v>
      </c>
      <c r="H35" s="110"/>
      <c r="I35" s="5"/>
      <c r="J35" s="5"/>
      <c r="K35" s="5"/>
      <c r="L35" s="9">
        <f xml:space="preserve"> ROUNDUP(Q35/40, 0)</f>
        <v>5</v>
      </c>
      <c r="M35" s="5"/>
      <c r="N35" s="5"/>
      <c r="O35" s="5"/>
      <c r="P35" s="5"/>
      <c r="Q35" s="5">
        <f>E35-D35</f>
        <v>181</v>
      </c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48" t="s">
        <v>142</v>
      </c>
      <c r="B36" s="42" t="s">
        <v>217</v>
      </c>
      <c r="C36" s="5" t="s">
        <v>30</v>
      </c>
      <c r="D36" s="133" t="s">
        <v>155</v>
      </c>
      <c r="E36" s="133"/>
      <c r="F36" s="5" t="s">
        <v>62</v>
      </c>
      <c r="G36" s="109" t="s">
        <v>453</v>
      </c>
      <c r="H36" s="11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>
        <v>2</v>
      </c>
      <c r="X36" s="5"/>
      <c r="Y36" s="5"/>
      <c r="Z36" s="5"/>
      <c r="AA36" s="5"/>
    </row>
    <row r="37" spans="1:27" x14ac:dyDescent="0.25">
      <c r="A37" s="48"/>
      <c r="B37" s="42"/>
      <c r="C37" s="5"/>
      <c r="D37" s="109"/>
      <c r="E37" s="110"/>
      <c r="F37" s="5"/>
      <c r="G37" s="109"/>
      <c r="H37" s="11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48" t="s">
        <v>142</v>
      </c>
      <c r="B38" s="42" t="s">
        <v>218</v>
      </c>
      <c r="C38" s="5" t="s">
        <v>30</v>
      </c>
      <c r="D38" s="133" t="s">
        <v>156</v>
      </c>
      <c r="E38" s="133"/>
      <c r="F38" s="5" t="s">
        <v>62</v>
      </c>
      <c r="G38" s="109" t="s">
        <v>453</v>
      </c>
      <c r="H38" s="11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>
        <v>2</v>
      </c>
      <c r="X38" s="5"/>
      <c r="Y38" s="5"/>
      <c r="Z38" s="5"/>
      <c r="AA38" s="5"/>
    </row>
    <row r="39" spans="1:27" x14ac:dyDescent="0.25">
      <c r="A39" s="48" t="s">
        <v>142</v>
      </c>
      <c r="B39" s="42" t="s">
        <v>220</v>
      </c>
      <c r="C39" s="5" t="s">
        <v>30</v>
      </c>
      <c r="D39" s="133" t="s">
        <v>150</v>
      </c>
      <c r="E39" s="133"/>
      <c r="F39" s="5" t="s">
        <v>62</v>
      </c>
      <c r="G39" s="109" t="s">
        <v>453</v>
      </c>
      <c r="H39" s="11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v>22</v>
      </c>
      <c r="U39" s="5"/>
      <c r="V39" s="5"/>
      <c r="W39" s="5"/>
      <c r="X39" s="5"/>
      <c r="Y39" s="5"/>
      <c r="Z39" s="5"/>
      <c r="AA39" s="5"/>
    </row>
    <row r="40" spans="1:27" x14ac:dyDescent="0.25">
      <c r="A40" s="48" t="s">
        <v>142</v>
      </c>
      <c r="B40" s="42" t="s">
        <v>435</v>
      </c>
      <c r="C40" s="5" t="s">
        <v>37</v>
      </c>
      <c r="D40" s="12">
        <v>17551</v>
      </c>
      <c r="E40" s="12">
        <v>1100</v>
      </c>
      <c r="F40" s="5" t="s">
        <v>62</v>
      </c>
      <c r="G40" s="109" t="s">
        <v>453</v>
      </c>
      <c r="H40" s="110"/>
      <c r="I40" s="5"/>
      <c r="J40" s="5"/>
      <c r="K40" s="5"/>
      <c r="L40" s="5"/>
      <c r="M40" s="5"/>
      <c r="N40" s="5"/>
      <c r="O40" s="5"/>
      <c r="P40" s="5"/>
      <c r="Q40" s="5"/>
      <c r="R40" s="5">
        <v>155</v>
      </c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48" t="s">
        <v>142</v>
      </c>
      <c r="B41" s="42" t="s">
        <v>221</v>
      </c>
      <c r="C41" s="5" t="s">
        <v>31</v>
      </c>
      <c r="D41" s="5" t="s">
        <v>157</v>
      </c>
      <c r="E41" s="5" t="s">
        <v>147</v>
      </c>
      <c r="F41" s="5" t="s">
        <v>7</v>
      </c>
      <c r="G41" s="97" t="s">
        <v>452</v>
      </c>
      <c r="H41" s="98"/>
      <c r="I41" s="5"/>
      <c r="J41" s="5"/>
      <c r="K41" s="5"/>
      <c r="L41" s="5"/>
      <c r="M41" s="5"/>
      <c r="N41" s="5"/>
      <c r="O41" s="5"/>
      <c r="P41" s="5">
        <v>0.11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" customHeight="1" x14ac:dyDescent="0.25">
      <c r="A42" s="48" t="s">
        <v>142</v>
      </c>
      <c r="B42" s="42" t="s">
        <v>222</v>
      </c>
      <c r="C42" s="5" t="s">
        <v>31</v>
      </c>
      <c r="D42" s="133" t="s">
        <v>158</v>
      </c>
      <c r="E42" s="133"/>
      <c r="F42" s="5" t="s">
        <v>7</v>
      </c>
      <c r="G42" s="97" t="s">
        <v>452</v>
      </c>
      <c r="H42" s="9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v>11</v>
      </c>
      <c r="U42" s="5"/>
      <c r="V42" s="5"/>
      <c r="W42" s="5"/>
      <c r="X42" s="5"/>
      <c r="Y42" s="5"/>
      <c r="Z42" s="5"/>
      <c r="AA42" s="5"/>
    </row>
    <row r="43" spans="1:27" ht="15" customHeight="1" x14ac:dyDescent="0.25">
      <c r="A43" s="48"/>
      <c r="B43" s="42"/>
      <c r="C43" s="5"/>
      <c r="D43" s="109"/>
      <c r="E43" s="110"/>
      <c r="F43" s="5"/>
      <c r="G43" s="97"/>
      <c r="H43" s="9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" customHeight="1" x14ac:dyDescent="0.25">
      <c r="A44" s="48" t="s">
        <v>142</v>
      </c>
      <c r="B44" s="42" t="s">
        <v>223</v>
      </c>
      <c r="C44" s="5" t="s">
        <v>31</v>
      </c>
      <c r="D44" s="133" t="s">
        <v>159</v>
      </c>
      <c r="E44" s="133"/>
      <c r="F44" s="5" t="s">
        <v>7</v>
      </c>
      <c r="G44" s="97" t="s">
        <v>452</v>
      </c>
      <c r="H44" s="98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>
        <v>1</v>
      </c>
      <c r="X44" s="5"/>
      <c r="Y44" s="5"/>
      <c r="Z44" s="5"/>
      <c r="AA44" s="5"/>
    </row>
    <row r="45" spans="1:27" ht="15" customHeight="1" x14ac:dyDescent="0.25">
      <c r="A45" s="48" t="s">
        <v>142</v>
      </c>
      <c r="B45" s="42" t="s">
        <v>225</v>
      </c>
      <c r="C45" s="5" t="s">
        <v>31</v>
      </c>
      <c r="D45" s="133" t="s">
        <v>160</v>
      </c>
      <c r="E45" s="133"/>
      <c r="F45" s="5" t="s">
        <v>7</v>
      </c>
      <c r="G45" s="97" t="s">
        <v>452</v>
      </c>
      <c r="H45" s="98"/>
      <c r="I45" s="5"/>
      <c r="J45" s="5">
        <v>1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" customHeight="1" x14ac:dyDescent="0.25">
      <c r="A46" s="48" t="s">
        <v>142</v>
      </c>
      <c r="B46" s="42" t="s">
        <v>226</v>
      </c>
      <c r="C46" s="5" t="s">
        <v>31</v>
      </c>
      <c r="D46" s="5" t="s">
        <v>160</v>
      </c>
      <c r="E46" s="5" t="s">
        <v>147</v>
      </c>
      <c r="F46" s="5" t="s">
        <v>7</v>
      </c>
      <c r="G46" s="97" t="s">
        <v>452</v>
      </c>
      <c r="H46" s="98"/>
      <c r="I46" s="5">
        <v>239</v>
      </c>
      <c r="J46" s="5"/>
      <c r="K46" s="5">
        <v>24</v>
      </c>
      <c r="L46" s="5"/>
      <c r="M46" s="5">
        <v>8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v>376</v>
      </c>
      <c r="Z46" s="5"/>
      <c r="AA46" s="5"/>
    </row>
    <row r="47" spans="1:27" ht="15" customHeight="1" x14ac:dyDescent="0.25">
      <c r="A47" s="48" t="s">
        <v>142</v>
      </c>
      <c r="B47" s="42" t="s">
        <v>227</v>
      </c>
      <c r="C47" s="5" t="s">
        <v>31</v>
      </c>
      <c r="D47" s="133" t="s">
        <v>160</v>
      </c>
      <c r="E47" s="133"/>
      <c r="F47" s="5" t="s">
        <v>7</v>
      </c>
      <c r="G47" s="97" t="s">
        <v>452</v>
      </c>
      <c r="H47" s="9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>
        <v>1</v>
      </c>
      <c r="X47" s="5"/>
      <c r="Y47" s="5"/>
      <c r="Z47" s="5"/>
      <c r="AA47" s="5"/>
    </row>
    <row r="48" spans="1:27" ht="15" customHeight="1" x14ac:dyDescent="0.25">
      <c r="A48" s="48" t="s">
        <v>142</v>
      </c>
      <c r="B48" s="42" t="s">
        <v>228</v>
      </c>
      <c r="C48" s="42" t="s">
        <v>31</v>
      </c>
      <c r="D48" s="155" t="s">
        <v>161</v>
      </c>
      <c r="E48" s="155"/>
      <c r="F48" s="42" t="s">
        <v>7</v>
      </c>
      <c r="G48" s="97" t="s">
        <v>452</v>
      </c>
      <c r="H48" s="98"/>
      <c r="I48" s="42"/>
      <c r="J48" s="42"/>
      <c r="K48" s="5"/>
      <c r="L48" s="5"/>
      <c r="M48" s="5"/>
      <c r="N48" s="42"/>
      <c r="O48" s="42"/>
      <c r="P48" s="42"/>
      <c r="Q48" s="5"/>
      <c r="R48" s="5"/>
      <c r="S48" s="5"/>
      <c r="T48" s="5"/>
      <c r="U48" s="5"/>
      <c r="V48" s="5"/>
      <c r="W48" s="5">
        <v>1</v>
      </c>
      <c r="X48" s="5"/>
      <c r="Y48" s="5"/>
      <c r="Z48" s="5"/>
      <c r="AA48" s="5"/>
    </row>
    <row r="49" spans="1:27" ht="15" customHeight="1" x14ac:dyDescent="0.25">
      <c r="A49" s="48"/>
      <c r="B49" s="42"/>
      <c r="C49" s="42"/>
      <c r="D49" s="149"/>
      <c r="E49" s="150"/>
      <c r="F49" s="42"/>
      <c r="G49" s="97"/>
      <c r="H49" s="98"/>
      <c r="I49" s="42"/>
      <c r="J49" s="42"/>
      <c r="K49" s="5"/>
      <c r="L49" s="5"/>
      <c r="M49" s="5"/>
      <c r="N49" s="42"/>
      <c r="O49" s="42"/>
      <c r="P49" s="42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" customHeight="1" x14ac:dyDescent="0.25">
      <c r="A50" s="48" t="s">
        <v>142</v>
      </c>
      <c r="B50" s="42" t="s">
        <v>229</v>
      </c>
      <c r="C50" s="5" t="s">
        <v>31</v>
      </c>
      <c r="D50" s="5" t="s">
        <v>158</v>
      </c>
      <c r="E50" s="5" t="s">
        <v>147</v>
      </c>
      <c r="F50" s="5" t="s">
        <v>62</v>
      </c>
      <c r="G50" s="97" t="s">
        <v>452</v>
      </c>
      <c r="H50" s="98"/>
      <c r="I50" s="5"/>
      <c r="J50" s="5"/>
      <c r="K50" s="5"/>
      <c r="L50" s="5">
        <f xml:space="preserve"> ROUNDUP((400/40) + (1550-400)/80, 0)</f>
        <v>25</v>
      </c>
      <c r="M50" s="5"/>
      <c r="N50" s="5"/>
      <c r="O50" s="5"/>
      <c r="P50" s="5">
        <v>0.09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" customHeight="1" x14ac:dyDescent="0.25">
      <c r="A51" s="48" t="s">
        <v>142</v>
      </c>
      <c r="B51" s="42" t="s">
        <v>230</v>
      </c>
      <c r="C51" s="5" t="s">
        <v>31</v>
      </c>
      <c r="D51" s="5" t="s">
        <v>158</v>
      </c>
      <c r="E51" s="5" t="s">
        <v>147</v>
      </c>
      <c r="F51" s="5" t="s">
        <v>62</v>
      </c>
      <c r="G51" s="97" t="s">
        <v>452</v>
      </c>
      <c r="H51" s="98"/>
      <c r="I51" s="5"/>
      <c r="J51" s="5"/>
      <c r="K51" s="5"/>
      <c r="L51" s="5">
        <f xml:space="preserve"> ROUNDUP((400/40) + (1550-400)/80, 0)</f>
        <v>25</v>
      </c>
      <c r="M51" s="5"/>
      <c r="N51" s="5"/>
      <c r="O51" s="5"/>
      <c r="P51" s="5">
        <v>0.09</v>
      </c>
      <c r="Q51" s="5"/>
      <c r="R51" s="42"/>
      <c r="S51" s="42"/>
      <c r="T51" s="42"/>
      <c r="U51" s="42"/>
      <c r="V51" s="42"/>
      <c r="W51" s="42"/>
      <c r="X51" s="42"/>
      <c r="Y51" s="42"/>
      <c r="Z51" s="5"/>
      <c r="AA51" s="5"/>
    </row>
    <row r="52" spans="1:27" ht="15" customHeight="1" x14ac:dyDescent="0.25">
      <c r="A52" s="48" t="s">
        <v>142</v>
      </c>
      <c r="B52" s="42" t="s">
        <v>224</v>
      </c>
      <c r="C52" s="5" t="s">
        <v>30</v>
      </c>
      <c r="D52" s="5" t="s">
        <v>162</v>
      </c>
      <c r="E52" s="5" t="s">
        <v>163</v>
      </c>
      <c r="F52" s="5" t="s">
        <v>8</v>
      </c>
      <c r="G52" s="109" t="s">
        <v>453</v>
      </c>
      <c r="H52" s="110"/>
      <c r="I52" s="5"/>
      <c r="J52" s="5"/>
      <c r="K52" s="5"/>
      <c r="L52" s="5"/>
      <c r="M52" s="5"/>
      <c r="N52" s="5"/>
      <c r="O52" s="5"/>
      <c r="P52" s="5"/>
      <c r="Q52" s="5"/>
      <c r="R52" s="42"/>
      <c r="S52" s="42"/>
      <c r="T52" s="42"/>
      <c r="U52" s="42"/>
      <c r="V52" s="42"/>
      <c r="W52" s="42"/>
      <c r="X52" s="42">
        <v>642</v>
      </c>
      <c r="Y52" s="42"/>
      <c r="Z52" s="5"/>
      <c r="AA52" s="5"/>
    </row>
    <row r="53" spans="1:27" ht="15" customHeight="1" x14ac:dyDescent="0.25">
      <c r="A53" s="48" t="s">
        <v>142</v>
      </c>
      <c r="B53" s="42" t="s">
        <v>433</v>
      </c>
      <c r="C53" s="5" t="s">
        <v>31</v>
      </c>
      <c r="D53" s="12">
        <v>1022</v>
      </c>
      <c r="E53" s="12">
        <v>1226</v>
      </c>
      <c r="F53" s="5" t="s">
        <v>7</v>
      </c>
      <c r="G53" s="97" t="s">
        <v>452</v>
      </c>
      <c r="H53" s="98"/>
      <c r="I53" s="5"/>
      <c r="J53" s="5"/>
      <c r="K53" s="5"/>
      <c r="L53" s="5"/>
      <c r="M53" s="5"/>
      <c r="N53" s="5"/>
      <c r="O53" s="5"/>
      <c r="P53" s="42"/>
      <c r="Q53" s="5"/>
      <c r="R53" s="5"/>
      <c r="S53" s="5"/>
      <c r="T53" s="5"/>
      <c r="U53" s="5"/>
      <c r="V53" s="5"/>
      <c r="W53" s="5"/>
      <c r="X53" s="5">
        <v>390</v>
      </c>
      <c r="Y53" s="5"/>
      <c r="Z53" s="5"/>
      <c r="AA53" s="5"/>
    </row>
    <row r="54" spans="1:27" ht="15" customHeight="1" x14ac:dyDescent="0.25">
      <c r="A54" s="48" t="s">
        <v>142</v>
      </c>
      <c r="B54" s="42" t="s">
        <v>456</v>
      </c>
      <c r="C54" s="5" t="s">
        <v>461</v>
      </c>
      <c r="D54" s="107" t="s">
        <v>462</v>
      </c>
      <c r="E54" s="108"/>
      <c r="F54" s="5" t="s">
        <v>7</v>
      </c>
      <c r="G54" s="109" t="s">
        <v>453</v>
      </c>
      <c r="H54" s="110"/>
      <c r="I54" s="5"/>
      <c r="J54" s="5"/>
      <c r="K54" s="5"/>
      <c r="L54" s="5"/>
      <c r="M54" s="5"/>
      <c r="N54" s="5"/>
      <c r="O54" s="5"/>
      <c r="P54" s="42"/>
      <c r="Q54" s="5"/>
      <c r="R54" s="5"/>
      <c r="S54" s="5"/>
      <c r="T54" s="5"/>
      <c r="U54" s="5"/>
      <c r="V54" s="5"/>
      <c r="W54" s="5">
        <v>2</v>
      </c>
      <c r="X54" s="5"/>
      <c r="Y54" s="5"/>
      <c r="Z54" s="5"/>
      <c r="AA54" s="5"/>
    </row>
    <row r="55" spans="1:27" ht="15" customHeight="1" x14ac:dyDescent="0.25">
      <c r="A55" s="48" t="s">
        <v>142</v>
      </c>
      <c r="B55" s="42" t="s">
        <v>505</v>
      </c>
      <c r="C55" s="5" t="s">
        <v>31</v>
      </c>
      <c r="D55" s="12" t="s">
        <v>485</v>
      </c>
      <c r="E55" s="12" t="s">
        <v>486</v>
      </c>
      <c r="F55" s="5" t="s">
        <v>62</v>
      </c>
      <c r="G55" s="97" t="s">
        <v>452</v>
      </c>
      <c r="H55" s="98"/>
      <c r="I55" s="5"/>
      <c r="J55" s="5"/>
      <c r="K55" s="5"/>
      <c r="L55" s="5"/>
      <c r="M55" s="5"/>
      <c r="N55" s="5"/>
      <c r="O55" s="5"/>
      <c r="P55" s="42"/>
      <c r="Q55" s="5"/>
      <c r="R55" s="5"/>
      <c r="S55" s="5"/>
      <c r="T55" s="5"/>
      <c r="U55" s="5"/>
      <c r="V55" s="5"/>
      <c r="W55" s="5"/>
      <c r="X55" s="5">
        <v>104</v>
      </c>
      <c r="Y55" s="5"/>
      <c r="Z55" s="5"/>
      <c r="AA55" s="5"/>
    </row>
    <row r="56" spans="1:27" ht="15" customHeight="1" x14ac:dyDescent="0.25">
      <c r="A56" s="48"/>
      <c r="B56" s="42"/>
      <c r="C56" s="5"/>
      <c r="D56" s="107"/>
      <c r="E56" s="108"/>
      <c r="F56" s="5"/>
      <c r="G56" s="97"/>
      <c r="H56" s="98"/>
      <c r="I56" s="5"/>
      <c r="J56" s="5"/>
      <c r="K56" s="5"/>
      <c r="L56" s="5"/>
      <c r="M56" s="5"/>
      <c r="N56" s="5"/>
      <c r="O56" s="5"/>
      <c r="P56" s="42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" customHeight="1" x14ac:dyDescent="0.25">
      <c r="A57" s="48" t="s">
        <v>164</v>
      </c>
      <c r="B57" s="42" t="s">
        <v>231</v>
      </c>
      <c r="C57" s="5" t="s">
        <v>48</v>
      </c>
      <c r="D57" s="12">
        <v>95995</v>
      </c>
      <c r="E57" s="5" t="s">
        <v>165</v>
      </c>
      <c r="F57" s="5" t="s">
        <v>8</v>
      </c>
      <c r="G57" s="97" t="s">
        <v>452</v>
      </c>
      <c r="H57" s="98"/>
      <c r="I57" s="5"/>
      <c r="J57" s="5"/>
      <c r="K57" s="5">
        <v>24</v>
      </c>
      <c r="L57" s="5"/>
      <c r="M57" s="5">
        <v>8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v>355</v>
      </c>
      <c r="Z57" s="5"/>
      <c r="AA57" s="5"/>
    </row>
    <row r="58" spans="1:27" ht="15" customHeight="1" x14ac:dyDescent="0.25">
      <c r="A58" s="48"/>
      <c r="B58" s="42"/>
      <c r="C58" s="5"/>
      <c r="D58" s="153"/>
      <c r="E58" s="154"/>
      <c r="F58" s="5"/>
      <c r="G58" s="97"/>
      <c r="H58" s="9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" customHeight="1" x14ac:dyDescent="0.25">
      <c r="A59" s="48" t="s">
        <v>166</v>
      </c>
      <c r="B59" s="42" t="s">
        <v>232</v>
      </c>
      <c r="C59" s="5" t="s">
        <v>30</v>
      </c>
      <c r="D59" s="5" t="s">
        <v>167</v>
      </c>
      <c r="E59" s="5" t="s">
        <v>168</v>
      </c>
      <c r="F59" s="5" t="s">
        <v>7</v>
      </c>
      <c r="G59" s="97" t="s">
        <v>452</v>
      </c>
      <c r="H59" s="98"/>
      <c r="I59" s="5"/>
      <c r="J59" s="5"/>
      <c r="K59" s="5"/>
      <c r="L59" s="9">
        <f xml:space="preserve"> ROUNDUP(Q59/40, 0)</f>
        <v>6</v>
      </c>
      <c r="M59" s="5"/>
      <c r="N59" s="5"/>
      <c r="O59" s="5"/>
      <c r="P59" s="5"/>
      <c r="Q59" s="5">
        <v>222</v>
      </c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" customHeight="1" x14ac:dyDescent="0.25">
      <c r="A60" s="48" t="s">
        <v>166</v>
      </c>
      <c r="B60" s="42" t="s">
        <v>233</v>
      </c>
      <c r="C60" s="5" t="s">
        <v>30</v>
      </c>
      <c r="D60" s="133" t="s">
        <v>169</v>
      </c>
      <c r="E60" s="133"/>
      <c r="F60" s="5" t="s">
        <v>7</v>
      </c>
      <c r="G60" s="97" t="s">
        <v>452</v>
      </c>
      <c r="H60" s="9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>
        <v>2</v>
      </c>
      <c r="X60" s="5"/>
      <c r="Y60" s="5"/>
      <c r="Z60" s="5"/>
      <c r="AA60" s="5"/>
    </row>
    <row r="61" spans="1:27" ht="15" customHeight="1" x14ac:dyDescent="0.25">
      <c r="A61" s="48" t="s">
        <v>166</v>
      </c>
      <c r="B61" s="42" t="s">
        <v>234</v>
      </c>
      <c r="C61" s="5" t="s">
        <v>30</v>
      </c>
      <c r="D61" s="133" t="s">
        <v>170</v>
      </c>
      <c r="E61" s="133"/>
      <c r="F61" s="5" t="s">
        <v>7</v>
      </c>
      <c r="G61" s="97" t="s">
        <v>452</v>
      </c>
      <c r="H61" s="9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>
        <v>2</v>
      </c>
      <c r="X61" s="5"/>
      <c r="Y61" s="5"/>
      <c r="Z61" s="5"/>
      <c r="AA61" s="5"/>
    </row>
    <row r="62" spans="1:27" ht="15" customHeight="1" x14ac:dyDescent="0.25">
      <c r="A62" s="48" t="s">
        <v>166</v>
      </c>
      <c r="B62" s="42" t="s">
        <v>235</v>
      </c>
      <c r="C62" s="5" t="s">
        <v>30</v>
      </c>
      <c r="D62" s="133" t="s">
        <v>171</v>
      </c>
      <c r="E62" s="133"/>
      <c r="F62" s="5" t="s">
        <v>7</v>
      </c>
      <c r="G62" s="97" t="s">
        <v>452</v>
      </c>
      <c r="H62" s="9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>
        <v>2</v>
      </c>
      <c r="X62" s="5"/>
      <c r="Y62" s="5"/>
      <c r="Z62" s="5"/>
      <c r="AA62" s="5"/>
    </row>
    <row r="63" spans="1:27" x14ac:dyDescent="0.25">
      <c r="A63" s="101" t="s">
        <v>432</v>
      </c>
      <c r="B63" s="102"/>
      <c r="C63" s="102"/>
      <c r="D63" s="102"/>
      <c r="E63" s="102"/>
      <c r="F63" s="103"/>
      <c r="G63" s="99" t="s">
        <v>452</v>
      </c>
      <c r="H63" s="99"/>
      <c r="I63" s="72">
        <f>SUM(I55:I62,I53,I41:I51)</f>
        <v>239</v>
      </c>
      <c r="J63" s="72">
        <f t="shared" ref="J63:AA63" si="0">SUM(J55:J62,J53,J41:J51)</f>
        <v>1</v>
      </c>
      <c r="K63" s="72">
        <f t="shared" si="0"/>
        <v>48</v>
      </c>
      <c r="L63" s="72">
        <f t="shared" ref="L63" si="1">SUM(L55:L62,L53,L41:L51)</f>
        <v>56</v>
      </c>
      <c r="M63" s="72">
        <f t="shared" si="0"/>
        <v>16</v>
      </c>
      <c r="N63" s="75">
        <f t="shared" si="0"/>
        <v>0</v>
      </c>
      <c r="O63" s="75">
        <f t="shared" si="0"/>
        <v>0</v>
      </c>
      <c r="P63" s="75">
        <f t="shared" si="0"/>
        <v>0.29000000000000004</v>
      </c>
      <c r="Q63" s="72">
        <f t="shared" si="0"/>
        <v>222</v>
      </c>
      <c r="R63" s="72">
        <f t="shared" si="0"/>
        <v>0</v>
      </c>
      <c r="S63" s="72">
        <f t="shared" si="0"/>
        <v>0</v>
      </c>
      <c r="T63" s="72">
        <f t="shared" si="0"/>
        <v>11</v>
      </c>
      <c r="U63" s="72">
        <f t="shared" si="0"/>
        <v>0</v>
      </c>
      <c r="V63" s="72">
        <f t="shared" si="0"/>
        <v>0</v>
      </c>
      <c r="W63" s="72">
        <f t="shared" si="0"/>
        <v>9</v>
      </c>
      <c r="X63" s="72">
        <f t="shared" si="0"/>
        <v>494</v>
      </c>
      <c r="Y63" s="72">
        <f t="shared" si="0"/>
        <v>731</v>
      </c>
      <c r="Z63" s="72">
        <f t="shared" si="0"/>
        <v>0</v>
      </c>
      <c r="AA63" s="72">
        <f t="shared" si="0"/>
        <v>0</v>
      </c>
    </row>
    <row r="64" spans="1:27" ht="15.75" thickBot="1" x14ac:dyDescent="0.3">
      <c r="A64" s="104"/>
      <c r="B64" s="105"/>
      <c r="C64" s="105"/>
      <c r="D64" s="105"/>
      <c r="E64" s="105"/>
      <c r="F64" s="106"/>
      <c r="G64" s="100" t="s">
        <v>453</v>
      </c>
      <c r="H64" s="100"/>
      <c r="I64" s="69">
        <f>SUM(I10:I40,I52,I54)</f>
        <v>0</v>
      </c>
      <c r="J64" s="69">
        <f t="shared" ref="J64:AA64" si="2">SUM(J10:J40,J52,J54)</f>
        <v>0</v>
      </c>
      <c r="K64" s="69">
        <f t="shared" si="2"/>
        <v>0</v>
      </c>
      <c r="L64" s="69">
        <f t="shared" ref="L64" si="3">SUM(L10:L40,L52,L54)</f>
        <v>46</v>
      </c>
      <c r="M64" s="69">
        <f t="shared" si="2"/>
        <v>0</v>
      </c>
      <c r="N64" s="70">
        <f t="shared" si="2"/>
        <v>0.08</v>
      </c>
      <c r="O64" s="70">
        <f t="shared" si="2"/>
        <v>0.2</v>
      </c>
      <c r="P64" s="70">
        <f t="shared" si="2"/>
        <v>0.27</v>
      </c>
      <c r="Q64" s="69">
        <f t="shared" si="2"/>
        <v>804</v>
      </c>
      <c r="R64" s="69">
        <f t="shared" si="2"/>
        <v>271</v>
      </c>
      <c r="S64" s="69">
        <f t="shared" si="2"/>
        <v>0</v>
      </c>
      <c r="T64" s="69">
        <f t="shared" si="2"/>
        <v>81</v>
      </c>
      <c r="U64" s="69">
        <f t="shared" si="2"/>
        <v>0</v>
      </c>
      <c r="V64" s="69">
        <f t="shared" si="2"/>
        <v>0</v>
      </c>
      <c r="W64" s="69">
        <f t="shared" si="2"/>
        <v>22</v>
      </c>
      <c r="X64" s="69">
        <f t="shared" si="2"/>
        <v>642</v>
      </c>
      <c r="Y64" s="69">
        <f t="shared" si="2"/>
        <v>0</v>
      </c>
      <c r="Z64" s="69">
        <f t="shared" si="2"/>
        <v>0</v>
      </c>
      <c r="AA64" s="69">
        <f t="shared" si="2"/>
        <v>0</v>
      </c>
    </row>
  </sheetData>
  <mergeCells count="113">
    <mergeCell ref="G63:H63"/>
    <mergeCell ref="G64:H64"/>
    <mergeCell ref="D62:E62"/>
    <mergeCell ref="D58:E58"/>
    <mergeCell ref="D60:E60"/>
    <mergeCell ref="J2:J7"/>
    <mergeCell ref="K2:K7"/>
    <mergeCell ref="A1:A8"/>
    <mergeCell ref="B1:B8"/>
    <mergeCell ref="C1:C8"/>
    <mergeCell ref="D1:E7"/>
    <mergeCell ref="D56:E56"/>
    <mergeCell ref="D37:E37"/>
    <mergeCell ref="D43:E43"/>
    <mergeCell ref="D49:E49"/>
    <mergeCell ref="A63:F64"/>
    <mergeCell ref="D42:E42"/>
    <mergeCell ref="D44:E44"/>
    <mergeCell ref="D47:E47"/>
    <mergeCell ref="D48:E48"/>
    <mergeCell ref="D45:E45"/>
    <mergeCell ref="D61:E61"/>
    <mergeCell ref="D54:E54"/>
    <mergeCell ref="D23:E23"/>
    <mergeCell ref="AA2:AA7"/>
    <mergeCell ref="Z2:Z7"/>
    <mergeCell ref="T2:T7"/>
    <mergeCell ref="X2:X7"/>
    <mergeCell ref="D38:E38"/>
    <mergeCell ref="D39:E39"/>
    <mergeCell ref="D30:E30"/>
    <mergeCell ref="D32:E32"/>
    <mergeCell ref="D31:E31"/>
    <mergeCell ref="D29:E29"/>
    <mergeCell ref="D25:E25"/>
    <mergeCell ref="D26:E26"/>
    <mergeCell ref="Y2:Y7"/>
    <mergeCell ref="W2:W7"/>
    <mergeCell ref="V2:V7"/>
    <mergeCell ref="D33:E33"/>
    <mergeCell ref="D36:E36"/>
    <mergeCell ref="D19:E19"/>
    <mergeCell ref="G33:H33"/>
    <mergeCell ref="U2:U7"/>
    <mergeCell ref="F1:F8"/>
    <mergeCell ref="O2:O7"/>
    <mergeCell ref="P2:P7"/>
    <mergeCell ref="I2:I7"/>
    <mergeCell ref="M2:M7"/>
    <mergeCell ref="N2:N7"/>
    <mergeCell ref="Q2:Q7"/>
    <mergeCell ref="R2:R7"/>
    <mergeCell ref="S2:S7"/>
    <mergeCell ref="G31:H31"/>
    <mergeCell ref="G32:H32"/>
    <mergeCell ref="G20:H20"/>
    <mergeCell ref="G21:H21"/>
    <mergeCell ref="G22:H22"/>
    <mergeCell ref="G26:H26"/>
    <mergeCell ref="G27:H27"/>
    <mergeCell ref="G28:H28"/>
    <mergeCell ref="G29:H29"/>
    <mergeCell ref="G30:H30"/>
    <mergeCell ref="G10:H10"/>
    <mergeCell ref="L2:L7"/>
    <mergeCell ref="A9:H9"/>
    <mergeCell ref="G23:H23"/>
    <mergeCell ref="G24:H24"/>
    <mergeCell ref="G25:H25"/>
    <mergeCell ref="G1:H8"/>
    <mergeCell ref="G12:H12"/>
    <mergeCell ref="G13:H13"/>
    <mergeCell ref="G14:H14"/>
    <mergeCell ref="G16:H16"/>
    <mergeCell ref="G17:H17"/>
    <mergeCell ref="G18:H18"/>
    <mergeCell ref="D13:E13"/>
    <mergeCell ref="D16:E16"/>
    <mergeCell ref="D14:E14"/>
    <mergeCell ref="D17:E17"/>
    <mergeCell ref="D11:E11"/>
    <mergeCell ref="G11:H11"/>
    <mergeCell ref="D15:E15"/>
    <mergeCell ref="G15:H15"/>
    <mergeCell ref="G39:H39"/>
    <mergeCell ref="G40:H40"/>
    <mergeCell ref="G41:H41"/>
    <mergeCell ref="G42:H42"/>
    <mergeCell ref="G34:H34"/>
    <mergeCell ref="G35:H35"/>
    <mergeCell ref="G36:H36"/>
    <mergeCell ref="G37:H37"/>
    <mergeCell ref="G48:H48"/>
    <mergeCell ref="G38:H38"/>
    <mergeCell ref="G49:H49"/>
    <mergeCell ref="G50:H50"/>
    <mergeCell ref="G51:H51"/>
    <mergeCell ref="G52:H52"/>
    <mergeCell ref="G43:H43"/>
    <mergeCell ref="G44:H44"/>
    <mergeCell ref="G45:H45"/>
    <mergeCell ref="G46:H46"/>
    <mergeCell ref="G47:H47"/>
    <mergeCell ref="G59:H59"/>
    <mergeCell ref="G60:H60"/>
    <mergeCell ref="G61:H61"/>
    <mergeCell ref="G62:H62"/>
    <mergeCell ref="G53:H53"/>
    <mergeCell ref="G56:H56"/>
    <mergeCell ref="G57:H57"/>
    <mergeCell ref="G58:H58"/>
    <mergeCell ref="G54:H54"/>
    <mergeCell ref="G55:H55"/>
  </mergeCells>
  <phoneticPr fontId="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8440-B551-4EE4-B790-6FA43EE0E16C}">
  <sheetPr codeName="Sheet5"/>
  <dimension ref="A1:AA64"/>
  <sheetViews>
    <sheetView topLeftCell="A25" zoomScale="85" zoomScaleNormal="85" workbookViewId="0">
      <selection sqref="A1:AA63"/>
    </sheetView>
  </sheetViews>
  <sheetFormatPr defaultRowHeight="15" x14ac:dyDescent="0.25"/>
  <cols>
    <col min="1" max="1" width="10.5703125" customWidth="1"/>
    <col min="2" max="2" width="12.7109375" customWidth="1"/>
    <col min="3" max="3" width="20" customWidth="1"/>
    <col min="4" max="5" width="9.140625" customWidth="1"/>
    <col min="6" max="6" width="10.140625" customWidth="1"/>
    <col min="7" max="7" width="9" customWidth="1"/>
    <col min="8" max="8" width="9.140625" customWidth="1"/>
    <col min="16" max="16" width="8.85546875" customWidth="1"/>
    <col min="24" max="24" width="10.7109375" bestFit="1" customWidth="1"/>
    <col min="27" max="27" width="8.85546875" customWidth="1"/>
  </cols>
  <sheetData>
    <row r="1" spans="1:27" ht="18" customHeight="1" x14ac:dyDescent="0.25">
      <c r="A1" s="114" t="s">
        <v>43</v>
      </c>
      <c r="B1" s="114" t="s">
        <v>27</v>
      </c>
      <c r="C1" s="114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  <c r="AA1" s="1"/>
    </row>
    <row r="2" spans="1:27" ht="18" customHeight="1" x14ac:dyDescent="0.25">
      <c r="A2" s="115"/>
      <c r="B2" s="115"/>
      <c r="C2" s="115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16</v>
      </c>
      <c r="T2" s="111" t="s">
        <v>17</v>
      </c>
      <c r="U2" s="111" t="s">
        <v>18</v>
      </c>
      <c r="V2" s="111" t="s">
        <v>438</v>
      </c>
      <c r="W2" s="111" t="s">
        <v>19</v>
      </c>
      <c r="X2" s="111" t="s">
        <v>20</v>
      </c>
      <c r="Y2" s="111" t="s">
        <v>22</v>
      </c>
      <c r="Z2" s="111" t="s">
        <v>448</v>
      </c>
      <c r="AA2" s="111"/>
    </row>
    <row r="3" spans="1:27" ht="18" customHeight="1" x14ac:dyDescent="0.25">
      <c r="A3" s="115"/>
      <c r="B3" s="115"/>
      <c r="C3" s="115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27" ht="18" customHeight="1" x14ac:dyDescent="0.25">
      <c r="A4" s="115"/>
      <c r="B4" s="115"/>
      <c r="C4" s="115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1:27" ht="19.5" customHeight="1" x14ac:dyDescent="0.25">
      <c r="A5" s="115"/>
      <c r="B5" s="115"/>
      <c r="C5" s="115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7" ht="15.6" customHeight="1" x14ac:dyDescent="0.25">
      <c r="A6" s="115"/>
      <c r="B6" s="115"/>
      <c r="C6" s="115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 ht="3" customHeight="1" x14ac:dyDescent="0.25">
      <c r="A7" s="115"/>
      <c r="B7" s="115"/>
      <c r="C7" s="115"/>
      <c r="D7" s="118"/>
      <c r="E7" s="118"/>
      <c r="F7" s="120"/>
      <c r="G7" s="126"/>
      <c r="H7" s="127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27" ht="16.149999999999999" customHeight="1" x14ac:dyDescent="0.25">
      <c r="A8" s="115"/>
      <c r="B8" s="115"/>
      <c r="C8" s="115"/>
      <c r="D8" s="118"/>
      <c r="E8" s="118"/>
      <c r="F8" s="120"/>
      <c r="G8" s="126"/>
      <c r="H8" s="127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27" ht="18.75" customHeight="1" x14ac:dyDescent="0.25">
      <c r="A9" s="115"/>
      <c r="B9" s="115"/>
      <c r="C9" s="115"/>
      <c r="D9" s="118"/>
      <c r="E9" s="118"/>
      <c r="F9" s="120"/>
      <c r="G9" s="126"/>
      <c r="H9" s="127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27" ht="18" customHeight="1" thickBot="1" x14ac:dyDescent="0.3">
      <c r="A10" s="160"/>
      <c r="B10" s="160"/>
      <c r="C10" s="160"/>
      <c r="D10" s="56" t="s">
        <v>3</v>
      </c>
      <c r="E10" s="56" t="s">
        <v>4</v>
      </c>
      <c r="F10" s="161"/>
      <c r="G10" s="128"/>
      <c r="H10" s="129"/>
      <c r="I10" s="22" t="s">
        <v>9</v>
      </c>
      <c r="J10" s="22" t="s">
        <v>6</v>
      </c>
      <c r="K10" s="22" t="s">
        <v>6</v>
      </c>
      <c r="L10" s="22" t="s">
        <v>6</v>
      </c>
      <c r="M10" s="22" t="s">
        <v>6</v>
      </c>
      <c r="N10" s="22" t="s">
        <v>11</v>
      </c>
      <c r="O10" s="22" t="s">
        <v>11</v>
      </c>
      <c r="P10" s="22" t="s">
        <v>11</v>
      </c>
      <c r="Q10" s="22" t="s">
        <v>9</v>
      </c>
      <c r="R10" s="22" t="s">
        <v>9</v>
      </c>
      <c r="S10" s="22" t="s">
        <v>9</v>
      </c>
      <c r="T10" s="22" t="s">
        <v>9</v>
      </c>
      <c r="U10" s="22" t="s">
        <v>9</v>
      </c>
      <c r="V10" s="22" t="s">
        <v>9</v>
      </c>
      <c r="W10" s="22" t="s">
        <v>6</v>
      </c>
      <c r="X10" s="22" t="s">
        <v>21</v>
      </c>
      <c r="Y10" s="22" t="s">
        <v>9</v>
      </c>
      <c r="Z10" s="22" t="s">
        <v>6</v>
      </c>
      <c r="AA10" s="22"/>
    </row>
    <row r="11" spans="1:27" x14ac:dyDescent="0.25">
      <c r="A11" s="134" t="s">
        <v>122</v>
      </c>
      <c r="B11" s="135"/>
      <c r="C11" s="135"/>
      <c r="D11" s="135"/>
      <c r="E11" s="135"/>
      <c r="F11" s="135"/>
      <c r="G11" s="135"/>
      <c r="H11" s="13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customHeight="1" x14ac:dyDescent="0.25">
      <c r="A12" s="48" t="s">
        <v>166</v>
      </c>
      <c r="B12" s="42" t="s">
        <v>236</v>
      </c>
      <c r="C12" s="5" t="s">
        <v>30</v>
      </c>
      <c r="D12" s="133" t="s">
        <v>172</v>
      </c>
      <c r="E12" s="133"/>
      <c r="F12" s="5" t="s">
        <v>7</v>
      </c>
      <c r="G12" s="97" t="s">
        <v>452</v>
      </c>
      <c r="H12" s="98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>
        <v>2</v>
      </c>
      <c r="X12" s="5"/>
      <c r="Y12" s="5"/>
      <c r="Z12" s="5"/>
      <c r="AA12" s="5"/>
    </row>
    <row r="13" spans="1:27" ht="15" customHeight="1" x14ac:dyDescent="0.25">
      <c r="A13" s="48" t="s">
        <v>166</v>
      </c>
      <c r="B13" s="42" t="s">
        <v>237</v>
      </c>
      <c r="C13" s="5" t="s">
        <v>463</v>
      </c>
      <c r="D13" s="109" t="s">
        <v>464</v>
      </c>
      <c r="E13" s="110"/>
      <c r="F13" s="5" t="s">
        <v>7</v>
      </c>
      <c r="G13" s="97" t="s">
        <v>452</v>
      </c>
      <c r="H13" s="9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v>24</v>
      </c>
      <c r="U13" s="5"/>
      <c r="V13" s="5"/>
      <c r="W13" s="5"/>
      <c r="X13" s="5"/>
      <c r="Y13" s="5"/>
      <c r="Z13" s="5"/>
      <c r="AA13" s="5"/>
    </row>
    <row r="14" spans="1:27" ht="15" customHeight="1" x14ac:dyDescent="0.25">
      <c r="A14" s="48" t="s">
        <v>166</v>
      </c>
      <c r="B14" s="42" t="s">
        <v>238</v>
      </c>
      <c r="C14" s="5" t="s">
        <v>463</v>
      </c>
      <c r="D14" s="133" t="s">
        <v>465</v>
      </c>
      <c r="E14" s="133"/>
      <c r="F14" s="5" t="s">
        <v>7</v>
      </c>
      <c r="G14" s="97" t="s">
        <v>452</v>
      </c>
      <c r="H14" s="98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2</v>
      </c>
      <c r="X14" s="5"/>
      <c r="Y14" s="5"/>
      <c r="Z14" s="5"/>
      <c r="AA14" s="5"/>
    </row>
    <row r="15" spans="1:27" ht="15" customHeight="1" x14ac:dyDescent="0.25">
      <c r="A15" s="48" t="s">
        <v>166</v>
      </c>
      <c r="B15" s="42" t="s">
        <v>239</v>
      </c>
      <c r="C15" s="5" t="s">
        <v>463</v>
      </c>
      <c r="D15" s="109" t="s">
        <v>466</v>
      </c>
      <c r="E15" s="110"/>
      <c r="F15" s="5" t="s">
        <v>7</v>
      </c>
      <c r="G15" s="97" t="s">
        <v>452</v>
      </c>
      <c r="H15" s="98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>
        <v>2</v>
      </c>
      <c r="X15" s="5"/>
      <c r="Y15" s="5"/>
      <c r="Z15" s="5"/>
      <c r="AA15" s="5"/>
    </row>
    <row r="16" spans="1:27" ht="15" customHeight="1" x14ac:dyDescent="0.25">
      <c r="A16" s="48"/>
      <c r="B16" s="42"/>
      <c r="C16" s="5"/>
      <c r="D16" s="109"/>
      <c r="E16" s="110"/>
      <c r="F16" s="5"/>
      <c r="G16" s="97"/>
      <c r="H16" s="98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5" customHeight="1" x14ac:dyDescent="0.25">
      <c r="A17" s="48" t="s">
        <v>173</v>
      </c>
      <c r="B17" s="42" t="s">
        <v>240</v>
      </c>
      <c r="C17" s="5" t="s">
        <v>174</v>
      </c>
      <c r="D17" s="5" t="s">
        <v>175</v>
      </c>
      <c r="E17" s="5" t="s">
        <v>176</v>
      </c>
      <c r="F17" s="5" t="s">
        <v>62</v>
      </c>
      <c r="G17" s="97" t="s">
        <v>452</v>
      </c>
      <c r="H17" s="98"/>
      <c r="I17" s="5"/>
      <c r="J17" s="5"/>
      <c r="K17" s="5"/>
      <c r="L17" s="5"/>
      <c r="M17" s="5"/>
      <c r="N17" s="5"/>
      <c r="O17" s="5"/>
      <c r="P17" s="5">
        <v>0.11</v>
      </c>
      <c r="Q17" s="5"/>
      <c r="R17" s="5"/>
      <c r="S17" s="5"/>
      <c r="T17" s="5"/>
      <c r="U17" s="6"/>
      <c r="V17" s="6"/>
      <c r="W17" s="7"/>
      <c r="X17" s="6"/>
      <c r="Y17" s="7"/>
      <c r="Z17" s="7"/>
      <c r="AA17" s="7"/>
    </row>
    <row r="18" spans="1:27" x14ac:dyDescent="0.25">
      <c r="A18" s="48" t="s">
        <v>173</v>
      </c>
      <c r="B18" s="42" t="s">
        <v>213</v>
      </c>
      <c r="C18" s="5" t="s">
        <v>174</v>
      </c>
      <c r="D18" s="5" t="s">
        <v>177</v>
      </c>
      <c r="E18" s="5" t="s">
        <v>178</v>
      </c>
      <c r="F18" s="5" t="s">
        <v>7</v>
      </c>
      <c r="G18" s="109" t="s">
        <v>453</v>
      </c>
      <c r="H18" s="110"/>
      <c r="I18" s="5"/>
      <c r="J18" s="5"/>
      <c r="K18" s="5"/>
      <c r="L18" s="5">
        <f xml:space="preserve"> ROUNDUP((O18*5280)/80, 0)</f>
        <v>3</v>
      </c>
      <c r="M18" s="5"/>
      <c r="N18" s="5"/>
      <c r="O18" s="5">
        <v>0.04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25">
      <c r="A19" s="48" t="s">
        <v>173</v>
      </c>
      <c r="B19" s="42" t="s">
        <v>241</v>
      </c>
      <c r="C19" s="5" t="s">
        <v>174</v>
      </c>
      <c r="D19" s="5" t="s">
        <v>178</v>
      </c>
      <c r="E19" s="5" t="s">
        <v>176</v>
      </c>
      <c r="F19" s="5" t="s">
        <v>7</v>
      </c>
      <c r="G19" s="109" t="s">
        <v>453</v>
      </c>
      <c r="H19" s="110"/>
      <c r="I19" s="5"/>
      <c r="J19" s="5"/>
      <c r="K19" s="5"/>
      <c r="L19" s="5"/>
      <c r="M19" s="5"/>
      <c r="N19" s="5"/>
      <c r="O19" s="5"/>
      <c r="P19" s="5">
        <v>0.05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25">
      <c r="A20" s="48" t="s">
        <v>173</v>
      </c>
      <c r="B20" s="42" t="s">
        <v>242</v>
      </c>
      <c r="C20" s="5" t="s">
        <v>174</v>
      </c>
      <c r="D20" s="5" t="s">
        <v>178</v>
      </c>
      <c r="E20" s="5" t="s">
        <v>179</v>
      </c>
      <c r="F20" s="5" t="s">
        <v>62</v>
      </c>
      <c r="G20" s="109" t="s">
        <v>453</v>
      </c>
      <c r="H20" s="110"/>
      <c r="I20" s="5"/>
      <c r="J20" s="5"/>
      <c r="K20" s="5"/>
      <c r="L20" s="5"/>
      <c r="M20" s="5"/>
      <c r="N20" s="5"/>
      <c r="O20" s="5"/>
      <c r="P20" s="5">
        <v>0.11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25">
      <c r="A21" s="48" t="s">
        <v>173</v>
      </c>
      <c r="B21" s="42" t="s">
        <v>243</v>
      </c>
      <c r="C21" s="5" t="s">
        <v>174</v>
      </c>
      <c r="D21" s="5" t="s">
        <v>180</v>
      </c>
      <c r="E21" s="5" t="s">
        <v>179</v>
      </c>
      <c r="F21" s="5" t="s">
        <v>7</v>
      </c>
      <c r="G21" s="109" t="s">
        <v>453</v>
      </c>
      <c r="H21" s="110"/>
      <c r="I21" s="5"/>
      <c r="J21" s="5"/>
      <c r="K21" s="5"/>
      <c r="L21" s="5"/>
      <c r="M21" s="5"/>
      <c r="N21" s="5"/>
      <c r="O21" s="5"/>
      <c r="P21" s="42"/>
      <c r="Q21" s="5"/>
      <c r="R21" s="5">
        <v>270</v>
      </c>
      <c r="S21" s="5"/>
      <c r="T21" s="5"/>
      <c r="U21" s="5"/>
      <c r="V21" s="5"/>
      <c r="W21" s="5"/>
      <c r="X21" s="5"/>
      <c r="Y21" s="5"/>
      <c r="Z21" s="5"/>
      <c r="AA21" s="5"/>
    </row>
    <row r="22" spans="1:27" x14ac:dyDescent="0.25">
      <c r="A22" s="48"/>
      <c r="B22" s="42"/>
      <c r="C22" s="5"/>
      <c r="D22" s="109"/>
      <c r="E22" s="110"/>
      <c r="F22" s="5"/>
      <c r="G22" s="109"/>
      <c r="H22" s="110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25">
      <c r="A23" s="48" t="s">
        <v>181</v>
      </c>
      <c r="B23" s="42" t="s">
        <v>210</v>
      </c>
      <c r="C23" s="5" t="s">
        <v>83</v>
      </c>
      <c r="D23" s="5" t="s">
        <v>147</v>
      </c>
      <c r="E23" s="5" t="s">
        <v>182</v>
      </c>
      <c r="F23" s="5" t="s">
        <v>7</v>
      </c>
      <c r="G23" s="97" t="s">
        <v>452</v>
      </c>
      <c r="H23" s="98"/>
      <c r="I23" s="5"/>
      <c r="J23" s="5"/>
      <c r="K23" s="5"/>
      <c r="L23" s="5"/>
      <c r="M23" s="5"/>
      <c r="N23" s="5"/>
      <c r="O23" s="5"/>
      <c r="P23" s="5">
        <v>0.03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25">
      <c r="A24" s="48" t="s">
        <v>181</v>
      </c>
      <c r="B24" s="42" t="s">
        <v>229</v>
      </c>
      <c r="C24" s="42" t="s">
        <v>83</v>
      </c>
      <c r="D24" s="5" t="s">
        <v>147</v>
      </c>
      <c r="E24" s="5" t="s">
        <v>182</v>
      </c>
      <c r="F24" s="42" t="s">
        <v>7</v>
      </c>
      <c r="G24" s="97" t="s">
        <v>452</v>
      </c>
      <c r="H24" s="98"/>
      <c r="I24" s="5"/>
      <c r="J24" s="5"/>
      <c r="K24" s="5"/>
      <c r="L24" s="5">
        <f xml:space="preserve"> ROUNDUP((P24*5280)/80, 0)</f>
        <v>2</v>
      </c>
      <c r="M24" s="5"/>
      <c r="N24" s="5"/>
      <c r="O24" s="5"/>
      <c r="P24" s="5">
        <v>0.03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25">
      <c r="A25" s="48" t="s">
        <v>181</v>
      </c>
      <c r="B25" s="42" t="s">
        <v>116</v>
      </c>
      <c r="C25" s="5" t="s">
        <v>83</v>
      </c>
      <c r="D25" s="5" t="s">
        <v>147</v>
      </c>
      <c r="E25" s="5" t="s">
        <v>182</v>
      </c>
      <c r="F25" s="5" t="s">
        <v>7</v>
      </c>
      <c r="G25" s="97" t="s">
        <v>452</v>
      </c>
      <c r="H25" s="98"/>
      <c r="I25" s="5"/>
      <c r="J25" s="5"/>
      <c r="K25" s="5">
        <v>34</v>
      </c>
      <c r="L25" s="5"/>
      <c r="M25" s="5">
        <v>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v>139</v>
      </c>
      <c r="Z25" s="5"/>
      <c r="AA25" s="5"/>
    </row>
    <row r="26" spans="1:27" x14ac:dyDescent="0.25">
      <c r="A26" s="48" t="s">
        <v>181</v>
      </c>
      <c r="B26" s="42" t="s">
        <v>221</v>
      </c>
      <c r="C26" s="5" t="s">
        <v>82</v>
      </c>
      <c r="D26" s="5" t="s">
        <v>147</v>
      </c>
      <c r="E26" s="5" t="s">
        <v>183</v>
      </c>
      <c r="F26" s="5" t="s">
        <v>8</v>
      </c>
      <c r="G26" s="97" t="s">
        <v>452</v>
      </c>
      <c r="H26" s="98"/>
      <c r="I26" s="5"/>
      <c r="J26" s="5"/>
      <c r="K26" s="5"/>
      <c r="L26" s="5"/>
      <c r="M26" s="5"/>
      <c r="N26" s="5"/>
      <c r="O26" s="5"/>
      <c r="P26" s="5">
        <v>0.02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3.9" customHeight="1" x14ac:dyDescent="0.25">
      <c r="A27" s="48" t="s">
        <v>181</v>
      </c>
      <c r="B27" s="42" t="s">
        <v>230</v>
      </c>
      <c r="C27" s="5" t="s">
        <v>82</v>
      </c>
      <c r="D27" s="5" t="s">
        <v>147</v>
      </c>
      <c r="E27" s="5" t="s">
        <v>183</v>
      </c>
      <c r="F27" s="5" t="s">
        <v>8</v>
      </c>
      <c r="G27" s="97" t="s">
        <v>452</v>
      </c>
      <c r="H27" s="98"/>
      <c r="I27" s="42"/>
      <c r="J27" s="42"/>
      <c r="K27" s="5"/>
      <c r="L27" s="5">
        <f xml:space="preserve"> ROUNDUP((P27*5280)/80, 0)</f>
        <v>2</v>
      </c>
      <c r="M27" s="5"/>
      <c r="N27" s="42"/>
      <c r="O27" s="42"/>
      <c r="P27" s="5">
        <v>0.02</v>
      </c>
      <c r="Q27" s="42"/>
      <c r="R27" s="42"/>
      <c r="S27" s="42"/>
      <c r="T27" s="42"/>
      <c r="U27" s="42"/>
      <c r="V27" s="42"/>
      <c r="W27" s="42"/>
      <c r="X27" s="42"/>
      <c r="Y27" s="5"/>
      <c r="Z27" s="5"/>
      <c r="AA27" s="5"/>
    </row>
    <row r="28" spans="1:27" x14ac:dyDescent="0.25">
      <c r="A28" s="48"/>
      <c r="B28" s="42"/>
      <c r="C28" s="5"/>
      <c r="D28" s="109"/>
      <c r="E28" s="110"/>
      <c r="F28" s="5"/>
      <c r="G28" s="97"/>
      <c r="H28" s="9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25">
      <c r="A29" s="48" t="s">
        <v>184</v>
      </c>
      <c r="B29" s="42" t="s">
        <v>231</v>
      </c>
      <c r="C29" s="5" t="s">
        <v>48</v>
      </c>
      <c r="D29" s="5" t="s">
        <v>165</v>
      </c>
      <c r="E29" s="5" t="s">
        <v>185</v>
      </c>
      <c r="F29" s="5" t="s">
        <v>8</v>
      </c>
      <c r="G29" s="97" t="s">
        <v>452</v>
      </c>
      <c r="H29" s="98"/>
      <c r="I29" s="5"/>
      <c r="J29" s="5"/>
      <c r="K29" s="5">
        <v>50</v>
      </c>
      <c r="L29" s="5"/>
      <c r="M29" s="5">
        <v>17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v>818</v>
      </c>
      <c r="Z29" s="5"/>
      <c r="AA29" s="5"/>
    </row>
    <row r="30" spans="1:27" x14ac:dyDescent="0.25">
      <c r="A30" s="48"/>
      <c r="B30" s="42"/>
      <c r="C30" s="5"/>
      <c r="D30" s="109"/>
      <c r="E30" s="110"/>
      <c r="F30" s="5"/>
      <c r="G30" s="109"/>
      <c r="H30" s="11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25">
      <c r="A31" s="162" t="s">
        <v>186</v>
      </c>
      <c r="B31" s="163"/>
      <c r="C31" s="163"/>
      <c r="D31" s="163"/>
      <c r="E31" s="163"/>
      <c r="F31" s="163"/>
      <c r="G31" s="163"/>
      <c r="H31" s="164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x14ac:dyDescent="0.25">
      <c r="A32" s="48" t="s">
        <v>187</v>
      </c>
      <c r="B32" s="42" t="s">
        <v>244</v>
      </c>
      <c r="C32" s="5" t="s">
        <v>37</v>
      </c>
      <c r="D32" s="5" t="s">
        <v>188</v>
      </c>
      <c r="E32" s="5" t="s">
        <v>189</v>
      </c>
      <c r="F32" s="5" t="s">
        <v>62</v>
      </c>
      <c r="G32" s="109" t="s">
        <v>453</v>
      </c>
      <c r="H32" s="110"/>
      <c r="I32" s="5"/>
      <c r="J32" s="5"/>
      <c r="K32" s="5"/>
      <c r="L32" s="5"/>
      <c r="M32" s="5"/>
      <c r="N32" s="5"/>
      <c r="O32" s="5"/>
      <c r="P32" s="5">
        <v>0.12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48" t="s">
        <v>187</v>
      </c>
      <c r="B33" s="42" t="s">
        <v>429</v>
      </c>
      <c r="C33" s="5" t="s">
        <v>37</v>
      </c>
      <c r="D33" s="5" t="s">
        <v>190</v>
      </c>
      <c r="E33" s="5" t="s">
        <v>191</v>
      </c>
      <c r="F33" s="5" t="s">
        <v>62</v>
      </c>
      <c r="G33" s="97" t="s">
        <v>452</v>
      </c>
      <c r="H33" s="98"/>
      <c r="I33" s="5"/>
      <c r="J33" s="5"/>
      <c r="K33" s="5"/>
      <c r="L33" s="5">
        <f xml:space="preserve"> ROUNDUP((P33*5280)/40, 0)</f>
        <v>12</v>
      </c>
      <c r="M33" s="5"/>
      <c r="N33" s="5"/>
      <c r="O33" s="5"/>
      <c r="P33" s="6">
        <f xml:space="preserve"> (1750-1290)/5280</f>
        <v>8.7121212121212127E-2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48" t="s">
        <v>187</v>
      </c>
      <c r="B34" s="42" t="s">
        <v>243</v>
      </c>
      <c r="C34" s="5" t="s">
        <v>31</v>
      </c>
      <c r="D34" s="5" t="s">
        <v>191</v>
      </c>
      <c r="E34" s="5" t="s">
        <v>189</v>
      </c>
      <c r="F34" s="5" t="s">
        <v>62</v>
      </c>
      <c r="G34" s="97" t="s">
        <v>452</v>
      </c>
      <c r="H34" s="98"/>
      <c r="I34" s="5"/>
      <c r="J34" s="5"/>
      <c r="K34" s="5"/>
      <c r="L34" s="5"/>
      <c r="M34" s="5"/>
      <c r="N34" s="5"/>
      <c r="O34" s="5"/>
      <c r="P34" s="5"/>
      <c r="Q34" s="5"/>
      <c r="R34" s="5">
        <v>122</v>
      </c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48" t="s">
        <v>187</v>
      </c>
      <c r="B35" s="42" t="s">
        <v>245</v>
      </c>
      <c r="C35" s="5" t="s">
        <v>30</v>
      </c>
      <c r="D35" s="133" t="s">
        <v>155</v>
      </c>
      <c r="E35" s="133"/>
      <c r="F35" s="5" t="s">
        <v>62</v>
      </c>
      <c r="G35" s="109" t="s">
        <v>453</v>
      </c>
      <c r="H35" s="11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>
        <v>1</v>
      </c>
      <c r="X35" s="5"/>
      <c r="Y35" s="5"/>
      <c r="Z35" s="5"/>
      <c r="AA35" s="5"/>
    </row>
    <row r="36" spans="1:27" x14ac:dyDescent="0.25">
      <c r="A36" s="48" t="s">
        <v>187</v>
      </c>
      <c r="B36" s="42" t="s">
        <v>246</v>
      </c>
      <c r="C36" s="5" t="s">
        <v>30</v>
      </c>
      <c r="D36" s="133" t="s">
        <v>156</v>
      </c>
      <c r="E36" s="133"/>
      <c r="F36" s="5" t="s">
        <v>62</v>
      </c>
      <c r="G36" s="109" t="s">
        <v>453</v>
      </c>
      <c r="H36" s="11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>
        <v>1</v>
      </c>
      <c r="X36" s="5"/>
      <c r="Y36" s="5"/>
      <c r="Z36" s="5"/>
      <c r="AA36" s="5"/>
    </row>
    <row r="37" spans="1:27" x14ac:dyDescent="0.25">
      <c r="A37" s="48"/>
      <c r="B37" s="42"/>
      <c r="C37" s="5"/>
      <c r="D37" s="109"/>
      <c r="E37" s="110"/>
      <c r="F37" s="5"/>
      <c r="G37" s="109"/>
      <c r="H37" s="11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48" t="s">
        <v>187</v>
      </c>
      <c r="B38" s="42" t="s">
        <v>428</v>
      </c>
      <c r="C38" s="5" t="s">
        <v>30</v>
      </c>
      <c r="D38" s="12">
        <v>17000</v>
      </c>
      <c r="E38" s="12">
        <v>17415</v>
      </c>
      <c r="F38" s="5" t="s">
        <v>8</v>
      </c>
      <c r="G38" s="109" t="s">
        <v>453</v>
      </c>
      <c r="H38" s="110"/>
      <c r="I38" s="5"/>
      <c r="J38" s="5"/>
      <c r="K38" s="5"/>
      <c r="L38" s="5">
        <f xml:space="preserve"> ROUNDUP((P38*5280)/40, 0)</f>
        <v>11</v>
      </c>
      <c r="M38" s="5"/>
      <c r="N38" s="5"/>
      <c r="O38" s="5"/>
      <c r="P38" s="6">
        <f xml:space="preserve"> (E38-D38)/5280</f>
        <v>7.8598484848484848E-2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48" t="s">
        <v>187</v>
      </c>
      <c r="B39" s="42" t="s">
        <v>436</v>
      </c>
      <c r="C39" s="5" t="s">
        <v>30</v>
      </c>
      <c r="D39" s="12">
        <v>17320</v>
      </c>
      <c r="E39" s="12">
        <v>17557</v>
      </c>
      <c r="F39" s="5" t="s">
        <v>7</v>
      </c>
      <c r="G39" s="109" t="s">
        <v>453</v>
      </c>
      <c r="H39" s="110"/>
      <c r="I39" s="5"/>
      <c r="J39" s="5"/>
      <c r="K39" s="5"/>
      <c r="L39" s="5"/>
      <c r="M39" s="5"/>
      <c r="N39" s="5"/>
      <c r="O39" s="5"/>
      <c r="P39" s="6"/>
      <c r="Q39" s="5"/>
      <c r="R39" s="5"/>
      <c r="S39" s="5"/>
      <c r="T39" s="5"/>
      <c r="U39" s="5"/>
      <c r="V39" s="5">
        <v>270</v>
      </c>
      <c r="W39" s="5"/>
      <c r="X39" s="5"/>
      <c r="Y39" s="5"/>
      <c r="Z39" s="5"/>
      <c r="AA39" s="5"/>
    </row>
    <row r="40" spans="1:27" x14ac:dyDescent="0.25">
      <c r="A40" s="48" t="s">
        <v>187</v>
      </c>
      <c r="B40" s="42" t="s">
        <v>437</v>
      </c>
      <c r="C40" s="5" t="s">
        <v>30</v>
      </c>
      <c r="D40" s="12">
        <v>17320</v>
      </c>
      <c r="E40" s="12">
        <v>17557</v>
      </c>
      <c r="F40" s="5" t="s">
        <v>7</v>
      </c>
      <c r="G40" s="109" t="s">
        <v>453</v>
      </c>
      <c r="H40" s="110"/>
      <c r="I40" s="5"/>
      <c r="J40" s="5"/>
      <c r="K40" s="5"/>
      <c r="L40" s="5">
        <f xml:space="preserve"> ROUNDUP((O40*5280)/80, 0)</f>
        <v>3</v>
      </c>
      <c r="M40" s="5"/>
      <c r="N40" s="5"/>
      <c r="O40" s="6">
        <f>(E40-D40)/5280</f>
        <v>4.4886363636363634E-2</v>
      </c>
      <c r="P40" s="6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5" customHeight="1" x14ac:dyDescent="0.25">
      <c r="A41" s="162" t="s">
        <v>247</v>
      </c>
      <c r="B41" s="163"/>
      <c r="C41" s="163"/>
      <c r="D41" s="163"/>
      <c r="E41" s="163"/>
      <c r="F41" s="163"/>
      <c r="G41" s="163"/>
      <c r="H41" s="16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" customHeight="1" x14ac:dyDescent="0.25">
      <c r="A42" s="48" t="s">
        <v>250</v>
      </c>
      <c r="B42" s="42" t="s">
        <v>251</v>
      </c>
      <c r="C42" s="5" t="s">
        <v>30</v>
      </c>
      <c r="D42" s="12">
        <v>15958</v>
      </c>
      <c r="E42" s="12">
        <v>16235</v>
      </c>
      <c r="F42" s="5" t="s">
        <v>8</v>
      </c>
      <c r="G42" s="109" t="s">
        <v>453</v>
      </c>
      <c r="H42" s="110"/>
      <c r="I42" s="5"/>
      <c r="J42" s="5"/>
      <c r="K42" s="5"/>
      <c r="L42" s="9">
        <f xml:space="preserve"> ROUNDUP(Q42/40, 0)</f>
        <v>7</v>
      </c>
      <c r="M42" s="5"/>
      <c r="N42" s="5"/>
      <c r="O42" s="5"/>
      <c r="P42" s="16"/>
      <c r="Q42" s="7">
        <f xml:space="preserve"> (E42-D42)</f>
        <v>277</v>
      </c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5" customHeight="1" x14ac:dyDescent="0.25">
      <c r="A43" s="48" t="s">
        <v>250</v>
      </c>
      <c r="B43" s="42" t="s">
        <v>444</v>
      </c>
      <c r="C43" s="5" t="s">
        <v>30</v>
      </c>
      <c r="D43" s="12">
        <v>15958</v>
      </c>
      <c r="E43" s="12">
        <v>16235</v>
      </c>
      <c r="F43" s="5" t="s">
        <v>8</v>
      </c>
      <c r="G43" s="109" t="s">
        <v>453</v>
      </c>
      <c r="H43" s="110"/>
      <c r="I43" s="5"/>
      <c r="J43" s="5"/>
      <c r="K43" s="5"/>
      <c r="M43" s="5"/>
      <c r="N43" s="5"/>
      <c r="O43" s="5"/>
      <c r="P43" s="46">
        <f>(E43-D43)/5280</f>
        <v>5.246212121212121E-2</v>
      </c>
      <c r="Q43" s="7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" customHeight="1" x14ac:dyDescent="0.25">
      <c r="A44" s="48" t="s">
        <v>250</v>
      </c>
      <c r="B44" s="42" t="s">
        <v>447</v>
      </c>
      <c r="C44" s="5" t="s">
        <v>30</v>
      </c>
      <c r="D44" s="12">
        <v>15958</v>
      </c>
      <c r="E44" s="12">
        <v>16235</v>
      </c>
      <c r="F44" s="5" t="s">
        <v>8</v>
      </c>
      <c r="G44" s="109" t="s">
        <v>453</v>
      </c>
      <c r="H44" s="110"/>
      <c r="I44" s="5"/>
      <c r="J44" s="5"/>
      <c r="K44" s="5"/>
      <c r="L44" s="5"/>
      <c r="M44" s="5"/>
      <c r="N44" s="5"/>
      <c r="O44" s="5"/>
      <c r="P44" s="46"/>
      <c r="Q44" s="7"/>
      <c r="R44" s="5"/>
      <c r="S44" s="5">
        <v>295</v>
      </c>
      <c r="T44" s="5"/>
      <c r="U44" s="5"/>
      <c r="V44" s="5"/>
      <c r="W44" s="5"/>
      <c r="X44" s="5"/>
      <c r="Y44" s="5"/>
      <c r="Z44" s="5"/>
      <c r="AA44" s="5"/>
    </row>
    <row r="45" spans="1:27" ht="15" customHeight="1" x14ac:dyDescent="0.25">
      <c r="A45" s="48" t="s">
        <v>250</v>
      </c>
      <c r="B45" s="42" t="s">
        <v>252</v>
      </c>
      <c r="C45" s="5" t="s">
        <v>30</v>
      </c>
      <c r="D45" s="12">
        <v>16030</v>
      </c>
      <c r="E45" s="12">
        <v>16235</v>
      </c>
      <c r="F45" s="5" t="s">
        <v>8</v>
      </c>
      <c r="G45" s="109" t="s">
        <v>453</v>
      </c>
      <c r="H45" s="110"/>
      <c r="I45" s="5"/>
      <c r="J45" s="5"/>
      <c r="K45" s="5"/>
      <c r="L45" s="9">
        <f xml:space="preserve"> ROUNDUP(Q45/40, 0)</f>
        <v>6</v>
      </c>
      <c r="M45" s="5"/>
      <c r="N45" s="5"/>
      <c r="O45" s="5"/>
      <c r="P45" s="16"/>
      <c r="Q45" s="7">
        <f xml:space="preserve"> (E45-D45)</f>
        <v>205</v>
      </c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" customHeight="1" x14ac:dyDescent="0.25">
      <c r="A46" s="48" t="s">
        <v>250</v>
      </c>
      <c r="B46" s="42" t="s">
        <v>445</v>
      </c>
      <c r="C46" s="5" t="s">
        <v>30</v>
      </c>
      <c r="D46" s="107">
        <v>16087</v>
      </c>
      <c r="E46" s="108"/>
      <c r="F46" s="5" t="s">
        <v>62</v>
      </c>
      <c r="G46" s="109" t="s">
        <v>453</v>
      </c>
      <c r="H46" s="110"/>
      <c r="I46" s="5"/>
      <c r="J46" s="5"/>
      <c r="K46" s="5"/>
      <c r="L46" s="5"/>
      <c r="M46" s="5"/>
      <c r="N46" s="5"/>
      <c r="O46" s="5"/>
      <c r="P46" s="16"/>
      <c r="Q46" s="7"/>
      <c r="R46" s="5"/>
      <c r="S46" s="5"/>
      <c r="T46" s="5"/>
      <c r="U46" s="5"/>
      <c r="V46" s="5"/>
      <c r="W46" s="5">
        <v>3</v>
      </c>
      <c r="X46" s="5"/>
      <c r="Y46" s="5"/>
      <c r="Z46" s="5"/>
      <c r="AA46" s="5"/>
    </row>
    <row r="47" spans="1:27" ht="15" customHeight="1" x14ac:dyDescent="0.25">
      <c r="A47" s="48"/>
      <c r="B47" s="42"/>
      <c r="C47" s="5"/>
      <c r="D47" s="107"/>
      <c r="E47" s="108"/>
      <c r="F47" s="5"/>
      <c r="G47" s="109"/>
      <c r="H47" s="110"/>
      <c r="I47" s="5"/>
      <c r="J47" s="5"/>
      <c r="K47" s="5"/>
      <c r="L47" s="5"/>
      <c r="M47" s="5"/>
      <c r="N47" s="5"/>
      <c r="O47" s="5"/>
      <c r="P47" s="16"/>
      <c r="Q47" s="7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" customHeight="1" x14ac:dyDescent="0.25">
      <c r="A48" s="48" t="s">
        <v>250</v>
      </c>
      <c r="B48" s="42" t="s">
        <v>446</v>
      </c>
      <c r="C48" s="5" t="s">
        <v>30</v>
      </c>
      <c r="D48" s="107">
        <v>16153</v>
      </c>
      <c r="E48" s="108"/>
      <c r="F48" s="5" t="s">
        <v>62</v>
      </c>
      <c r="G48" s="109" t="s">
        <v>453</v>
      </c>
      <c r="H48" s="110"/>
      <c r="I48" s="5"/>
      <c r="J48" s="5"/>
      <c r="K48" s="5"/>
      <c r="L48" s="5"/>
      <c r="M48" s="5"/>
      <c r="N48" s="5"/>
      <c r="O48" s="5"/>
      <c r="P48" s="16"/>
      <c r="Q48" s="7"/>
      <c r="R48" s="5"/>
      <c r="S48" s="5"/>
      <c r="T48" s="5"/>
      <c r="U48" s="5"/>
      <c r="V48" s="5"/>
      <c r="W48" s="5">
        <v>3</v>
      </c>
      <c r="X48" s="5"/>
      <c r="Y48" s="5"/>
      <c r="Z48" s="5"/>
      <c r="AA48" s="5"/>
    </row>
    <row r="49" spans="1:27" ht="15" customHeight="1" x14ac:dyDescent="0.25">
      <c r="A49" s="48" t="s">
        <v>250</v>
      </c>
      <c r="B49" s="42" t="s">
        <v>253</v>
      </c>
      <c r="C49" s="5" t="s">
        <v>30</v>
      </c>
      <c r="D49" s="12">
        <v>15980</v>
      </c>
      <c r="E49" s="12">
        <v>16254</v>
      </c>
      <c r="F49" s="5" t="s">
        <v>7</v>
      </c>
      <c r="G49" s="109" t="s">
        <v>453</v>
      </c>
      <c r="H49" s="110"/>
      <c r="I49" s="5"/>
      <c r="J49" s="5"/>
      <c r="K49" s="5"/>
      <c r="L49" s="5">
        <f xml:space="preserve"> ROUNDUP((O49*5280)/80, 0)</f>
        <v>4</v>
      </c>
      <c r="M49" s="5"/>
      <c r="N49" s="5"/>
      <c r="O49" s="6">
        <f xml:space="preserve"> (E49-D49)/5280</f>
        <v>5.1893939393939395E-2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" customHeight="1" x14ac:dyDescent="0.25">
      <c r="A50" s="48" t="s">
        <v>250</v>
      </c>
      <c r="B50" s="42" t="s">
        <v>254</v>
      </c>
      <c r="C50" s="5" t="s">
        <v>30</v>
      </c>
      <c r="D50" s="12">
        <v>16141</v>
      </c>
      <c r="E50" s="12">
        <v>16254</v>
      </c>
      <c r="F50" s="5" t="s">
        <v>7</v>
      </c>
      <c r="G50" s="109" t="s">
        <v>453</v>
      </c>
      <c r="H50" s="110"/>
      <c r="I50" s="5"/>
      <c r="J50" s="5"/>
      <c r="K50" s="5"/>
      <c r="L50" s="5"/>
      <c r="M50" s="5"/>
      <c r="N50" s="5"/>
      <c r="O50" s="5"/>
      <c r="P50" s="6">
        <f xml:space="preserve"> (E50-D50)/5280</f>
        <v>2.1401515151515151E-2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" customHeight="1" x14ac:dyDescent="0.25">
      <c r="A51" s="48" t="s">
        <v>250</v>
      </c>
      <c r="B51" s="42" t="s">
        <v>255</v>
      </c>
      <c r="C51" s="5" t="s">
        <v>30</v>
      </c>
      <c r="D51" s="165">
        <v>16219</v>
      </c>
      <c r="E51" s="166"/>
      <c r="F51" s="42" t="s">
        <v>8</v>
      </c>
      <c r="G51" s="109" t="s">
        <v>453</v>
      </c>
      <c r="H51" s="110"/>
      <c r="I51" s="42"/>
      <c r="J51" s="42"/>
      <c r="K51" s="5"/>
      <c r="L51" s="5"/>
      <c r="M51" s="5"/>
      <c r="N51" s="42"/>
      <c r="O51" s="42"/>
      <c r="P51" s="7"/>
      <c r="Q51" s="5"/>
      <c r="R51" s="5"/>
      <c r="S51" s="5"/>
      <c r="T51" s="5"/>
      <c r="U51" s="5"/>
      <c r="V51" s="5"/>
      <c r="W51" s="5">
        <v>3</v>
      </c>
      <c r="X51" s="5"/>
      <c r="Y51" s="5"/>
      <c r="Z51" s="5"/>
      <c r="AA51" s="5"/>
    </row>
    <row r="52" spans="1:27" ht="15" customHeight="1" x14ac:dyDescent="0.25">
      <c r="A52" s="48" t="s">
        <v>250</v>
      </c>
      <c r="B52" s="42" t="s">
        <v>256</v>
      </c>
      <c r="C52" s="5" t="s">
        <v>30</v>
      </c>
      <c r="D52" s="12">
        <v>16264</v>
      </c>
      <c r="E52" s="12">
        <v>16386</v>
      </c>
      <c r="F52" s="5" t="s">
        <v>62</v>
      </c>
      <c r="G52" s="109" t="s">
        <v>453</v>
      </c>
      <c r="H52" s="110"/>
      <c r="I52" s="5"/>
      <c r="J52" s="5"/>
      <c r="K52" s="5"/>
      <c r="L52" s="5"/>
      <c r="M52" s="5"/>
      <c r="N52" s="5"/>
      <c r="O52" s="5"/>
      <c r="P52" s="7"/>
      <c r="Q52" s="5"/>
      <c r="R52" s="43">
        <f>122+129</f>
        <v>251</v>
      </c>
      <c r="S52" s="42"/>
      <c r="T52" s="42"/>
      <c r="U52" s="42"/>
      <c r="V52" s="42"/>
      <c r="W52" s="42"/>
      <c r="X52" s="42"/>
      <c r="Y52" s="42"/>
      <c r="Z52" s="5"/>
      <c r="AA52" s="5"/>
    </row>
    <row r="53" spans="1:27" ht="15" customHeight="1" x14ac:dyDescent="0.25">
      <c r="A53" s="48"/>
      <c r="B53" s="42"/>
      <c r="C53" s="5"/>
      <c r="D53" s="107"/>
      <c r="E53" s="108"/>
      <c r="F53" s="5"/>
      <c r="G53" s="109"/>
      <c r="H53" s="110"/>
      <c r="I53" s="5"/>
      <c r="J53" s="5"/>
      <c r="K53" s="5"/>
      <c r="L53" s="5"/>
      <c r="M53" s="5"/>
      <c r="N53" s="5"/>
      <c r="O53" s="5"/>
      <c r="P53" s="7"/>
      <c r="Q53" s="5"/>
      <c r="R53" s="43"/>
      <c r="S53" s="42"/>
      <c r="T53" s="42"/>
      <c r="U53" s="42"/>
      <c r="V53" s="42"/>
      <c r="W53" s="42"/>
      <c r="X53" s="42"/>
      <c r="Y53" s="42"/>
      <c r="Z53" s="5"/>
      <c r="AA53" s="5"/>
    </row>
    <row r="54" spans="1:27" ht="15" customHeight="1" x14ac:dyDescent="0.25">
      <c r="A54" s="48" t="s">
        <v>250</v>
      </c>
      <c r="B54" s="42" t="s">
        <v>257</v>
      </c>
      <c r="C54" s="5" t="s">
        <v>30</v>
      </c>
      <c r="D54" s="12">
        <v>16363</v>
      </c>
      <c r="E54" s="12">
        <v>16650</v>
      </c>
      <c r="F54" s="5" t="s">
        <v>62</v>
      </c>
      <c r="G54" s="109" t="s">
        <v>453</v>
      </c>
      <c r="H54" s="110"/>
      <c r="I54" s="5"/>
      <c r="J54" s="5"/>
      <c r="K54" s="5"/>
      <c r="L54" s="5"/>
      <c r="M54" s="5"/>
      <c r="N54" s="5"/>
      <c r="O54" s="5"/>
      <c r="P54" s="6">
        <f>(E54-D54)/5280</f>
        <v>5.4356060606060609E-2</v>
      </c>
      <c r="Q54" s="5"/>
      <c r="R54" s="42"/>
      <c r="S54" s="42"/>
      <c r="T54" s="42"/>
      <c r="U54" s="42"/>
      <c r="V54" s="42"/>
      <c r="W54" s="42"/>
      <c r="X54" s="42"/>
      <c r="Y54" s="42"/>
      <c r="Z54" s="5"/>
      <c r="AA54" s="5"/>
    </row>
    <row r="55" spans="1:27" ht="15" customHeight="1" x14ac:dyDescent="0.25">
      <c r="A55" s="48" t="s">
        <v>250</v>
      </c>
      <c r="B55" s="42" t="s">
        <v>258</v>
      </c>
      <c r="C55" s="5" t="s">
        <v>30</v>
      </c>
      <c r="D55" s="107">
        <v>16386</v>
      </c>
      <c r="E55" s="108"/>
      <c r="F55" s="5" t="s">
        <v>8</v>
      </c>
      <c r="G55" s="109" t="s">
        <v>453</v>
      </c>
      <c r="H55" s="110"/>
      <c r="I55" s="5"/>
      <c r="J55" s="5"/>
      <c r="K55" s="5"/>
      <c r="L55" s="5"/>
      <c r="M55" s="5"/>
      <c r="N55" s="5"/>
      <c r="O55" s="5"/>
      <c r="P55" s="5"/>
      <c r="Q55" s="5"/>
      <c r="R55" s="42"/>
      <c r="S55" s="42"/>
      <c r="T55" s="42">
        <v>22</v>
      </c>
      <c r="U55" s="42"/>
      <c r="V55" s="42"/>
      <c r="W55" s="42"/>
      <c r="X55" s="42"/>
      <c r="Y55" s="42"/>
      <c r="Z55" s="5"/>
      <c r="AA55" s="5"/>
    </row>
    <row r="56" spans="1:27" ht="15" customHeight="1" x14ac:dyDescent="0.25">
      <c r="A56" s="48" t="s">
        <v>250</v>
      </c>
      <c r="B56" s="42" t="s">
        <v>259</v>
      </c>
      <c r="C56" s="5" t="s">
        <v>30</v>
      </c>
      <c r="D56" s="12">
        <v>16386</v>
      </c>
      <c r="E56" s="12">
        <v>16650</v>
      </c>
      <c r="F56" s="5" t="s">
        <v>8</v>
      </c>
      <c r="G56" s="109" t="s">
        <v>453</v>
      </c>
      <c r="H56" s="110"/>
      <c r="I56" s="5"/>
      <c r="J56" s="5"/>
      <c r="K56" s="5"/>
      <c r="L56" s="5">
        <f xml:space="preserve"> ROUNDUP((O56*5280)/80, 0)</f>
        <v>4</v>
      </c>
      <c r="M56" s="5"/>
      <c r="N56" s="5"/>
      <c r="O56" s="6">
        <f xml:space="preserve"> (E56-D56)/5280</f>
        <v>0.05</v>
      </c>
      <c r="P56" s="42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" customHeight="1" x14ac:dyDescent="0.25">
      <c r="A57" s="48" t="s">
        <v>250</v>
      </c>
      <c r="B57" s="42" t="s">
        <v>260</v>
      </c>
      <c r="C57" s="5" t="s">
        <v>30</v>
      </c>
      <c r="D57" s="107">
        <v>16400</v>
      </c>
      <c r="E57" s="108"/>
      <c r="F57" s="5" t="s">
        <v>8</v>
      </c>
      <c r="G57" s="109" t="s">
        <v>453</v>
      </c>
      <c r="H57" s="11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>
        <v>1</v>
      </c>
      <c r="X57" s="5"/>
      <c r="Y57" s="5"/>
      <c r="Z57" s="5"/>
      <c r="AA57" s="5"/>
    </row>
    <row r="58" spans="1:27" ht="15" customHeight="1" x14ac:dyDescent="0.25">
      <c r="A58" s="48" t="s">
        <v>250</v>
      </c>
      <c r="B58" s="42" t="s">
        <v>261</v>
      </c>
      <c r="C58" s="5" t="s">
        <v>30</v>
      </c>
      <c r="D58" s="107">
        <v>16400</v>
      </c>
      <c r="E58" s="108"/>
      <c r="F58" s="5" t="s">
        <v>8</v>
      </c>
      <c r="G58" s="109" t="s">
        <v>453</v>
      </c>
      <c r="H58" s="11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>
        <v>2</v>
      </c>
      <c r="X58" s="5"/>
      <c r="Y58" s="5"/>
      <c r="Z58" s="5"/>
      <c r="AA58" s="5"/>
    </row>
    <row r="59" spans="1:27" ht="15" customHeight="1" x14ac:dyDescent="0.25">
      <c r="A59" s="48"/>
      <c r="B59" s="42"/>
      <c r="C59" s="5"/>
      <c r="D59" s="107"/>
      <c r="E59" s="108"/>
      <c r="F59" s="5"/>
      <c r="G59" s="109"/>
      <c r="H59" s="11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" customHeight="1" x14ac:dyDescent="0.25">
      <c r="A60" s="48" t="s">
        <v>250</v>
      </c>
      <c r="B60" s="42" t="s">
        <v>262</v>
      </c>
      <c r="C60" s="5" t="s">
        <v>30</v>
      </c>
      <c r="D60" s="167">
        <v>16462</v>
      </c>
      <c r="E60" s="168"/>
      <c r="F60" s="5" t="s">
        <v>8</v>
      </c>
      <c r="G60" s="109" t="s">
        <v>453</v>
      </c>
      <c r="H60" s="11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>
        <v>2</v>
      </c>
      <c r="X60" s="5"/>
      <c r="Y60" s="5"/>
      <c r="Z60" s="5"/>
      <c r="AA60" s="5"/>
    </row>
    <row r="61" spans="1:27" ht="15" customHeight="1" x14ac:dyDescent="0.25">
      <c r="A61" s="48" t="s">
        <v>250</v>
      </c>
      <c r="B61" s="42" t="s">
        <v>263</v>
      </c>
      <c r="C61" s="5" t="s">
        <v>30</v>
      </c>
      <c r="D61" s="167">
        <v>16462</v>
      </c>
      <c r="E61" s="168"/>
      <c r="F61" s="5" t="s">
        <v>8</v>
      </c>
      <c r="G61" s="109" t="s">
        <v>453</v>
      </c>
      <c r="H61" s="11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>
        <v>1</v>
      </c>
      <c r="X61" s="5"/>
      <c r="Y61" s="5"/>
      <c r="Z61" s="5"/>
      <c r="AA61" s="5"/>
    </row>
    <row r="62" spans="1:27" ht="15" customHeight="1" x14ac:dyDescent="0.25">
      <c r="A62" s="101" t="s">
        <v>432</v>
      </c>
      <c r="B62" s="102"/>
      <c r="C62" s="102"/>
      <c r="D62" s="102"/>
      <c r="E62" s="102"/>
      <c r="F62" s="103"/>
      <c r="G62" s="156" t="s">
        <v>452</v>
      </c>
      <c r="H62" s="157"/>
      <c r="I62" s="76">
        <f>SUM(I12:I17, I23:I27,I29,I33:I34)</f>
        <v>0</v>
      </c>
      <c r="J62" s="76">
        <f t="shared" ref="J62:AA62" si="0">SUM(J12:J17, J23:J27,J29,J33:J34)</f>
        <v>0</v>
      </c>
      <c r="K62" s="76">
        <f t="shared" si="0"/>
        <v>84</v>
      </c>
      <c r="L62" s="76">
        <f t="shared" ref="L62" si="1">SUM(L12:L17, L23:L27,L29,L33:L34)</f>
        <v>16</v>
      </c>
      <c r="M62" s="76">
        <f t="shared" si="0"/>
        <v>23</v>
      </c>
      <c r="N62" s="59">
        <f t="shared" si="0"/>
        <v>0</v>
      </c>
      <c r="O62" s="59">
        <f t="shared" si="0"/>
        <v>0</v>
      </c>
      <c r="P62" s="59">
        <f t="shared" si="0"/>
        <v>0.29712121212121212</v>
      </c>
      <c r="Q62" s="76">
        <f t="shared" si="0"/>
        <v>0</v>
      </c>
      <c r="R62" s="76">
        <f t="shared" si="0"/>
        <v>122</v>
      </c>
      <c r="S62" s="76">
        <f t="shared" si="0"/>
        <v>0</v>
      </c>
      <c r="T62" s="76">
        <f t="shared" si="0"/>
        <v>24</v>
      </c>
      <c r="U62" s="76">
        <f t="shared" si="0"/>
        <v>0</v>
      </c>
      <c r="V62" s="76">
        <f t="shared" si="0"/>
        <v>0</v>
      </c>
      <c r="W62" s="76">
        <f t="shared" si="0"/>
        <v>6</v>
      </c>
      <c r="X62" s="76">
        <f t="shared" si="0"/>
        <v>0</v>
      </c>
      <c r="Y62" s="76">
        <f t="shared" si="0"/>
        <v>957</v>
      </c>
      <c r="Z62" s="76">
        <f t="shared" si="0"/>
        <v>0</v>
      </c>
      <c r="AA62" s="76">
        <f t="shared" si="0"/>
        <v>0</v>
      </c>
    </row>
    <row r="63" spans="1:27" ht="15" customHeight="1" thickBot="1" x14ac:dyDescent="0.3">
      <c r="A63" s="104"/>
      <c r="B63" s="105"/>
      <c r="C63" s="105"/>
      <c r="D63" s="105"/>
      <c r="E63" s="105"/>
      <c r="F63" s="106"/>
      <c r="G63" s="158" t="s">
        <v>453</v>
      </c>
      <c r="H63" s="159"/>
      <c r="I63" s="69">
        <f>SUM(I35:I61,I32,I18:I21)</f>
        <v>0</v>
      </c>
      <c r="J63" s="69">
        <f t="shared" ref="J63:AA63" si="2">SUM(J35:J61,J32,J18:J21)</f>
        <v>0</v>
      </c>
      <c r="K63" s="69">
        <f t="shared" si="2"/>
        <v>0</v>
      </c>
      <c r="L63" s="69">
        <f t="shared" ref="L63" si="3">SUM(L35:L61,L32,L18:L21)</f>
        <v>38</v>
      </c>
      <c r="M63" s="69">
        <f t="shared" si="2"/>
        <v>0</v>
      </c>
      <c r="N63" s="70">
        <f t="shared" si="2"/>
        <v>0</v>
      </c>
      <c r="O63" s="70">
        <f t="shared" si="2"/>
        <v>0.18678030303030305</v>
      </c>
      <c r="P63" s="70">
        <f t="shared" si="2"/>
        <v>0.48681818181818176</v>
      </c>
      <c r="Q63" s="69">
        <f t="shared" si="2"/>
        <v>482</v>
      </c>
      <c r="R63" s="69">
        <f t="shared" si="2"/>
        <v>521</v>
      </c>
      <c r="S63" s="69">
        <f t="shared" si="2"/>
        <v>295</v>
      </c>
      <c r="T63" s="69">
        <f t="shared" si="2"/>
        <v>22</v>
      </c>
      <c r="U63" s="69">
        <f t="shared" si="2"/>
        <v>0</v>
      </c>
      <c r="V63" s="69">
        <f t="shared" si="2"/>
        <v>270</v>
      </c>
      <c r="W63" s="69">
        <f t="shared" si="2"/>
        <v>17</v>
      </c>
      <c r="X63" s="69">
        <f t="shared" si="2"/>
        <v>0</v>
      </c>
      <c r="Y63" s="69">
        <f t="shared" si="2"/>
        <v>0</v>
      </c>
      <c r="Z63" s="69">
        <f t="shared" si="2"/>
        <v>0</v>
      </c>
      <c r="AA63" s="69">
        <f t="shared" si="2"/>
        <v>0</v>
      </c>
    </row>
    <row r="64" spans="1:27" ht="15.75" customHeight="1" x14ac:dyDescent="0.25"/>
  </sheetData>
  <mergeCells count="101">
    <mergeCell ref="D37:E37"/>
    <mergeCell ref="D47:E47"/>
    <mergeCell ref="D53:E53"/>
    <mergeCell ref="D59:E59"/>
    <mergeCell ref="D12:E12"/>
    <mergeCell ref="G12:H12"/>
    <mergeCell ref="G13:H13"/>
    <mergeCell ref="G14:H14"/>
    <mergeCell ref="G15:H15"/>
    <mergeCell ref="G16:H16"/>
    <mergeCell ref="D15:E15"/>
    <mergeCell ref="D16:E16"/>
    <mergeCell ref="G17:H17"/>
    <mergeCell ref="D14:E14"/>
    <mergeCell ref="D46:E46"/>
    <mergeCell ref="D48:E48"/>
    <mergeCell ref="G32:H32"/>
    <mergeCell ref="G33:H33"/>
    <mergeCell ref="G34:H34"/>
    <mergeCell ref="G35:H35"/>
    <mergeCell ref="G36:H36"/>
    <mergeCell ref="G37:H37"/>
    <mergeCell ref="G38:H38"/>
    <mergeCell ref="G39:H39"/>
    <mergeCell ref="A1:A10"/>
    <mergeCell ref="F1:F10"/>
    <mergeCell ref="A11:H11"/>
    <mergeCell ref="A31:H31"/>
    <mergeCell ref="D51:E51"/>
    <mergeCell ref="D57:E57"/>
    <mergeCell ref="D61:E61"/>
    <mergeCell ref="D35:E35"/>
    <mergeCell ref="D36:E36"/>
    <mergeCell ref="D55:E55"/>
    <mergeCell ref="D58:E58"/>
    <mergeCell ref="D60:E60"/>
    <mergeCell ref="G22:H22"/>
    <mergeCell ref="G23:H23"/>
    <mergeCell ref="G40:H40"/>
    <mergeCell ref="G42:H42"/>
    <mergeCell ref="G43:H43"/>
    <mergeCell ref="G44:H44"/>
    <mergeCell ref="G45:H45"/>
    <mergeCell ref="A41:H41"/>
    <mergeCell ref="G46:H46"/>
    <mergeCell ref="G47:H47"/>
    <mergeCell ref="G30:H30"/>
    <mergeCell ref="D30:E30"/>
    <mergeCell ref="B1:B10"/>
    <mergeCell ref="C1:C10"/>
    <mergeCell ref="D1:E9"/>
    <mergeCell ref="V2:V9"/>
    <mergeCell ref="N2:N9"/>
    <mergeCell ref="O2:O9"/>
    <mergeCell ref="P2:P9"/>
    <mergeCell ref="Q2:Q9"/>
    <mergeCell ref="R2:R9"/>
    <mergeCell ref="S2:S9"/>
    <mergeCell ref="T2:T9"/>
    <mergeCell ref="U2:U9"/>
    <mergeCell ref="M2:M9"/>
    <mergeCell ref="I2:I9"/>
    <mergeCell ref="K2:K9"/>
    <mergeCell ref="G1:H10"/>
    <mergeCell ref="L2:L9"/>
    <mergeCell ref="D22:E22"/>
    <mergeCell ref="D28:E28"/>
    <mergeCell ref="G18:H18"/>
    <mergeCell ref="G19:H19"/>
    <mergeCell ref="AA2:AA9"/>
    <mergeCell ref="X2:X9"/>
    <mergeCell ref="Y2:Y9"/>
    <mergeCell ref="Z2:Z9"/>
    <mergeCell ref="G27:H27"/>
    <mergeCell ref="G28:H28"/>
    <mergeCell ref="D13:E13"/>
    <mergeCell ref="G29:H29"/>
    <mergeCell ref="W2:W9"/>
    <mergeCell ref="J2:J9"/>
    <mergeCell ref="G20:H20"/>
    <mergeCell ref="G21:H21"/>
    <mergeCell ref="G25:H25"/>
    <mergeCell ref="G26:H26"/>
    <mergeCell ref="G57:H57"/>
    <mergeCell ref="G58:H58"/>
    <mergeCell ref="G24:H24"/>
    <mergeCell ref="G59:H59"/>
    <mergeCell ref="G60:H60"/>
    <mergeCell ref="G61:H61"/>
    <mergeCell ref="A62:F63"/>
    <mergeCell ref="G62:H62"/>
    <mergeCell ref="G63:H63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</mergeCells>
  <phoneticPr fontId="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F870-7719-444B-9930-6BEA8C2185D8}">
  <sheetPr codeName="Sheet6"/>
  <dimension ref="A1:Z64"/>
  <sheetViews>
    <sheetView zoomScale="85" zoomScaleNormal="85" workbookViewId="0">
      <selection activeCell="Z64" sqref="A1:Z64"/>
    </sheetView>
  </sheetViews>
  <sheetFormatPr defaultRowHeight="15" x14ac:dyDescent="0.25"/>
  <cols>
    <col min="1" max="1" width="11" customWidth="1"/>
    <col min="2" max="2" width="13.7109375" customWidth="1"/>
    <col min="3" max="3" width="24.7109375" bestFit="1" customWidth="1"/>
    <col min="4" max="5" width="9.85546875" customWidth="1"/>
    <col min="6" max="6" width="10.140625" customWidth="1"/>
    <col min="7" max="7" width="9" customWidth="1"/>
    <col min="8" max="8" width="8.85546875" customWidth="1"/>
    <col min="10" max="10" width="9.42578125" customWidth="1"/>
    <col min="15" max="15" width="8.85546875" customWidth="1"/>
    <col min="16" max="16" width="9" customWidth="1"/>
    <col min="22" max="22" width="9.7109375" customWidth="1"/>
    <col min="24" max="24" width="10.7109375" bestFit="1" customWidth="1"/>
    <col min="26" max="26" width="10" customWidth="1"/>
  </cols>
  <sheetData>
    <row r="1" spans="1:26" ht="15" customHeight="1" x14ac:dyDescent="0.25">
      <c r="A1" s="114" t="s">
        <v>43</v>
      </c>
      <c r="B1" s="117" t="s">
        <v>27</v>
      </c>
      <c r="C1" s="117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</row>
    <row r="2" spans="1:26" ht="15" customHeight="1" x14ac:dyDescent="0.25">
      <c r="A2" s="115"/>
      <c r="B2" s="118"/>
      <c r="C2" s="118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449</v>
      </c>
      <c r="T2" s="111" t="s">
        <v>17</v>
      </c>
      <c r="U2" s="111" t="s">
        <v>18</v>
      </c>
      <c r="V2" s="111" t="s">
        <v>450</v>
      </c>
      <c r="W2" s="111" t="s">
        <v>19</v>
      </c>
      <c r="X2" s="111" t="s">
        <v>20</v>
      </c>
      <c r="Y2" s="111" t="s">
        <v>22</v>
      </c>
      <c r="Z2" s="111" t="s">
        <v>448</v>
      </c>
    </row>
    <row r="3" spans="1:26" ht="15.6" customHeight="1" x14ac:dyDescent="0.25">
      <c r="A3" s="115"/>
      <c r="B3" s="118"/>
      <c r="C3" s="118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 ht="15" customHeight="1" x14ac:dyDescent="0.25">
      <c r="A4" s="115"/>
      <c r="B4" s="118"/>
      <c r="C4" s="118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13.5" customHeight="1" x14ac:dyDescent="0.25">
      <c r="A5" s="115"/>
      <c r="B5" s="118"/>
      <c r="C5" s="118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5.6" customHeight="1" x14ac:dyDescent="0.25">
      <c r="A6" s="115"/>
      <c r="B6" s="118"/>
      <c r="C6" s="118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5" customHeight="1" x14ac:dyDescent="0.25">
      <c r="A7" s="115"/>
      <c r="B7" s="118"/>
      <c r="C7" s="118"/>
      <c r="D7" s="118"/>
      <c r="E7" s="118"/>
      <c r="F7" s="120"/>
      <c r="G7" s="126"/>
      <c r="H7" s="127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</row>
    <row r="8" spans="1:26" ht="13.15" customHeight="1" x14ac:dyDescent="0.25">
      <c r="A8" s="115"/>
      <c r="B8" s="118"/>
      <c r="C8" s="118"/>
      <c r="D8" s="56" t="s">
        <v>3</v>
      </c>
      <c r="E8" s="56" t="s">
        <v>4</v>
      </c>
      <c r="F8" s="161"/>
      <c r="G8" s="170"/>
      <c r="H8" s="171"/>
      <c r="I8" s="22" t="s">
        <v>9</v>
      </c>
      <c r="J8" s="22" t="s">
        <v>6</v>
      </c>
      <c r="K8" s="22" t="s">
        <v>6</v>
      </c>
      <c r="L8" s="22" t="s">
        <v>6</v>
      </c>
      <c r="M8" s="22" t="s">
        <v>6</v>
      </c>
      <c r="N8" s="22" t="s">
        <v>11</v>
      </c>
      <c r="O8" s="22" t="s">
        <v>11</v>
      </c>
      <c r="P8" s="22" t="s">
        <v>11</v>
      </c>
      <c r="Q8" s="22" t="s">
        <v>9</v>
      </c>
      <c r="R8" s="22" t="s">
        <v>9</v>
      </c>
      <c r="S8" s="22" t="s">
        <v>9</v>
      </c>
      <c r="T8" s="22" t="s">
        <v>9</v>
      </c>
      <c r="U8" s="22" t="s">
        <v>9</v>
      </c>
      <c r="V8" s="22" t="s">
        <v>9</v>
      </c>
      <c r="W8" s="22" t="s">
        <v>6</v>
      </c>
      <c r="X8" s="22" t="s">
        <v>21</v>
      </c>
      <c r="Y8" s="22" t="s">
        <v>9</v>
      </c>
      <c r="Z8" s="22" t="s">
        <v>6</v>
      </c>
    </row>
    <row r="9" spans="1:26" ht="15" customHeight="1" x14ac:dyDescent="0.25">
      <c r="A9" s="162" t="s">
        <v>247</v>
      </c>
      <c r="B9" s="163"/>
      <c r="C9" s="163"/>
      <c r="D9" s="163"/>
      <c r="E9" s="163"/>
      <c r="F9" s="163"/>
      <c r="G9" s="163"/>
      <c r="H9" s="16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 customHeight="1" x14ac:dyDescent="0.25">
      <c r="A10" s="48" t="s">
        <v>250</v>
      </c>
      <c r="B10" s="42" t="s">
        <v>264</v>
      </c>
      <c r="C10" s="5" t="s">
        <v>30</v>
      </c>
      <c r="D10" s="167">
        <v>16528</v>
      </c>
      <c r="E10" s="168"/>
      <c r="F10" s="5" t="s">
        <v>8</v>
      </c>
      <c r="G10" s="109" t="s">
        <v>453</v>
      </c>
      <c r="H10" s="1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>
        <v>2</v>
      </c>
      <c r="X10" s="5"/>
      <c r="Y10" s="5"/>
      <c r="Z10" s="5"/>
    </row>
    <row r="11" spans="1:26" ht="15" customHeight="1" x14ac:dyDescent="0.25">
      <c r="A11" s="48" t="s">
        <v>250</v>
      </c>
      <c r="B11" s="42" t="s">
        <v>265</v>
      </c>
      <c r="C11" s="5" t="s">
        <v>30</v>
      </c>
      <c r="D11" s="167">
        <v>16528</v>
      </c>
      <c r="E11" s="168"/>
      <c r="F11" s="5" t="s">
        <v>271</v>
      </c>
      <c r="G11" s="109" t="s">
        <v>453</v>
      </c>
      <c r="H11" s="1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>
        <v>1</v>
      </c>
      <c r="X11" s="5"/>
      <c r="Y11" s="5"/>
      <c r="Z11" s="5"/>
    </row>
    <row r="12" spans="1:26" x14ac:dyDescent="0.25">
      <c r="A12" s="48" t="s">
        <v>250</v>
      </c>
      <c r="B12" s="42" t="s">
        <v>270</v>
      </c>
      <c r="C12" s="5" t="s">
        <v>30</v>
      </c>
      <c r="D12" s="12">
        <v>16386</v>
      </c>
      <c r="E12" s="12">
        <v>16650</v>
      </c>
      <c r="F12" s="5" t="s">
        <v>8</v>
      </c>
      <c r="G12" s="109" t="s">
        <v>453</v>
      </c>
      <c r="H12" s="110"/>
      <c r="I12" s="5"/>
      <c r="J12" s="5"/>
      <c r="K12" s="5"/>
      <c r="L12" s="9">
        <f xml:space="preserve"> ROUNDUP(Q12/40, 0)</f>
        <v>7</v>
      </c>
      <c r="M12" s="5"/>
      <c r="N12" s="5"/>
      <c r="O12" s="5"/>
      <c r="P12" s="5"/>
      <c r="Q12" s="45">
        <f xml:space="preserve"> E12-D12</f>
        <v>264</v>
      </c>
      <c r="R12" s="16"/>
      <c r="S12" s="16"/>
      <c r="T12" s="5"/>
      <c r="U12" s="5"/>
      <c r="V12" s="5"/>
      <c r="W12" s="5"/>
      <c r="X12" s="5"/>
      <c r="Y12" s="5"/>
      <c r="Z12" s="5"/>
    </row>
    <row r="13" spans="1:26" x14ac:dyDescent="0.25">
      <c r="A13" s="48" t="s">
        <v>250</v>
      </c>
      <c r="B13" s="42" t="s">
        <v>266</v>
      </c>
      <c r="C13" s="5" t="s">
        <v>269</v>
      </c>
      <c r="D13" s="107" t="s">
        <v>467</v>
      </c>
      <c r="E13" s="108"/>
      <c r="F13" s="5" t="s">
        <v>8</v>
      </c>
      <c r="G13" s="109" t="s">
        <v>453</v>
      </c>
      <c r="H13" s="1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>
        <v>2</v>
      </c>
      <c r="X13" s="5"/>
      <c r="Y13" s="5"/>
      <c r="Z13" s="5"/>
    </row>
    <row r="14" spans="1:26" x14ac:dyDescent="0.25">
      <c r="A14" s="48" t="s">
        <v>250</v>
      </c>
      <c r="B14" s="42" t="s">
        <v>267</v>
      </c>
      <c r="C14" s="5" t="s">
        <v>269</v>
      </c>
      <c r="D14" s="107" t="s">
        <v>468</v>
      </c>
      <c r="E14" s="108"/>
      <c r="F14" s="5" t="s">
        <v>8</v>
      </c>
      <c r="G14" s="109" t="s">
        <v>453</v>
      </c>
      <c r="H14" s="1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>
        <v>1</v>
      </c>
      <c r="X14" s="5"/>
      <c r="Y14" s="5"/>
      <c r="Z14" s="5"/>
    </row>
    <row r="15" spans="1:26" x14ac:dyDescent="0.25">
      <c r="A15" s="48"/>
      <c r="B15" s="42"/>
      <c r="C15" s="5"/>
      <c r="D15" s="107"/>
      <c r="E15" s="108"/>
      <c r="F15" s="5"/>
      <c r="G15" s="86"/>
      <c r="H15" s="8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48" t="s">
        <v>250</v>
      </c>
      <c r="B16" s="42" t="s">
        <v>268</v>
      </c>
      <c r="C16" s="5" t="s">
        <v>269</v>
      </c>
      <c r="D16" s="107" t="s">
        <v>469</v>
      </c>
      <c r="E16" s="108"/>
      <c r="F16" s="5" t="s">
        <v>8</v>
      </c>
      <c r="G16" s="109" t="s">
        <v>453</v>
      </c>
      <c r="H16" s="11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>
        <v>2</v>
      </c>
      <c r="X16" s="5"/>
      <c r="Y16" s="5"/>
      <c r="Z16" s="5"/>
    </row>
    <row r="17" spans="1:26" x14ac:dyDescent="0.25">
      <c r="A17" s="60" t="s">
        <v>250</v>
      </c>
      <c r="B17" s="61" t="s">
        <v>272</v>
      </c>
      <c r="C17" s="22" t="s">
        <v>269</v>
      </c>
      <c r="D17" s="172" t="s">
        <v>470</v>
      </c>
      <c r="E17" s="172"/>
      <c r="F17" s="22" t="s">
        <v>8</v>
      </c>
      <c r="G17" s="109" t="s">
        <v>453</v>
      </c>
      <c r="H17" s="110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19"/>
      <c r="V17" s="19"/>
      <c r="W17" s="18">
        <v>1</v>
      </c>
      <c r="X17" s="19"/>
      <c r="Y17" s="18"/>
      <c r="Z17" s="19"/>
    </row>
    <row r="18" spans="1:26" x14ac:dyDescent="0.25">
      <c r="A18" s="48" t="s">
        <v>250</v>
      </c>
      <c r="B18" s="61" t="s">
        <v>491</v>
      </c>
      <c r="C18" s="22" t="s">
        <v>30</v>
      </c>
      <c r="D18" s="62">
        <v>16261</v>
      </c>
      <c r="E18" s="62">
        <v>16363</v>
      </c>
      <c r="F18" s="22" t="s">
        <v>7</v>
      </c>
      <c r="G18" s="109" t="s">
        <v>453</v>
      </c>
      <c r="H18" s="110"/>
      <c r="I18" s="22"/>
      <c r="J18" s="22"/>
      <c r="K18" s="22"/>
      <c r="L18" s="22"/>
      <c r="M18" s="22"/>
      <c r="N18" s="22"/>
      <c r="O18" s="22"/>
      <c r="P18" s="22"/>
      <c r="Q18" s="22"/>
      <c r="R18" s="18">
        <f xml:space="preserve"> E18-D18</f>
        <v>102</v>
      </c>
      <c r="S18" s="22"/>
      <c r="T18" s="22"/>
      <c r="U18" s="19"/>
      <c r="V18" s="19"/>
      <c r="W18" s="18"/>
      <c r="X18" s="19"/>
      <c r="Y18" s="18"/>
      <c r="Z18" s="19"/>
    </row>
    <row r="19" spans="1:26" x14ac:dyDescent="0.25">
      <c r="A19" s="60" t="s">
        <v>250</v>
      </c>
      <c r="B19" s="61" t="s">
        <v>492</v>
      </c>
      <c r="C19" s="22" t="s">
        <v>493</v>
      </c>
      <c r="D19" s="62">
        <v>16235</v>
      </c>
      <c r="E19" s="62">
        <v>4764</v>
      </c>
      <c r="F19" s="22" t="s">
        <v>8</v>
      </c>
      <c r="G19" s="109" t="s">
        <v>453</v>
      </c>
      <c r="H19" s="110"/>
      <c r="I19" s="22"/>
      <c r="J19" s="22"/>
      <c r="K19" s="22"/>
      <c r="L19" s="22"/>
      <c r="M19" s="22"/>
      <c r="N19" s="22"/>
      <c r="O19" s="22"/>
      <c r="P19" s="22"/>
      <c r="Q19" s="22"/>
      <c r="R19" s="22">
        <v>87</v>
      </c>
      <c r="S19" s="22"/>
      <c r="T19" s="22"/>
      <c r="U19" s="19"/>
      <c r="V19" s="19"/>
      <c r="W19" s="18"/>
      <c r="X19" s="19"/>
      <c r="Y19" s="18"/>
      <c r="Z19" s="19"/>
    </row>
    <row r="20" spans="1:26" x14ac:dyDescent="0.25">
      <c r="A20" s="74"/>
      <c r="B20" s="71"/>
      <c r="C20" s="71"/>
      <c r="D20" s="133"/>
      <c r="E20" s="133"/>
      <c r="F20" s="71"/>
      <c r="G20" s="109"/>
      <c r="H20" s="11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5">
      <c r="A21" s="48" t="s">
        <v>284</v>
      </c>
      <c r="B21" s="42" t="s">
        <v>205</v>
      </c>
      <c r="C21" s="5" t="s">
        <v>30</v>
      </c>
      <c r="D21" s="12">
        <v>16650</v>
      </c>
      <c r="E21" s="12">
        <v>16695</v>
      </c>
      <c r="F21" s="5" t="s">
        <v>8</v>
      </c>
      <c r="G21" s="109" t="s">
        <v>453</v>
      </c>
      <c r="H21" s="110"/>
      <c r="I21" s="5"/>
      <c r="J21" s="5"/>
      <c r="K21" s="5"/>
      <c r="L21" s="9">
        <v>3</v>
      </c>
      <c r="M21" s="5"/>
      <c r="N21" s="6">
        <f xml:space="preserve"> (E21-D21)/5280</f>
        <v>8.5227272727272721E-3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5">
      <c r="A22" s="48" t="s">
        <v>284</v>
      </c>
      <c r="B22" s="42" t="s">
        <v>304</v>
      </c>
      <c r="C22" s="5" t="s">
        <v>30</v>
      </c>
      <c r="D22" s="12">
        <v>16650</v>
      </c>
      <c r="E22" s="12">
        <v>16695</v>
      </c>
      <c r="F22" s="5" t="s">
        <v>8</v>
      </c>
      <c r="G22" s="109" t="s">
        <v>453</v>
      </c>
      <c r="H22" s="110"/>
      <c r="I22" s="5"/>
      <c r="J22" s="5"/>
      <c r="K22" s="5"/>
      <c r="L22" s="5">
        <v>3</v>
      </c>
      <c r="M22" s="5"/>
      <c r="N22" s="5"/>
      <c r="O22" s="6">
        <f xml:space="preserve"> (E22-D22)/5280</f>
        <v>8.5227272727272721E-3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5">
      <c r="A23" s="48" t="s">
        <v>284</v>
      </c>
      <c r="B23" s="42" t="s">
        <v>257</v>
      </c>
      <c r="C23" s="5" t="s">
        <v>471</v>
      </c>
      <c r="D23" s="12">
        <v>16650</v>
      </c>
      <c r="E23" s="12" t="s">
        <v>472</v>
      </c>
      <c r="F23" s="5" t="s">
        <v>8</v>
      </c>
      <c r="G23" s="109" t="s">
        <v>453</v>
      </c>
      <c r="H23" s="110"/>
      <c r="I23" s="5"/>
      <c r="J23" s="5"/>
      <c r="K23" s="5"/>
      <c r="L23" s="5"/>
      <c r="M23" s="5"/>
      <c r="N23" s="5"/>
      <c r="O23" s="5"/>
      <c r="P23" s="6">
        <f xml:space="preserve"> (458+172+175+56+72+41+47)/5280</f>
        <v>0.19337121212121211</v>
      </c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5">
      <c r="A24" s="48" t="s">
        <v>284</v>
      </c>
      <c r="B24" s="42" t="s">
        <v>273</v>
      </c>
      <c r="C24" s="5" t="s">
        <v>30</v>
      </c>
      <c r="D24" s="107">
        <v>16695</v>
      </c>
      <c r="E24" s="108"/>
      <c r="F24" s="5" t="s">
        <v>8</v>
      </c>
      <c r="G24" s="109" t="s">
        <v>453</v>
      </c>
      <c r="H24" s="110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v>11</v>
      </c>
      <c r="U24" s="5"/>
      <c r="V24" s="5"/>
      <c r="W24" s="5"/>
      <c r="X24" s="5"/>
      <c r="Y24" s="5"/>
      <c r="Z24" s="5"/>
    </row>
    <row r="25" spans="1:26" x14ac:dyDescent="0.25">
      <c r="A25" s="48" t="s">
        <v>284</v>
      </c>
      <c r="B25" s="16" t="s">
        <v>280</v>
      </c>
      <c r="C25" s="5" t="s">
        <v>30</v>
      </c>
      <c r="D25" s="107">
        <v>16845</v>
      </c>
      <c r="E25" s="108"/>
      <c r="F25" s="5" t="s">
        <v>8</v>
      </c>
      <c r="G25" s="109" t="s">
        <v>453</v>
      </c>
      <c r="H25" s="110"/>
      <c r="I25" s="5"/>
      <c r="J25" s="5"/>
      <c r="K25" s="5"/>
      <c r="L25" s="5"/>
      <c r="M25" s="5"/>
      <c r="N25" s="5"/>
      <c r="O25" s="5"/>
      <c r="P25" s="42"/>
      <c r="Q25" s="5"/>
      <c r="R25" s="5"/>
      <c r="S25" s="5"/>
      <c r="T25" s="5">
        <v>22</v>
      </c>
      <c r="U25" s="5"/>
      <c r="V25" s="5"/>
      <c r="W25" s="5"/>
      <c r="X25" s="5"/>
      <c r="Y25" s="5"/>
      <c r="Z25" s="5"/>
    </row>
    <row r="26" spans="1:26" x14ac:dyDescent="0.25">
      <c r="A26" s="48"/>
      <c r="B26" s="16"/>
      <c r="C26" s="5"/>
      <c r="D26" s="109"/>
      <c r="E26" s="110"/>
      <c r="F26" s="5"/>
      <c r="G26" s="109"/>
      <c r="H26" s="11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5">
      <c r="A27" s="48" t="s">
        <v>284</v>
      </c>
      <c r="B27" s="16" t="s">
        <v>440</v>
      </c>
      <c r="C27" s="5" t="s">
        <v>30</v>
      </c>
      <c r="D27" s="12">
        <v>16845</v>
      </c>
      <c r="E27" s="12">
        <v>17098</v>
      </c>
      <c r="F27" s="5" t="s">
        <v>8</v>
      </c>
      <c r="G27" s="109" t="s">
        <v>453</v>
      </c>
      <c r="H27" s="110"/>
      <c r="I27" s="5"/>
      <c r="J27" s="5"/>
      <c r="K27" s="5"/>
      <c r="L27" s="9">
        <f xml:space="preserve"> ROUNDUP(Q27/40, 0)</f>
        <v>7</v>
      </c>
      <c r="M27" s="5"/>
      <c r="N27" s="5"/>
      <c r="O27" s="5"/>
      <c r="P27" s="5"/>
      <c r="Q27" s="5">
        <f>E27-D27</f>
        <v>253</v>
      </c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5">
      <c r="A28" s="48" t="s">
        <v>284</v>
      </c>
      <c r="B28" s="16" t="s">
        <v>259</v>
      </c>
      <c r="C28" s="5" t="s">
        <v>30</v>
      </c>
      <c r="D28" s="12">
        <v>16845</v>
      </c>
      <c r="E28" s="12">
        <v>17506</v>
      </c>
      <c r="F28" s="5" t="s">
        <v>8</v>
      </c>
      <c r="G28" s="109" t="s">
        <v>453</v>
      </c>
      <c r="H28" s="110"/>
      <c r="I28" s="5"/>
      <c r="J28" s="5"/>
      <c r="K28" s="5"/>
      <c r="L28" s="5">
        <f xml:space="preserve"> ROUNDUP((O28*5280)/80, 0)</f>
        <v>9</v>
      </c>
      <c r="M28" s="5"/>
      <c r="N28" s="5"/>
      <c r="O28" s="6">
        <f xml:space="preserve"> (253+178+181+50)/5280</f>
        <v>0.12537878787878787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5">
      <c r="A29" s="48" t="s">
        <v>284</v>
      </c>
      <c r="B29" s="16" t="s">
        <v>281</v>
      </c>
      <c r="C29" s="5" t="s">
        <v>30</v>
      </c>
      <c r="D29" s="12">
        <v>16845</v>
      </c>
      <c r="E29" s="12">
        <v>17506</v>
      </c>
      <c r="F29" s="42" t="s">
        <v>8</v>
      </c>
      <c r="G29" s="109" t="s">
        <v>453</v>
      </c>
      <c r="H29" s="110"/>
      <c r="I29" s="5"/>
      <c r="J29" s="5"/>
      <c r="K29" s="5"/>
      <c r="L29" s="5"/>
      <c r="M29" s="5"/>
      <c r="N29" s="5"/>
      <c r="O29" s="5"/>
      <c r="P29" s="6">
        <f xml:space="preserve"> (E29-D29)/5280</f>
        <v>0.12518939393939393</v>
      </c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5">
      <c r="A30" s="48" t="s">
        <v>284</v>
      </c>
      <c r="B30" s="55" t="s">
        <v>282</v>
      </c>
      <c r="C30" s="5" t="s">
        <v>30</v>
      </c>
      <c r="D30" s="12">
        <v>17098</v>
      </c>
      <c r="E30" s="12">
        <v>17272</v>
      </c>
      <c r="F30" s="5" t="s">
        <v>8</v>
      </c>
      <c r="G30" s="109" t="s">
        <v>453</v>
      </c>
      <c r="H30" s="110"/>
      <c r="I30" s="5"/>
      <c r="J30" s="5"/>
      <c r="K30" s="5"/>
      <c r="L30" s="5">
        <f xml:space="preserve"> ROUNDUP( (N30*5280)/80, 0)</f>
        <v>3</v>
      </c>
      <c r="M30" s="5"/>
      <c r="N30" s="6">
        <f xml:space="preserve"> (E30-D30)/5280</f>
        <v>3.2954545454545452E-2</v>
      </c>
      <c r="O30" s="5"/>
      <c r="P30" s="44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5">
      <c r="A31" s="48" t="s">
        <v>284</v>
      </c>
      <c r="B31" s="42" t="s">
        <v>274</v>
      </c>
      <c r="C31" s="5" t="s">
        <v>30</v>
      </c>
      <c r="D31" s="107">
        <v>16860</v>
      </c>
      <c r="E31" s="108"/>
      <c r="F31" s="5" t="s">
        <v>8</v>
      </c>
      <c r="G31" s="109" t="s">
        <v>453</v>
      </c>
      <c r="H31" s="110"/>
      <c r="I31" s="5"/>
      <c r="J31" s="5"/>
      <c r="K31" s="5"/>
      <c r="L31" s="5"/>
      <c r="M31" s="5"/>
      <c r="N31" s="16"/>
      <c r="O31" s="5"/>
      <c r="P31" s="5"/>
      <c r="Q31" s="5"/>
      <c r="R31" s="5"/>
      <c r="S31" s="5"/>
      <c r="T31" s="5"/>
      <c r="U31" s="5"/>
      <c r="V31" s="5"/>
      <c r="W31" s="5">
        <v>1</v>
      </c>
      <c r="X31" s="5"/>
      <c r="Y31" s="5"/>
      <c r="Z31" s="5"/>
    </row>
    <row r="32" spans="1:26" x14ac:dyDescent="0.25">
      <c r="A32" s="48"/>
      <c r="B32" s="42"/>
      <c r="C32" s="5"/>
      <c r="D32" s="107"/>
      <c r="E32" s="108"/>
      <c r="F32" s="5"/>
      <c r="G32" s="109"/>
      <c r="H32" s="110"/>
      <c r="I32" s="5"/>
      <c r="J32" s="5"/>
      <c r="K32" s="5"/>
      <c r="L32" s="5"/>
      <c r="M32" s="5"/>
      <c r="N32" s="1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5">
      <c r="A33" s="48" t="s">
        <v>284</v>
      </c>
      <c r="B33" s="42" t="s">
        <v>275</v>
      </c>
      <c r="C33" s="5" t="s">
        <v>30</v>
      </c>
      <c r="D33" s="107">
        <v>16860</v>
      </c>
      <c r="E33" s="108"/>
      <c r="F33" s="5" t="s">
        <v>8</v>
      </c>
      <c r="G33" s="109" t="s">
        <v>453</v>
      </c>
      <c r="H33" s="110"/>
      <c r="I33" s="42"/>
      <c r="J33" s="42"/>
      <c r="K33" s="5"/>
      <c r="L33" s="5"/>
      <c r="M33" s="5"/>
      <c r="N33" s="42"/>
      <c r="O33" s="42"/>
      <c r="P33" s="5"/>
      <c r="Q33" s="42"/>
      <c r="R33" s="42"/>
      <c r="S33" s="42"/>
      <c r="T33" s="42"/>
      <c r="U33" s="42"/>
      <c r="V33" s="42"/>
      <c r="W33" s="42">
        <v>2</v>
      </c>
      <c r="X33" s="42"/>
      <c r="Y33" s="5"/>
      <c r="Z33" s="5"/>
    </row>
    <row r="34" spans="1:26" x14ac:dyDescent="0.25">
      <c r="A34" s="48" t="s">
        <v>284</v>
      </c>
      <c r="B34" s="42" t="s">
        <v>276</v>
      </c>
      <c r="C34" s="5" t="s">
        <v>30</v>
      </c>
      <c r="D34" s="107" t="s">
        <v>301</v>
      </c>
      <c r="E34" s="108"/>
      <c r="F34" s="5" t="s">
        <v>8</v>
      </c>
      <c r="G34" s="109" t="s">
        <v>453</v>
      </c>
      <c r="H34" s="1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>
        <v>1</v>
      </c>
      <c r="X34" s="5"/>
      <c r="Y34" s="5"/>
      <c r="Z34" s="5"/>
    </row>
    <row r="35" spans="1:26" x14ac:dyDescent="0.25">
      <c r="A35" s="48" t="s">
        <v>284</v>
      </c>
      <c r="B35" s="42" t="s">
        <v>277</v>
      </c>
      <c r="C35" s="5" t="s">
        <v>30</v>
      </c>
      <c r="D35" s="107" t="s">
        <v>301</v>
      </c>
      <c r="E35" s="108"/>
      <c r="F35" s="5" t="s">
        <v>8</v>
      </c>
      <c r="G35" s="109" t="s">
        <v>453</v>
      </c>
      <c r="H35" s="11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>
        <v>2</v>
      </c>
      <c r="X35" s="5"/>
      <c r="Y35" s="5"/>
      <c r="Z35" s="5"/>
    </row>
    <row r="36" spans="1:26" x14ac:dyDescent="0.25">
      <c r="A36" s="48" t="s">
        <v>284</v>
      </c>
      <c r="B36" s="42" t="s">
        <v>278</v>
      </c>
      <c r="C36" s="5" t="s">
        <v>30</v>
      </c>
      <c r="D36" s="107">
        <v>16988</v>
      </c>
      <c r="E36" s="108"/>
      <c r="F36" s="42" t="s">
        <v>8</v>
      </c>
      <c r="G36" s="109" t="s">
        <v>453</v>
      </c>
      <c r="H36" s="110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>
        <v>1</v>
      </c>
      <c r="X36" s="5"/>
      <c r="Y36" s="5"/>
      <c r="Z36" s="5"/>
    </row>
    <row r="37" spans="1:26" x14ac:dyDescent="0.25">
      <c r="A37" s="48" t="s">
        <v>284</v>
      </c>
      <c r="B37" s="42" t="s">
        <v>279</v>
      </c>
      <c r="C37" s="5" t="s">
        <v>30</v>
      </c>
      <c r="D37" s="107">
        <v>16988</v>
      </c>
      <c r="E37" s="108"/>
      <c r="F37" s="5" t="s">
        <v>8</v>
      </c>
      <c r="G37" s="109" t="s">
        <v>453</v>
      </c>
      <c r="H37" s="110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>
        <v>2</v>
      </c>
      <c r="X37" s="5"/>
      <c r="Y37" s="5"/>
      <c r="Z37" s="5"/>
    </row>
    <row r="38" spans="1:26" x14ac:dyDescent="0.25">
      <c r="A38" s="48"/>
      <c r="B38" s="42"/>
      <c r="C38" s="5"/>
      <c r="D38" s="107"/>
      <c r="E38" s="108"/>
      <c r="F38" s="5"/>
      <c r="G38" s="109"/>
      <c r="H38" s="11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5">
      <c r="A39" s="48" t="s">
        <v>284</v>
      </c>
      <c r="B39" s="42" t="s">
        <v>439</v>
      </c>
      <c r="C39" s="5" t="s">
        <v>30</v>
      </c>
      <c r="D39" s="12">
        <v>17272</v>
      </c>
      <c r="E39" s="12">
        <v>17512</v>
      </c>
      <c r="F39" s="5" t="s">
        <v>8</v>
      </c>
      <c r="G39" s="109" t="s">
        <v>453</v>
      </c>
      <c r="H39" s="110"/>
      <c r="I39" s="5"/>
      <c r="J39" s="5"/>
      <c r="K39" s="5"/>
      <c r="L39" s="5">
        <f xml:space="preserve"> ROUNDUP((O39*5280)/80, 0)</f>
        <v>3</v>
      </c>
      <c r="M39" s="5"/>
      <c r="N39" s="5"/>
      <c r="O39" s="6">
        <f>(E39-D39)/5280</f>
        <v>4.5454545454545456E-2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5">
      <c r="A40" s="48" t="s">
        <v>284</v>
      </c>
      <c r="B40" s="42" t="s">
        <v>441</v>
      </c>
      <c r="C40" s="5" t="s">
        <v>30</v>
      </c>
      <c r="D40" s="12">
        <v>17272</v>
      </c>
      <c r="E40" s="12">
        <v>17506</v>
      </c>
      <c r="F40" s="5" t="s">
        <v>8</v>
      </c>
      <c r="G40" s="109" t="s">
        <v>453</v>
      </c>
      <c r="H40" s="110"/>
      <c r="I40" s="5"/>
      <c r="J40" s="5"/>
      <c r="K40" s="5"/>
      <c r="L40" s="5"/>
      <c r="M40" s="5"/>
      <c r="N40" s="5"/>
      <c r="O40" s="6"/>
      <c r="P40" s="5"/>
      <c r="Q40" s="5"/>
      <c r="R40" s="5"/>
      <c r="S40" s="5"/>
      <c r="T40" s="5"/>
      <c r="U40" s="5"/>
      <c r="V40" s="5">
        <v>263</v>
      </c>
      <c r="W40" s="5"/>
      <c r="X40" s="5"/>
      <c r="Y40" s="5"/>
      <c r="Z40" s="5"/>
    </row>
    <row r="41" spans="1:26" ht="15" customHeight="1" x14ac:dyDescent="0.25">
      <c r="A41" s="48" t="s">
        <v>284</v>
      </c>
      <c r="B41" s="16" t="s">
        <v>283</v>
      </c>
      <c r="C41" s="5" t="s">
        <v>30</v>
      </c>
      <c r="D41" s="12">
        <v>17275</v>
      </c>
      <c r="E41" s="12">
        <v>17506</v>
      </c>
      <c r="F41" s="5" t="s">
        <v>8</v>
      </c>
      <c r="G41" s="109" t="s">
        <v>453</v>
      </c>
      <c r="H41" s="110"/>
      <c r="I41" s="5"/>
      <c r="J41" s="5"/>
      <c r="K41" s="5"/>
      <c r="L41" s="9">
        <f xml:space="preserve"> ROUNDUP(Q41/40, 0)</f>
        <v>6</v>
      </c>
      <c r="M41" s="5"/>
      <c r="N41" s="5"/>
      <c r="O41" s="5"/>
      <c r="P41" s="5"/>
      <c r="Q41" s="7">
        <f xml:space="preserve"> E41-D41</f>
        <v>231</v>
      </c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 x14ac:dyDescent="0.25">
      <c r="A42" s="48" t="s">
        <v>284</v>
      </c>
      <c r="B42" s="16" t="s">
        <v>285</v>
      </c>
      <c r="C42" s="5" t="s">
        <v>30</v>
      </c>
      <c r="D42" s="107">
        <v>17364</v>
      </c>
      <c r="E42" s="108"/>
      <c r="F42" s="5" t="s">
        <v>8</v>
      </c>
      <c r="G42" s="109" t="s">
        <v>453</v>
      </c>
      <c r="H42" s="110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>
        <v>1</v>
      </c>
      <c r="X42" s="5"/>
      <c r="Y42" s="5"/>
      <c r="Z42" s="5"/>
    </row>
    <row r="43" spans="1:26" ht="15" customHeight="1" x14ac:dyDescent="0.25">
      <c r="A43" s="48" t="s">
        <v>284</v>
      </c>
      <c r="B43" s="16" t="s">
        <v>286</v>
      </c>
      <c r="C43" s="5" t="s">
        <v>30</v>
      </c>
      <c r="D43" s="107">
        <v>17364</v>
      </c>
      <c r="E43" s="108"/>
      <c r="F43" s="5" t="s">
        <v>8</v>
      </c>
      <c r="G43" s="109" t="s">
        <v>453</v>
      </c>
      <c r="H43" s="11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>
        <v>1</v>
      </c>
      <c r="X43" s="5"/>
      <c r="Y43" s="5"/>
      <c r="Z43" s="5"/>
    </row>
    <row r="44" spans="1:26" ht="15" customHeight="1" x14ac:dyDescent="0.25">
      <c r="A44" s="48"/>
      <c r="B44" s="16"/>
      <c r="C44" s="5"/>
      <c r="D44" s="107"/>
      <c r="E44" s="108"/>
      <c r="F44" s="5"/>
      <c r="G44" s="109"/>
      <c r="H44" s="110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customHeight="1" x14ac:dyDescent="0.25">
      <c r="A45" s="48" t="s">
        <v>284</v>
      </c>
      <c r="B45" s="16" t="s">
        <v>287</v>
      </c>
      <c r="C45" s="5" t="s">
        <v>30</v>
      </c>
      <c r="D45" s="107">
        <v>17430</v>
      </c>
      <c r="E45" s="108"/>
      <c r="F45" s="42" t="s">
        <v>8</v>
      </c>
      <c r="G45" s="109" t="s">
        <v>453</v>
      </c>
      <c r="H45" s="110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>
        <v>1</v>
      </c>
      <c r="X45" s="5"/>
      <c r="Y45" s="5"/>
      <c r="Z45" s="5"/>
    </row>
    <row r="46" spans="1:26" ht="15" customHeight="1" x14ac:dyDescent="0.25">
      <c r="A46" s="48" t="s">
        <v>284</v>
      </c>
      <c r="B46" s="16" t="s">
        <v>288</v>
      </c>
      <c r="C46" s="5" t="s">
        <v>30</v>
      </c>
      <c r="D46" s="107">
        <v>17430</v>
      </c>
      <c r="E46" s="108"/>
      <c r="F46" s="5" t="s">
        <v>8</v>
      </c>
      <c r="G46" s="109" t="s">
        <v>453</v>
      </c>
      <c r="H46" s="110"/>
      <c r="I46" s="5"/>
      <c r="J46" s="5"/>
      <c r="K46" s="5"/>
      <c r="L46" s="5"/>
      <c r="M46" s="5"/>
      <c r="N46" s="5"/>
      <c r="O46" s="5"/>
      <c r="P46" s="16"/>
      <c r="Q46" s="7"/>
      <c r="R46" s="5"/>
      <c r="S46" s="5"/>
      <c r="T46" s="5"/>
      <c r="U46" s="5"/>
      <c r="V46" s="5"/>
      <c r="W46" s="5">
        <v>1</v>
      </c>
      <c r="X46" s="5"/>
      <c r="Y46" s="5"/>
      <c r="Z46" s="5"/>
    </row>
    <row r="47" spans="1:26" ht="15" customHeight="1" x14ac:dyDescent="0.25">
      <c r="A47" s="48" t="s">
        <v>284</v>
      </c>
      <c r="B47" s="16" t="s">
        <v>289</v>
      </c>
      <c r="C47" s="5" t="s">
        <v>30</v>
      </c>
      <c r="D47" s="107">
        <v>17496</v>
      </c>
      <c r="E47" s="108"/>
      <c r="F47" s="5" t="s">
        <v>8</v>
      </c>
      <c r="G47" s="109" t="s">
        <v>453</v>
      </c>
      <c r="H47" s="110"/>
      <c r="I47" s="5"/>
      <c r="J47" s="5"/>
      <c r="K47" s="5"/>
      <c r="L47" s="5"/>
      <c r="M47" s="5"/>
      <c r="N47" s="5"/>
      <c r="O47" s="6"/>
      <c r="P47" s="5"/>
      <c r="Q47" s="5"/>
      <c r="R47" s="5"/>
      <c r="S47" s="5"/>
      <c r="T47" s="5"/>
      <c r="U47" s="5"/>
      <c r="V47" s="5"/>
      <c r="W47" s="5">
        <v>1</v>
      </c>
      <c r="X47" s="5"/>
      <c r="Y47" s="5"/>
      <c r="Z47" s="5"/>
    </row>
    <row r="48" spans="1:26" ht="15" customHeight="1" x14ac:dyDescent="0.25">
      <c r="A48" s="48" t="s">
        <v>284</v>
      </c>
      <c r="B48" s="42" t="s">
        <v>291</v>
      </c>
      <c r="C48" s="5" t="s">
        <v>30</v>
      </c>
      <c r="D48" s="107">
        <v>17506</v>
      </c>
      <c r="E48" s="108"/>
      <c r="F48" s="5" t="s">
        <v>8</v>
      </c>
      <c r="G48" s="109" t="s">
        <v>453</v>
      </c>
      <c r="H48" s="110"/>
      <c r="I48" s="5"/>
      <c r="J48" s="5"/>
      <c r="K48" s="5"/>
      <c r="L48" s="5"/>
      <c r="M48" s="5"/>
      <c r="N48" s="5"/>
      <c r="O48" s="5"/>
      <c r="P48" s="7"/>
      <c r="Q48" s="5"/>
      <c r="R48" s="5"/>
      <c r="S48" s="5"/>
      <c r="T48" s="5">
        <v>11</v>
      </c>
      <c r="U48" s="5"/>
      <c r="V48" s="5"/>
      <c r="W48" s="5"/>
      <c r="X48" s="5"/>
      <c r="Y48" s="5"/>
      <c r="Z48" s="5"/>
    </row>
    <row r="49" spans="1:26" ht="15" customHeight="1" x14ac:dyDescent="0.25">
      <c r="A49" s="48" t="s">
        <v>284</v>
      </c>
      <c r="B49" s="42" t="s">
        <v>293</v>
      </c>
      <c r="C49" s="5" t="s">
        <v>31</v>
      </c>
      <c r="D49" s="107">
        <v>1080</v>
      </c>
      <c r="E49" s="108"/>
      <c r="F49" s="42" t="s">
        <v>8</v>
      </c>
      <c r="G49" s="97" t="s">
        <v>452</v>
      </c>
      <c r="H49" s="98"/>
      <c r="I49" s="42"/>
      <c r="J49" s="42"/>
      <c r="K49" s="5"/>
      <c r="L49" s="5"/>
      <c r="M49" s="5"/>
      <c r="N49" s="42"/>
      <c r="O49" s="42"/>
      <c r="P49" s="7"/>
      <c r="Q49" s="5"/>
      <c r="R49" s="5"/>
      <c r="S49" s="5"/>
      <c r="T49" s="5">
        <v>11</v>
      </c>
      <c r="U49" s="5"/>
      <c r="V49" s="5"/>
      <c r="W49" s="5"/>
      <c r="X49" s="5"/>
      <c r="Y49" s="5"/>
      <c r="Z49" s="5"/>
    </row>
    <row r="50" spans="1:26" ht="15" customHeight="1" x14ac:dyDescent="0.25">
      <c r="A50" s="48"/>
      <c r="B50" s="57"/>
      <c r="C50" s="5"/>
      <c r="D50" s="107"/>
      <c r="E50" s="108"/>
      <c r="F50" s="42"/>
      <c r="G50" s="97"/>
      <c r="H50" s="98"/>
      <c r="I50" s="42"/>
      <c r="J50" s="42"/>
      <c r="K50" s="5"/>
      <c r="L50" s="5"/>
      <c r="M50" s="5"/>
      <c r="N50" s="42"/>
      <c r="O50" s="42"/>
      <c r="P50" s="7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5">
      <c r="A51" s="48" t="s">
        <v>284</v>
      </c>
      <c r="B51" s="16" t="s">
        <v>294</v>
      </c>
      <c r="C51" s="5" t="s">
        <v>31</v>
      </c>
      <c r="D51" s="12">
        <v>1080</v>
      </c>
      <c r="E51" s="12">
        <v>1550</v>
      </c>
      <c r="F51" s="5" t="s">
        <v>8</v>
      </c>
      <c r="G51" s="97" t="s">
        <v>452</v>
      </c>
      <c r="H51" s="98"/>
      <c r="I51" s="5"/>
      <c r="J51" s="5"/>
      <c r="K51" s="5"/>
      <c r="L51" s="5">
        <f xml:space="preserve"> 400/40 + ROUNDUP((1550-400)/80, 0)</f>
        <v>25</v>
      </c>
      <c r="M51" s="5"/>
      <c r="N51" s="5"/>
      <c r="O51" s="5"/>
      <c r="P51" s="6">
        <f xml:space="preserve"> (169+329)/5280</f>
        <v>9.4318181818181815E-2</v>
      </c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5">
      <c r="A52" s="48" t="s">
        <v>284</v>
      </c>
      <c r="B52" s="42" t="s">
        <v>295</v>
      </c>
      <c r="C52" s="5" t="s">
        <v>31</v>
      </c>
      <c r="D52" s="12">
        <v>1080</v>
      </c>
      <c r="E52" s="12">
        <v>1550</v>
      </c>
      <c r="F52" s="5" t="s">
        <v>8</v>
      </c>
      <c r="G52" s="97" t="s">
        <v>452</v>
      </c>
      <c r="H52" s="98"/>
      <c r="I52" s="5"/>
      <c r="J52" s="5"/>
      <c r="K52" s="5"/>
      <c r="L52" s="5">
        <f xml:space="preserve"> 400/40 + ROUNDUP((1550-400)/80, 0)</f>
        <v>25</v>
      </c>
      <c r="M52" s="5"/>
      <c r="N52" s="5"/>
      <c r="O52" s="5"/>
      <c r="P52" s="6">
        <f xml:space="preserve"> (142+328)/5280</f>
        <v>8.9015151515151519E-2</v>
      </c>
      <c r="Q52" s="5"/>
      <c r="R52" s="43"/>
      <c r="S52" s="42"/>
      <c r="T52" s="42"/>
      <c r="U52" s="42"/>
      <c r="V52" s="42"/>
      <c r="W52" s="42"/>
      <c r="X52" s="42"/>
      <c r="Y52" s="42"/>
      <c r="Z52" s="5"/>
    </row>
    <row r="53" spans="1:26" ht="15" customHeight="1" x14ac:dyDescent="0.25">
      <c r="A53" s="48" t="s">
        <v>284</v>
      </c>
      <c r="B53" s="42" t="s">
        <v>296</v>
      </c>
      <c r="C53" s="5" t="s">
        <v>31</v>
      </c>
      <c r="D53" s="12">
        <v>1080</v>
      </c>
      <c r="E53" s="12">
        <v>1550</v>
      </c>
      <c r="F53" s="5" t="s">
        <v>42</v>
      </c>
      <c r="G53" s="97" t="s">
        <v>452</v>
      </c>
      <c r="H53" s="98"/>
      <c r="I53" s="5"/>
      <c r="J53" s="5"/>
      <c r="K53" s="5"/>
      <c r="L53" s="5"/>
      <c r="M53" s="5"/>
      <c r="N53" s="5"/>
      <c r="O53" s="5"/>
      <c r="P53" s="6">
        <f xml:space="preserve"> (120+338)/5280</f>
        <v>8.6742424242424246E-2</v>
      </c>
      <c r="Q53" s="5"/>
      <c r="R53" s="42"/>
      <c r="S53" s="42"/>
      <c r="T53" s="42"/>
      <c r="U53" s="42"/>
      <c r="V53" s="42"/>
      <c r="W53" s="42"/>
      <c r="X53" s="42"/>
      <c r="Y53" s="42"/>
      <c r="Z53" s="5"/>
    </row>
    <row r="54" spans="1:26" ht="15" customHeight="1" x14ac:dyDescent="0.25">
      <c r="A54" s="48" t="s">
        <v>284</v>
      </c>
      <c r="B54" s="57" t="s">
        <v>290</v>
      </c>
      <c r="C54" s="5" t="s">
        <v>31</v>
      </c>
      <c r="D54" s="107">
        <v>1090</v>
      </c>
      <c r="E54" s="108"/>
      <c r="F54" s="20" t="s">
        <v>8</v>
      </c>
      <c r="G54" s="97" t="s">
        <v>452</v>
      </c>
      <c r="H54" s="98"/>
      <c r="I54" s="5"/>
      <c r="J54" s="5"/>
      <c r="K54" s="5"/>
      <c r="L54" s="5"/>
      <c r="M54" s="5"/>
      <c r="N54" s="5"/>
      <c r="O54" s="6"/>
      <c r="P54" s="42"/>
      <c r="Q54" s="5"/>
      <c r="R54" s="5"/>
      <c r="S54" s="5"/>
      <c r="T54" s="5"/>
      <c r="U54" s="5"/>
      <c r="V54" s="5"/>
      <c r="W54" s="5">
        <v>2</v>
      </c>
      <c r="X54" s="5"/>
      <c r="Y54" s="5"/>
      <c r="Z54" s="5"/>
    </row>
    <row r="55" spans="1:26" ht="15" customHeight="1" x14ac:dyDescent="0.25">
      <c r="A55" s="48" t="s">
        <v>284</v>
      </c>
      <c r="B55" s="42" t="s">
        <v>292</v>
      </c>
      <c r="C55" s="5" t="s">
        <v>31</v>
      </c>
      <c r="D55" s="107">
        <v>1128</v>
      </c>
      <c r="E55" s="108"/>
      <c r="F55" s="5" t="s">
        <v>8</v>
      </c>
      <c r="G55" s="97" t="s">
        <v>452</v>
      </c>
      <c r="H55" s="98"/>
      <c r="I55" s="5"/>
      <c r="J55" s="5">
        <v>1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5">
      <c r="A56" s="48"/>
      <c r="B56" s="42"/>
      <c r="C56" s="5"/>
      <c r="D56" s="107"/>
      <c r="E56" s="108"/>
      <c r="F56" s="5"/>
      <c r="G56" s="97"/>
      <c r="H56" s="9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5">
      <c r="A57" s="48" t="s">
        <v>284</v>
      </c>
      <c r="B57" s="42" t="s">
        <v>297</v>
      </c>
      <c r="C57" s="5" t="s">
        <v>31</v>
      </c>
      <c r="D57" s="12">
        <v>1128</v>
      </c>
      <c r="E57" s="12">
        <v>1372</v>
      </c>
      <c r="F57" s="5" t="s">
        <v>8</v>
      </c>
      <c r="G57" s="97" t="s">
        <v>452</v>
      </c>
      <c r="H57" s="98"/>
      <c r="I57" s="7">
        <f xml:space="preserve"> 64+72</f>
        <v>136</v>
      </c>
      <c r="J57" s="5"/>
      <c r="K57" s="7">
        <f xml:space="preserve"> ROUNDUP((I57/50)*3, 0)</f>
        <v>9</v>
      </c>
      <c r="L57" s="7"/>
      <c r="M57" s="7">
        <f xml:space="preserve"> ROUNDUP((Y57/50), 0)</f>
        <v>5</v>
      </c>
      <c r="N57" s="6"/>
      <c r="O57" s="6"/>
      <c r="P57" s="6"/>
      <c r="Q57" s="7"/>
      <c r="R57" s="7"/>
      <c r="S57" s="6"/>
      <c r="T57" s="6"/>
      <c r="U57" s="6"/>
      <c r="V57" s="6"/>
      <c r="W57" s="6"/>
      <c r="X57" s="6"/>
      <c r="Y57" s="7">
        <f xml:space="preserve"> E57-D57</f>
        <v>244</v>
      </c>
      <c r="Z57" s="5"/>
    </row>
    <row r="58" spans="1:26" ht="15" customHeight="1" x14ac:dyDescent="0.25">
      <c r="A58" s="48" t="s">
        <v>284</v>
      </c>
      <c r="B58" s="42" t="s">
        <v>299</v>
      </c>
      <c r="C58" s="5" t="s">
        <v>31</v>
      </c>
      <c r="D58" s="12">
        <v>1239</v>
      </c>
      <c r="E58" s="12">
        <v>1550</v>
      </c>
      <c r="F58" s="5" t="s">
        <v>8</v>
      </c>
      <c r="G58" s="97" t="s">
        <v>452</v>
      </c>
      <c r="H58" s="98"/>
      <c r="I58" s="5"/>
      <c r="J58" s="5"/>
      <c r="K58" s="5"/>
      <c r="L58" s="5"/>
      <c r="M58" s="5"/>
      <c r="N58" s="5"/>
      <c r="O58" s="5"/>
      <c r="P58" s="6">
        <f xml:space="preserve"> (E58-D58)/5280</f>
        <v>5.8901515151515149E-2</v>
      </c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customHeight="1" x14ac:dyDescent="0.25">
      <c r="A59" s="48" t="s">
        <v>284</v>
      </c>
      <c r="B59" s="42" t="s">
        <v>300</v>
      </c>
      <c r="C59" s="5" t="s">
        <v>31</v>
      </c>
      <c r="D59" s="107">
        <v>1156</v>
      </c>
      <c r="E59" s="108"/>
      <c r="F59" s="5" t="s">
        <v>8</v>
      </c>
      <c r="G59" s="97" t="s">
        <v>452</v>
      </c>
      <c r="H59" s="98"/>
      <c r="I59" s="5"/>
      <c r="J59" s="5"/>
      <c r="K59" s="5"/>
      <c r="L59" s="5"/>
      <c r="M59" s="5"/>
      <c r="N59" s="5"/>
      <c r="O59" s="5"/>
      <c r="P59" s="6"/>
      <c r="Q59" s="5"/>
      <c r="R59" s="5"/>
      <c r="S59" s="5"/>
      <c r="T59" s="5"/>
      <c r="U59" s="5"/>
      <c r="V59" s="5"/>
      <c r="W59" s="5">
        <v>2</v>
      </c>
      <c r="X59" s="5"/>
      <c r="Y59" s="5"/>
      <c r="Z59" s="5"/>
    </row>
    <row r="60" spans="1:26" ht="15" customHeight="1" x14ac:dyDescent="0.25">
      <c r="A60" s="48" t="s">
        <v>284</v>
      </c>
      <c r="B60" s="42" t="s">
        <v>298</v>
      </c>
      <c r="C60" s="5" t="s">
        <v>31</v>
      </c>
      <c r="D60" s="107">
        <v>1372</v>
      </c>
      <c r="E60" s="108"/>
      <c r="F60" s="5" t="s">
        <v>8</v>
      </c>
      <c r="G60" s="97" t="s">
        <v>452</v>
      </c>
      <c r="H60" s="98"/>
      <c r="I60" s="5"/>
      <c r="J60" s="5">
        <v>1</v>
      </c>
      <c r="K60" s="5"/>
      <c r="L60" s="5"/>
      <c r="M60" s="5"/>
      <c r="N60" s="5"/>
      <c r="O60" s="5"/>
      <c r="P60" s="6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customHeight="1" x14ac:dyDescent="0.25">
      <c r="A61" s="42" t="s">
        <v>284</v>
      </c>
      <c r="B61" s="16" t="s">
        <v>474</v>
      </c>
      <c r="C61" s="16" t="s">
        <v>477</v>
      </c>
      <c r="D61" s="16" t="s">
        <v>476</v>
      </c>
      <c r="E61" s="16" t="s">
        <v>472</v>
      </c>
      <c r="F61" s="5" t="s">
        <v>42</v>
      </c>
      <c r="G61" s="97" t="s">
        <v>452</v>
      </c>
      <c r="H61" s="98"/>
      <c r="I61" s="5"/>
      <c r="J61" s="5"/>
      <c r="K61" s="5"/>
      <c r="L61" s="5">
        <f xml:space="preserve"> ROUNDUP((O61*5280)/80, 0)</f>
        <v>2</v>
      </c>
      <c r="M61" s="5"/>
      <c r="N61" s="5"/>
      <c r="O61" s="6">
        <f xml:space="preserve"> (20+52+50)/5280</f>
        <v>2.3106060606060606E-2</v>
      </c>
      <c r="P61" s="6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 x14ac:dyDescent="0.25">
      <c r="A62" s="42" t="s">
        <v>284</v>
      </c>
      <c r="B62" s="42" t="s">
        <v>475</v>
      </c>
      <c r="C62" s="5" t="s">
        <v>31</v>
      </c>
      <c r="D62" s="169" t="s">
        <v>476</v>
      </c>
      <c r="E62" s="169"/>
      <c r="F62" s="5" t="s">
        <v>8</v>
      </c>
      <c r="G62" s="97" t="s">
        <v>452</v>
      </c>
      <c r="H62" s="98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80">
        <v>15</v>
      </c>
      <c r="U62" s="73"/>
      <c r="V62" s="73"/>
      <c r="W62" s="73"/>
      <c r="X62" s="73"/>
      <c r="Y62" s="5"/>
      <c r="Z62" s="5"/>
    </row>
    <row r="63" spans="1:26" x14ac:dyDescent="0.25">
      <c r="A63" s="101" t="s">
        <v>432</v>
      </c>
      <c r="B63" s="102"/>
      <c r="C63" s="102"/>
      <c r="D63" s="102"/>
      <c r="E63" s="102"/>
      <c r="F63" s="103"/>
      <c r="G63" s="99" t="s">
        <v>452</v>
      </c>
      <c r="H63" s="99"/>
      <c r="I63" s="72">
        <f t="shared" ref="I63:Z63" si="0">SUM(I49:I62)</f>
        <v>136</v>
      </c>
      <c r="J63" s="72">
        <f t="shared" si="0"/>
        <v>2</v>
      </c>
      <c r="K63" s="72">
        <f t="shared" si="0"/>
        <v>9</v>
      </c>
      <c r="L63" s="72">
        <f t="shared" si="0"/>
        <v>52</v>
      </c>
      <c r="M63" s="72">
        <f t="shared" si="0"/>
        <v>5</v>
      </c>
      <c r="N63" s="75">
        <f t="shared" si="0"/>
        <v>0</v>
      </c>
      <c r="O63" s="75">
        <f t="shared" si="0"/>
        <v>2.3106060606060606E-2</v>
      </c>
      <c r="P63" s="75">
        <f t="shared" si="0"/>
        <v>0.32897727272727273</v>
      </c>
      <c r="Q63" s="72">
        <f t="shared" si="0"/>
        <v>0</v>
      </c>
      <c r="R63" s="72">
        <f t="shared" si="0"/>
        <v>0</v>
      </c>
      <c r="S63" s="72">
        <f t="shared" si="0"/>
        <v>0</v>
      </c>
      <c r="T63" s="72">
        <f t="shared" si="0"/>
        <v>26</v>
      </c>
      <c r="U63" s="72">
        <f t="shared" si="0"/>
        <v>0</v>
      </c>
      <c r="V63" s="72">
        <f t="shared" si="0"/>
        <v>0</v>
      </c>
      <c r="W63" s="72">
        <f t="shared" si="0"/>
        <v>4</v>
      </c>
      <c r="X63" s="72">
        <f t="shared" si="0"/>
        <v>0</v>
      </c>
      <c r="Y63" s="72">
        <f t="shared" si="0"/>
        <v>244</v>
      </c>
      <c r="Z63" s="72">
        <f t="shared" si="0"/>
        <v>0</v>
      </c>
    </row>
    <row r="64" spans="1:26" ht="15.75" thickBot="1" x14ac:dyDescent="0.3">
      <c r="A64" s="104"/>
      <c r="B64" s="105"/>
      <c r="C64" s="105"/>
      <c r="D64" s="105"/>
      <c r="E64" s="105"/>
      <c r="F64" s="106"/>
      <c r="G64" s="100" t="s">
        <v>453</v>
      </c>
      <c r="H64" s="100"/>
      <c r="I64" s="69">
        <f>SUM(Sheet7!I15:I16,I10:I48)</f>
        <v>0</v>
      </c>
      <c r="J64" s="69">
        <f>SUM(Sheet7!J15:J16,J10:J48)</f>
        <v>0</v>
      </c>
      <c r="K64" s="69">
        <f>SUM(Sheet7!K15:K16,K10:K48)</f>
        <v>0</v>
      </c>
      <c r="L64" s="69">
        <f>SUM(Sheet7!L15:L16,L10:L48)</f>
        <v>52</v>
      </c>
      <c r="M64" s="69">
        <f>SUM(Sheet7!M15:M16,M10:M48)</f>
        <v>0</v>
      </c>
      <c r="N64" s="70">
        <f>SUM(Sheet7!N15:N16,N10:N48)</f>
        <v>4.1477272727272724E-2</v>
      </c>
      <c r="O64" s="70">
        <f>SUM(Sheet7!O15:O16,O10:O48)</f>
        <v>0.33503787878787877</v>
      </c>
      <c r="P64" s="70">
        <f>SUM(Sheet7!P15:P16,P10:P48)</f>
        <v>0.47424242424242419</v>
      </c>
      <c r="Q64" s="69">
        <f>SUM(Sheet7!Q15:Q16,Q10:Q48)</f>
        <v>748</v>
      </c>
      <c r="R64" s="69">
        <f>SUM(Sheet7!R15:R16,R10:R48)</f>
        <v>189</v>
      </c>
      <c r="S64" s="69">
        <f>SUM(Sheet7!S15:S16,S10:S48)</f>
        <v>0</v>
      </c>
      <c r="T64" s="69">
        <f>SUM(Sheet7!T15:T16,T10:T48)</f>
        <v>44</v>
      </c>
      <c r="U64" s="69">
        <f>SUM(Sheet7!U15:U16,U10:U48)</f>
        <v>0</v>
      </c>
      <c r="V64" s="69">
        <f>SUM(Sheet7!V15:V16,V10:V48)</f>
        <v>263</v>
      </c>
      <c r="W64" s="69">
        <f>SUM(Sheet7!W15:W16,W10:W48)</f>
        <v>23</v>
      </c>
      <c r="X64" s="69">
        <f>SUM(Sheet7!X15:X16,X10:X48)</f>
        <v>0</v>
      </c>
      <c r="Y64" s="69">
        <f>SUM(Sheet7!Y15:Y16,Y10:Y48)</f>
        <v>0</v>
      </c>
      <c r="Z64" s="69">
        <f>SUM(Sheet7!Z15:Z16,Z10:Z48)</f>
        <v>0</v>
      </c>
    </row>
  </sheetData>
  <mergeCells count="114">
    <mergeCell ref="G59:H59"/>
    <mergeCell ref="G60:H60"/>
    <mergeCell ref="G61:H61"/>
    <mergeCell ref="G51:H51"/>
    <mergeCell ref="G52:H52"/>
    <mergeCell ref="G53:H53"/>
    <mergeCell ref="G54:H54"/>
    <mergeCell ref="G55:H55"/>
    <mergeCell ref="G46:H46"/>
    <mergeCell ref="G47:H47"/>
    <mergeCell ref="G48:H48"/>
    <mergeCell ref="G49:H49"/>
    <mergeCell ref="G50:H50"/>
    <mergeCell ref="D15:E15"/>
    <mergeCell ref="G41:H41"/>
    <mergeCell ref="G42:H42"/>
    <mergeCell ref="G43:H43"/>
    <mergeCell ref="D35:E35"/>
    <mergeCell ref="I2:I7"/>
    <mergeCell ref="D14:E14"/>
    <mergeCell ref="D16:E16"/>
    <mergeCell ref="G26:H26"/>
    <mergeCell ref="G27:H27"/>
    <mergeCell ref="G28:H28"/>
    <mergeCell ref="G29:H29"/>
    <mergeCell ref="G30:H30"/>
    <mergeCell ref="G25:H25"/>
    <mergeCell ref="G24:H24"/>
    <mergeCell ref="D20:E20"/>
    <mergeCell ref="D24:E24"/>
    <mergeCell ref="D25:E25"/>
    <mergeCell ref="D26:E26"/>
    <mergeCell ref="A1:A8"/>
    <mergeCell ref="B1:B8"/>
    <mergeCell ref="C1:C8"/>
    <mergeCell ref="D1:E7"/>
    <mergeCell ref="F1:F8"/>
    <mergeCell ref="G1:H8"/>
    <mergeCell ref="G21:H21"/>
    <mergeCell ref="G22:H22"/>
    <mergeCell ref="G23:H23"/>
    <mergeCell ref="G10:H10"/>
    <mergeCell ref="G11:H11"/>
    <mergeCell ref="D11:E11"/>
    <mergeCell ref="D10:E10"/>
    <mergeCell ref="A9:H9"/>
    <mergeCell ref="G14:H14"/>
    <mergeCell ref="G16:H16"/>
    <mergeCell ref="D17:E17"/>
    <mergeCell ref="G18:H18"/>
    <mergeCell ref="G19:H19"/>
    <mergeCell ref="D13:E13"/>
    <mergeCell ref="G12:H12"/>
    <mergeCell ref="G13:H13"/>
    <mergeCell ref="G17:H17"/>
    <mergeCell ref="G20:H20"/>
    <mergeCell ref="X2:X7"/>
    <mergeCell ref="Y2:Y7"/>
    <mergeCell ref="Z2:Z7"/>
    <mergeCell ref="Q2:Q7"/>
    <mergeCell ref="R2:R7"/>
    <mergeCell ref="S2:S7"/>
    <mergeCell ref="W2:W7"/>
    <mergeCell ref="J2:J7"/>
    <mergeCell ref="K2:K7"/>
    <mergeCell ref="M2:M7"/>
    <mergeCell ref="N2:N7"/>
    <mergeCell ref="O2:O7"/>
    <mergeCell ref="P2:P7"/>
    <mergeCell ref="V2:V7"/>
    <mergeCell ref="T2:T7"/>
    <mergeCell ref="U2:U7"/>
    <mergeCell ref="L2:L7"/>
    <mergeCell ref="D49:E49"/>
    <mergeCell ref="D43:E43"/>
    <mergeCell ref="D48:E48"/>
    <mergeCell ref="D32:E32"/>
    <mergeCell ref="D38:E38"/>
    <mergeCell ref="D54:E54"/>
    <mergeCell ref="D50:E50"/>
    <mergeCell ref="D31:E31"/>
    <mergeCell ref="D33:E33"/>
    <mergeCell ref="D34:E34"/>
    <mergeCell ref="D44:E44"/>
    <mergeCell ref="D36:E36"/>
    <mergeCell ref="D37:E37"/>
    <mergeCell ref="D45:E45"/>
    <mergeCell ref="D46:E46"/>
    <mergeCell ref="D47:E47"/>
    <mergeCell ref="D42:E42"/>
    <mergeCell ref="G44:H44"/>
    <mergeCell ref="G45:H45"/>
    <mergeCell ref="G36:H36"/>
    <mergeCell ref="G37:H37"/>
    <mergeCell ref="G38:H38"/>
    <mergeCell ref="G39:H39"/>
    <mergeCell ref="G40:H40"/>
    <mergeCell ref="G31:H31"/>
    <mergeCell ref="A63:F64"/>
    <mergeCell ref="D59:E59"/>
    <mergeCell ref="D60:E60"/>
    <mergeCell ref="D56:E56"/>
    <mergeCell ref="D62:E62"/>
    <mergeCell ref="G32:H32"/>
    <mergeCell ref="G33:H33"/>
    <mergeCell ref="G34:H34"/>
    <mergeCell ref="G35:H35"/>
    <mergeCell ref="G62:H62"/>
    <mergeCell ref="G63:H63"/>
    <mergeCell ref="G64:H64"/>
    <mergeCell ref="G56:H56"/>
    <mergeCell ref="G57:H57"/>
    <mergeCell ref="G58:H58"/>
    <mergeCell ref="D55:E55"/>
  </mergeCells>
  <phoneticPr fontId="2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5984-B5B7-47F0-A553-104B003580FC}">
  <sheetPr codeName="Sheet7"/>
  <dimension ref="A1:AA89"/>
  <sheetViews>
    <sheetView zoomScale="85" zoomScaleNormal="85" workbookViewId="0">
      <selection sqref="A1:AA66"/>
    </sheetView>
  </sheetViews>
  <sheetFormatPr defaultRowHeight="15" x14ac:dyDescent="0.25"/>
  <cols>
    <col min="1" max="1" width="11.42578125" customWidth="1"/>
    <col min="2" max="2" width="12.7109375" customWidth="1"/>
    <col min="3" max="3" width="20" customWidth="1"/>
    <col min="4" max="5" width="9.140625" customWidth="1"/>
    <col min="6" max="6" width="10.42578125" customWidth="1"/>
    <col min="7" max="8" width="9" customWidth="1"/>
    <col min="14" max="14" width="8.7109375" customWidth="1"/>
    <col min="15" max="16" width="8.85546875" customWidth="1"/>
    <col min="17" max="17" width="8.7109375" customWidth="1"/>
    <col min="24" max="24" width="10.7109375" bestFit="1" customWidth="1"/>
    <col min="27" max="27" width="9" customWidth="1"/>
  </cols>
  <sheetData>
    <row r="1" spans="1:27" ht="12.6" customHeight="1" x14ac:dyDescent="0.25">
      <c r="A1" s="114" t="s">
        <v>43</v>
      </c>
      <c r="B1" s="117" t="s">
        <v>27</v>
      </c>
      <c r="C1" s="117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  <c r="AA1" s="1"/>
    </row>
    <row r="2" spans="1:27" ht="11.45" customHeight="1" x14ac:dyDescent="0.25">
      <c r="A2" s="115"/>
      <c r="B2" s="118"/>
      <c r="C2" s="118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16</v>
      </c>
      <c r="T2" s="111" t="s">
        <v>17</v>
      </c>
      <c r="U2" s="111" t="s">
        <v>18</v>
      </c>
      <c r="V2" s="111" t="s">
        <v>438</v>
      </c>
      <c r="W2" s="111" t="s">
        <v>19</v>
      </c>
      <c r="X2" s="111" t="s">
        <v>20</v>
      </c>
      <c r="Y2" s="111" t="s">
        <v>22</v>
      </c>
      <c r="Z2" s="111" t="s">
        <v>423</v>
      </c>
      <c r="AA2" s="111"/>
    </row>
    <row r="3" spans="1:27" ht="11.45" customHeight="1" x14ac:dyDescent="0.25">
      <c r="A3" s="115"/>
      <c r="B3" s="118"/>
      <c r="C3" s="118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27" ht="12" customHeight="1" x14ac:dyDescent="0.25">
      <c r="A4" s="115"/>
      <c r="B4" s="118"/>
      <c r="C4" s="118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1:27" ht="11.45" customHeight="1" x14ac:dyDescent="0.25">
      <c r="A5" s="115"/>
      <c r="B5" s="118"/>
      <c r="C5" s="118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7" ht="13.15" customHeight="1" x14ac:dyDescent="0.25">
      <c r="A6" s="115"/>
      <c r="B6" s="118"/>
      <c r="C6" s="118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 ht="12" customHeight="1" x14ac:dyDescent="0.25">
      <c r="A7" s="115"/>
      <c r="B7" s="118"/>
      <c r="C7" s="118"/>
      <c r="D7" s="118"/>
      <c r="E7" s="118"/>
      <c r="F7" s="120"/>
      <c r="G7" s="126"/>
      <c r="H7" s="127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27" ht="16.5" customHeight="1" x14ac:dyDescent="0.25">
      <c r="A8" s="115"/>
      <c r="B8" s="118"/>
      <c r="C8" s="118"/>
      <c r="D8" s="118"/>
      <c r="E8" s="118"/>
      <c r="F8" s="120"/>
      <c r="G8" s="126"/>
      <c r="H8" s="127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27" ht="12.6" customHeight="1" x14ac:dyDescent="0.25">
      <c r="A9" s="115"/>
      <c r="B9" s="118"/>
      <c r="C9" s="118"/>
      <c r="D9" s="118"/>
      <c r="E9" s="118"/>
      <c r="F9" s="120"/>
      <c r="G9" s="126"/>
      <c r="H9" s="127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</row>
    <row r="10" spans="1:27" ht="12" customHeight="1" x14ac:dyDescent="0.25">
      <c r="A10" s="115"/>
      <c r="B10" s="118"/>
      <c r="C10" s="118"/>
      <c r="D10" s="118"/>
      <c r="E10" s="118"/>
      <c r="F10" s="120"/>
      <c r="G10" s="126"/>
      <c r="H10" s="127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</row>
    <row r="11" spans="1:27" ht="12" customHeight="1" x14ac:dyDescent="0.25">
      <c r="A11" s="115"/>
      <c r="B11" s="118"/>
      <c r="C11" s="118"/>
      <c r="D11" s="118"/>
      <c r="E11" s="118"/>
      <c r="F11" s="120"/>
      <c r="G11" s="126"/>
      <c r="H11" s="127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</row>
    <row r="12" spans="1:27" ht="12.6" customHeight="1" x14ac:dyDescent="0.25">
      <c r="A12" s="115"/>
      <c r="B12" s="118"/>
      <c r="C12" s="118"/>
      <c r="D12" s="118"/>
      <c r="E12" s="118"/>
      <c r="F12" s="120"/>
      <c r="G12" s="126"/>
      <c r="H12" s="127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</row>
    <row r="13" spans="1:27" ht="14.45" customHeight="1" thickBot="1" x14ac:dyDescent="0.3">
      <c r="A13" s="116"/>
      <c r="B13" s="175"/>
      <c r="C13" s="175"/>
      <c r="D13" s="56" t="s">
        <v>3</v>
      </c>
      <c r="E13" s="56" t="s">
        <v>4</v>
      </c>
      <c r="F13" s="161"/>
      <c r="G13" s="128"/>
      <c r="H13" s="129"/>
      <c r="I13" s="22" t="s">
        <v>9</v>
      </c>
      <c r="J13" s="22" t="s">
        <v>6</v>
      </c>
      <c r="K13" s="22" t="s">
        <v>6</v>
      </c>
      <c r="L13" s="22" t="s">
        <v>6</v>
      </c>
      <c r="M13" s="22" t="s">
        <v>6</v>
      </c>
      <c r="N13" s="22" t="s">
        <v>11</v>
      </c>
      <c r="O13" s="22" t="s">
        <v>11</v>
      </c>
      <c r="P13" s="22" t="s">
        <v>11</v>
      </c>
      <c r="Q13" s="22" t="s">
        <v>9</v>
      </c>
      <c r="R13" s="22" t="s">
        <v>9</v>
      </c>
      <c r="S13" s="22" t="s">
        <v>9</v>
      </c>
      <c r="T13" s="22" t="s">
        <v>9</v>
      </c>
      <c r="U13" s="22" t="s">
        <v>9</v>
      </c>
      <c r="V13" s="22" t="s">
        <v>9</v>
      </c>
      <c r="W13" s="22" t="s">
        <v>6</v>
      </c>
      <c r="X13" s="22" t="s">
        <v>21</v>
      </c>
      <c r="Y13" s="22" t="s">
        <v>9</v>
      </c>
      <c r="Z13" s="22" t="s">
        <v>6</v>
      </c>
      <c r="AA13" s="22"/>
    </row>
    <row r="14" spans="1:27" x14ac:dyDescent="0.25">
      <c r="A14" s="134" t="s">
        <v>247</v>
      </c>
      <c r="B14" s="135"/>
      <c r="C14" s="135"/>
      <c r="D14" s="135"/>
      <c r="E14" s="135"/>
      <c r="F14" s="135"/>
      <c r="G14" s="135"/>
      <c r="H14" s="13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42" t="s">
        <v>302</v>
      </c>
      <c r="B15" s="16" t="s">
        <v>303</v>
      </c>
      <c r="C15" s="16" t="s">
        <v>174</v>
      </c>
      <c r="D15" s="12">
        <v>3700</v>
      </c>
      <c r="E15" s="12">
        <v>4522</v>
      </c>
      <c r="F15" s="5" t="s">
        <v>42</v>
      </c>
      <c r="G15" s="133" t="s">
        <v>453</v>
      </c>
      <c r="H15" s="133"/>
      <c r="I15" s="5"/>
      <c r="J15" s="5"/>
      <c r="K15" s="5"/>
      <c r="L15" s="5"/>
      <c r="M15" s="5"/>
      <c r="N15" s="5"/>
      <c r="O15" s="5"/>
      <c r="P15" s="6">
        <f xml:space="preserve"> (E15-D15)/5280</f>
        <v>0.15568181818181817</v>
      </c>
      <c r="Q15" s="5"/>
      <c r="R15" s="5"/>
      <c r="S15" s="5"/>
      <c r="T15" s="5"/>
      <c r="U15" s="5"/>
      <c r="V15" s="5"/>
      <c r="W15" s="16"/>
      <c r="X15" s="5"/>
      <c r="Y15" s="5"/>
      <c r="Z15" s="5"/>
      <c r="AA15" s="5"/>
    </row>
    <row r="16" spans="1:27" x14ac:dyDescent="0.25">
      <c r="A16" s="42" t="s">
        <v>302</v>
      </c>
      <c r="B16" s="42" t="s">
        <v>304</v>
      </c>
      <c r="C16" s="16" t="s">
        <v>174</v>
      </c>
      <c r="D16" s="12">
        <v>3700</v>
      </c>
      <c r="E16" s="12">
        <v>4522</v>
      </c>
      <c r="F16" s="5" t="s">
        <v>42</v>
      </c>
      <c r="G16" s="133" t="s">
        <v>453</v>
      </c>
      <c r="H16" s="133"/>
      <c r="I16" s="5"/>
      <c r="J16" s="5"/>
      <c r="K16" s="5"/>
      <c r="L16" s="5">
        <f xml:space="preserve"> ROUNDUP((O16*5280)/80, 0)</f>
        <v>11</v>
      </c>
      <c r="M16" s="5"/>
      <c r="N16" s="5"/>
      <c r="O16" s="6">
        <f xml:space="preserve"> (E16-D16)/5280</f>
        <v>0.15568181818181817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25">
      <c r="A17" s="48" t="s">
        <v>302</v>
      </c>
      <c r="B17" s="42" t="s">
        <v>305</v>
      </c>
      <c r="C17" s="16" t="s">
        <v>174</v>
      </c>
      <c r="D17" s="12">
        <v>3736</v>
      </c>
      <c r="E17" s="12">
        <v>3861</v>
      </c>
      <c r="F17" s="5" t="s">
        <v>8</v>
      </c>
      <c r="G17" s="109" t="s">
        <v>453</v>
      </c>
      <c r="H17" s="110"/>
      <c r="I17" s="5"/>
      <c r="J17" s="5"/>
      <c r="K17" s="5"/>
      <c r="L17" s="5"/>
      <c r="M17" s="5"/>
      <c r="N17" s="5"/>
      <c r="O17" s="6"/>
      <c r="P17" s="5"/>
      <c r="Q17" s="45"/>
      <c r="R17" s="16"/>
      <c r="S17" s="16"/>
      <c r="T17" s="5"/>
      <c r="U17" s="5"/>
      <c r="V17" s="5"/>
      <c r="W17" s="5"/>
      <c r="X17" s="7">
        <f xml:space="preserve"> 1958/9</f>
        <v>217.55555555555554</v>
      </c>
      <c r="Y17" s="5"/>
      <c r="Z17" s="5"/>
      <c r="AA17" s="5"/>
    </row>
    <row r="18" spans="1:27" x14ac:dyDescent="0.25">
      <c r="A18" s="48" t="s">
        <v>302</v>
      </c>
      <c r="B18" s="42" t="s">
        <v>306</v>
      </c>
      <c r="C18" s="16" t="s">
        <v>174</v>
      </c>
      <c r="D18" s="12">
        <v>4380</v>
      </c>
      <c r="E18" s="12">
        <v>4522</v>
      </c>
      <c r="F18" s="5" t="s">
        <v>8</v>
      </c>
      <c r="G18" s="109" t="s">
        <v>453</v>
      </c>
      <c r="H18" s="110"/>
      <c r="I18" s="5"/>
      <c r="J18" s="5"/>
      <c r="K18" s="5"/>
      <c r="L18" s="5">
        <f xml:space="preserve"> ROUNDUP((O18*5280)/80, 0)</f>
        <v>2</v>
      </c>
      <c r="M18" s="5"/>
      <c r="N18" s="5"/>
      <c r="O18" s="6">
        <f xml:space="preserve"> (E18-D18)/5280</f>
        <v>2.6893939393939394E-2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25">
      <c r="A19" s="48" t="s">
        <v>302</v>
      </c>
      <c r="B19" s="42" t="s">
        <v>307</v>
      </c>
      <c r="C19" s="16" t="s">
        <v>174</v>
      </c>
      <c r="D19" s="12">
        <v>4522</v>
      </c>
      <c r="E19" s="12">
        <v>4650</v>
      </c>
      <c r="F19" s="5" t="s">
        <v>7</v>
      </c>
      <c r="G19" s="109" t="s">
        <v>453</v>
      </c>
      <c r="H19" s="110"/>
      <c r="I19" s="5"/>
      <c r="J19" s="5"/>
      <c r="K19" s="5"/>
      <c r="L19" s="5"/>
      <c r="M19" s="5"/>
      <c r="N19" s="5"/>
      <c r="O19" s="5"/>
      <c r="P19" s="5"/>
      <c r="Q19" s="5"/>
      <c r="R19" s="7">
        <f xml:space="preserve"> E19-D19</f>
        <v>128</v>
      </c>
      <c r="S19" s="5"/>
      <c r="T19" s="5"/>
      <c r="U19" s="5"/>
      <c r="V19" s="5"/>
      <c r="W19" s="5"/>
      <c r="X19" s="5"/>
      <c r="Y19" s="7"/>
      <c r="Z19" s="7"/>
      <c r="AA19" s="7"/>
    </row>
    <row r="20" spans="1:27" x14ac:dyDescent="0.25">
      <c r="A20" s="96"/>
      <c r="B20" s="95"/>
      <c r="C20" s="95"/>
      <c r="D20" s="95"/>
      <c r="E20" s="95"/>
      <c r="F20" s="95"/>
      <c r="G20" s="176"/>
      <c r="H20" s="14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s="48" t="s">
        <v>308</v>
      </c>
      <c r="B21" s="42" t="s">
        <v>299</v>
      </c>
      <c r="C21" s="5" t="s">
        <v>83</v>
      </c>
      <c r="D21" s="12">
        <v>1550</v>
      </c>
      <c r="E21" s="12">
        <v>1661</v>
      </c>
      <c r="F21" s="5" t="s">
        <v>8</v>
      </c>
      <c r="G21" s="97" t="s">
        <v>452</v>
      </c>
      <c r="H21" s="98"/>
      <c r="I21" s="5"/>
      <c r="J21" s="5"/>
      <c r="K21" s="5"/>
      <c r="L21" s="5"/>
      <c r="M21" s="5"/>
      <c r="N21" s="6"/>
      <c r="O21" s="5"/>
      <c r="P21" s="6">
        <f xml:space="preserve"> (E21-D21)/5280</f>
        <v>2.1022727272727273E-2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x14ac:dyDescent="0.25">
      <c r="A22" s="48" t="s">
        <v>308</v>
      </c>
      <c r="B22" s="42" t="s">
        <v>294</v>
      </c>
      <c r="C22" s="5" t="s">
        <v>83</v>
      </c>
      <c r="D22" s="12">
        <v>1550</v>
      </c>
      <c r="E22" s="12">
        <v>1678</v>
      </c>
      <c r="F22" s="5" t="s">
        <v>7</v>
      </c>
      <c r="G22" s="97" t="s">
        <v>452</v>
      </c>
      <c r="H22" s="98"/>
      <c r="I22" s="5"/>
      <c r="J22" s="5"/>
      <c r="K22" s="5"/>
      <c r="L22" s="5">
        <f xml:space="preserve"> ROUNDUP((P22*5280)/80, 0)</f>
        <v>2</v>
      </c>
      <c r="M22" s="5"/>
      <c r="N22" s="5"/>
      <c r="O22" s="6"/>
      <c r="P22" s="6">
        <f xml:space="preserve"> (E22-D22)/5280</f>
        <v>2.4242424242424242E-2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25">
      <c r="A23" s="48" t="s">
        <v>308</v>
      </c>
      <c r="B23" s="42" t="s">
        <v>295</v>
      </c>
      <c r="C23" s="5" t="s">
        <v>82</v>
      </c>
      <c r="D23" s="12">
        <v>1550</v>
      </c>
      <c r="E23" s="12">
        <v>1660</v>
      </c>
      <c r="F23" s="5" t="s">
        <v>8</v>
      </c>
      <c r="G23" s="97" t="s">
        <v>452</v>
      </c>
      <c r="H23" s="98"/>
      <c r="I23" s="5"/>
      <c r="J23" s="5"/>
      <c r="K23" s="5"/>
      <c r="L23" s="5">
        <f xml:space="preserve"> ROUNDUP((P23*5280)/80, 0)</f>
        <v>2</v>
      </c>
      <c r="M23" s="5"/>
      <c r="N23" s="5"/>
      <c r="O23" s="5"/>
      <c r="P23" s="6">
        <f xml:space="preserve"> (E23-D23)/5280</f>
        <v>2.0833333333333332E-2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25">
      <c r="A24" s="48" t="s">
        <v>308</v>
      </c>
      <c r="B24" s="42" t="s">
        <v>296</v>
      </c>
      <c r="C24" s="5" t="s">
        <v>82</v>
      </c>
      <c r="D24" s="12">
        <v>1550</v>
      </c>
      <c r="E24" s="12">
        <v>1627</v>
      </c>
      <c r="F24" s="5" t="s">
        <v>7</v>
      </c>
      <c r="G24" s="97" t="s">
        <v>452</v>
      </c>
      <c r="H24" s="98"/>
      <c r="I24" s="5"/>
      <c r="J24" s="5"/>
      <c r="K24" s="5"/>
      <c r="L24" s="5"/>
      <c r="M24" s="5"/>
      <c r="N24" s="5"/>
      <c r="O24" s="5"/>
      <c r="P24" s="6">
        <f xml:space="preserve"> (E24-D24)/5280</f>
        <v>1.4583333333333334E-2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25">
      <c r="A25" s="49"/>
      <c r="B25" s="16"/>
      <c r="C25" s="5"/>
      <c r="D25" s="173"/>
      <c r="E25" s="173"/>
      <c r="F25" s="5"/>
      <c r="G25" s="109"/>
      <c r="H25" s="110"/>
      <c r="I25" s="5"/>
      <c r="J25" s="5"/>
      <c r="K25" s="5"/>
      <c r="L25" s="5"/>
      <c r="M25" s="5"/>
      <c r="N25" s="5"/>
      <c r="O25" s="5"/>
      <c r="P25" s="6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25">
      <c r="A26" s="137" t="s">
        <v>356</v>
      </c>
      <c r="B26" s="138"/>
      <c r="C26" s="138"/>
      <c r="D26" s="138"/>
      <c r="E26" s="138"/>
      <c r="F26" s="138"/>
      <c r="G26" s="138"/>
      <c r="H26" s="139"/>
      <c r="I26" s="5"/>
      <c r="J26" s="5"/>
      <c r="K26" s="5"/>
      <c r="L26" s="5"/>
      <c r="M26" s="5"/>
      <c r="N26" s="5"/>
      <c r="O26" s="5"/>
      <c r="P26" s="6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49" t="s">
        <v>357</v>
      </c>
      <c r="B27" s="16" t="s">
        <v>314</v>
      </c>
      <c r="C27" s="5" t="s">
        <v>31</v>
      </c>
      <c r="D27" s="12">
        <v>1099</v>
      </c>
      <c r="E27" s="12">
        <v>1300</v>
      </c>
      <c r="F27" s="5" t="s">
        <v>7</v>
      </c>
      <c r="G27" s="97" t="s">
        <v>452</v>
      </c>
      <c r="H27" s="98"/>
      <c r="I27" s="5"/>
      <c r="J27" s="5"/>
      <c r="K27" s="5"/>
      <c r="L27" s="5"/>
      <c r="M27" s="5"/>
      <c r="N27" s="5"/>
      <c r="O27" s="5"/>
      <c r="P27" s="6">
        <f xml:space="preserve"> (E27-D27)/5280</f>
        <v>3.806818181818182E-2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25">
      <c r="A28" s="49" t="s">
        <v>357</v>
      </c>
      <c r="B28" s="16" t="s">
        <v>318</v>
      </c>
      <c r="C28" s="5" t="s">
        <v>31</v>
      </c>
      <c r="D28" s="12">
        <v>1000</v>
      </c>
      <c r="E28" s="12">
        <v>1550</v>
      </c>
      <c r="F28" s="5" t="s">
        <v>7</v>
      </c>
      <c r="G28" s="97" t="s">
        <v>452</v>
      </c>
      <c r="H28" s="98"/>
      <c r="I28" s="5"/>
      <c r="J28" s="5"/>
      <c r="K28" s="5"/>
      <c r="L28" s="5"/>
      <c r="M28" s="5"/>
      <c r="N28" s="5"/>
      <c r="O28" s="5"/>
      <c r="P28" s="6">
        <f xml:space="preserve"> ((E28-D28)/5280)+0.09</f>
        <v>0.19416666666666665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25">
      <c r="A29" s="49" t="s">
        <v>357</v>
      </c>
      <c r="B29" s="16" t="s">
        <v>312</v>
      </c>
      <c r="C29" s="5" t="s">
        <v>31</v>
      </c>
      <c r="D29" s="12">
        <v>1099</v>
      </c>
      <c r="E29" s="12">
        <v>1540</v>
      </c>
      <c r="F29" s="5" t="s">
        <v>7</v>
      </c>
      <c r="G29" s="97" t="s">
        <v>452</v>
      </c>
      <c r="H29" s="98"/>
      <c r="I29" s="5"/>
      <c r="J29" s="5"/>
      <c r="K29" s="5"/>
      <c r="L29" s="5">
        <f xml:space="preserve"> 400/40 + ROUNDUP((1550-400)/80, 0)</f>
        <v>25</v>
      </c>
      <c r="M29" s="5"/>
      <c r="N29" s="5"/>
      <c r="O29" s="5"/>
      <c r="P29" s="6">
        <f xml:space="preserve"> (E29-D29)/5280</f>
        <v>8.3522727272727276E-2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x14ac:dyDescent="0.25">
      <c r="A30" s="49" t="s">
        <v>357</v>
      </c>
      <c r="B30" s="16" t="s">
        <v>313</v>
      </c>
      <c r="C30" s="5" t="s">
        <v>31</v>
      </c>
      <c r="D30" s="12">
        <v>1099</v>
      </c>
      <c r="E30" s="12">
        <v>1550</v>
      </c>
      <c r="F30" s="5" t="s">
        <v>62</v>
      </c>
      <c r="G30" s="97" t="s">
        <v>452</v>
      </c>
      <c r="H30" s="98"/>
      <c r="I30" s="5"/>
      <c r="J30" s="5"/>
      <c r="K30" s="5"/>
      <c r="L30" s="5">
        <f xml:space="preserve"> 400/40 + ROUNDUP((1550-400)/80, 0)</f>
        <v>25</v>
      </c>
      <c r="M30" s="5"/>
      <c r="N30" s="5"/>
      <c r="O30" s="5"/>
      <c r="P30" s="6">
        <f xml:space="preserve"> (E30-D30)/5280</f>
        <v>8.5416666666666669E-2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25">
      <c r="A31" s="49" t="s">
        <v>357</v>
      </c>
      <c r="B31" s="16" t="s">
        <v>316</v>
      </c>
      <c r="C31" s="5" t="s">
        <v>31</v>
      </c>
      <c r="D31" s="173">
        <v>1109</v>
      </c>
      <c r="E31" s="173"/>
      <c r="F31" s="5" t="s">
        <v>7</v>
      </c>
      <c r="G31" s="97" t="s">
        <v>452</v>
      </c>
      <c r="H31" s="98"/>
      <c r="I31" s="5"/>
      <c r="J31" s="5"/>
      <c r="K31" s="5"/>
      <c r="L31" s="5"/>
      <c r="M31" s="5"/>
      <c r="N31" s="5"/>
      <c r="O31" s="5"/>
      <c r="P31" s="6"/>
      <c r="Q31" s="5"/>
      <c r="R31" s="5"/>
      <c r="S31" s="5"/>
      <c r="T31" s="5"/>
      <c r="U31" s="5"/>
      <c r="V31" s="5"/>
      <c r="W31" s="5">
        <v>1</v>
      </c>
      <c r="X31" s="5"/>
      <c r="Y31" s="5"/>
      <c r="Z31" s="5"/>
      <c r="AA31" s="5"/>
    </row>
    <row r="32" spans="1:27" x14ac:dyDescent="0.25">
      <c r="A32" s="49"/>
      <c r="B32" s="16"/>
      <c r="C32" s="5"/>
      <c r="D32" s="107"/>
      <c r="E32" s="108"/>
      <c r="F32" s="5"/>
      <c r="G32" s="97"/>
      <c r="H32" s="98"/>
      <c r="I32" s="5"/>
      <c r="J32" s="5"/>
      <c r="K32" s="5"/>
      <c r="L32" s="5"/>
      <c r="M32" s="5"/>
      <c r="N32" s="5"/>
      <c r="O32" s="5"/>
      <c r="P32" s="6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49" t="s">
        <v>357</v>
      </c>
      <c r="B33" s="16" t="s">
        <v>363</v>
      </c>
      <c r="C33" s="5" t="s">
        <v>31</v>
      </c>
      <c r="D33" s="173">
        <v>1141</v>
      </c>
      <c r="E33" s="173"/>
      <c r="F33" s="5" t="s">
        <v>7</v>
      </c>
      <c r="G33" s="97" t="s">
        <v>452</v>
      </c>
      <c r="H33" s="98"/>
      <c r="I33" s="5"/>
      <c r="J33" s="5">
        <v>1</v>
      </c>
      <c r="K33" s="5"/>
      <c r="L33" s="5"/>
      <c r="M33" s="5"/>
      <c r="N33" s="5"/>
      <c r="O33" s="5"/>
      <c r="P33" s="6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49" t="s">
        <v>357</v>
      </c>
      <c r="B34" s="16" t="s">
        <v>320</v>
      </c>
      <c r="C34" s="5" t="s">
        <v>31</v>
      </c>
      <c r="D34" s="12">
        <v>1141</v>
      </c>
      <c r="E34" s="12">
        <v>1550</v>
      </c>
      <c r="F34" s="5" t="s">
        <v>7</v>
      </c>
      <c r="G34" s="97" t="s">
        <v>452</v>
      </c>
      <c r="H34" s="98"/>
      <c r="I34" s="7">
        <v>248</v>
      </c>
      <c r="J34" s="5"/>
      <c r="K34" s="5">
        <f xml:space="preserve"> ROUNDUP((Y34/50)*3, 0)</f>
        <v>25</v>
      </c>
      <c r="L34" s="5"/>
      <c r="M34" s="5">
        <f xml:space="preserve"> ROUNDUP((Y34/50), 0)</f>
        <v>9</v>
      </c>
      <c r="N34" s="5"/>
      <c r="O34" s="5"/>
      <c r="P34" s="6"/>
      <c r="Q34" s="5"/>
      <c r="R34" s="5"/>
      <c r="S34" s="5"/>
      <c r="T34" s="5"/>
      <c r="U34" s="5"/>
      <c r="V34" s="5"/>
      <c r="W34" s="5"/>
      <c r="X34" s="5"/>
      <c r="Y34" s="7">
        <f>E34-D34</f>
        <v>409</v>
      </c>
      <c r="Z34" s="5"/>
      <c r="AA34" s="5"/>
    </row>
    <row r="35" spans="1:27" x14ac:dyDescent="0.25">
      <c r="A35" s="49" t="s">
        <v>357</v>
      </c>
      <c r="B35" s="16" t="s">
        <v>430</v>
      </c>
      <c r="C35" s="5" t="s">
        <v>31</v>
      </c>
      <c r="D35" s="12">
        <v>1163</v>
      </c>
      <c r="E35" s="12">
        <v>1300</v>
      </c>
      <c r="F35" s="5" t="s">
        <v>62</v>
      </c>
      <c r="G35" s="97" t="s">
        <v>452</v>
      </c>
      <c r="H35" s="98"/>
      <c r="I35" s="7"/>
      <c r="J35" s="5"/>
      <c r="K35" s="5"/>
      <c r="L35" s="5">
        <v>3</v>
      </c>
      <c r="M35" s="5"/>
      <c r="N35" s="5"/>
      <c r="O35" s="5"/>
      <c r="P35" s="6">
        <f>(E35-D35)/5280</f>
        <v>2.5946969696969698E-2</v>
      </c>
      <c r="R35" s="5"/>
      <c r="S35" s="5"/>
      <c r="T35" s="5"/>
      <c r="U35" s="5"/>
      <c r="V35" s="5"/>
      <c r="W35" s="5"/>
      <c r="X35" s="5"/>
      <c r="Y35" s="7"/>
      <c r="Z35" s="5"/>
      <c r="AA35" s="5"/>
    </row>
    <row r="36" spans="1:27" x14ac:dyDescent="0.25">
      <c r="A36" s="49" t="s">
        <v>357</v>
      </c>
      <c r="B36" s="16" t="s">
        <v>315</v>
      </c>
      <c r="C36" s="5" t="s">
        <v>31</v>
      </c>
      <c r="D36" s="173">
        <v>1175</v>
      </c>
      <c r="E36" s="173"/>
      <c r="F36" s="5" t="s">
        <v>7</v>
      </c>
      <c r="G36" s="97" t="s">
        <v>452</v>
      </c>
      <c r="H36" s="98"/>
      <c r="I36" s="5"/>
      <c r="J36" s="5"/>
      <c r="K36" s="5"/>
      <c r="L36" s="5"/>
      <c r="M36" s="5"/>
      <c r="N36" s="5"/>
      <c r="O36" s="5"/>
      <c r="P36" s="6"/>
      <c r="Q36" s="5"/>
      <c r="R36" s="5"/>
      <c r="S36" s="5"/>
      <c r="T36" s="5"/>
      <c r="U36" s="5"/>
      <c r="V36" s="5"/>
      <c r="W36" s="5">
        <v>1</v>
      </c>
      <c r="X36" s="5"/>
      <c r="Y36" s="5"/>
      <c r="Z36" s="5"/>
      <c r="AA36" s="5"/>
    </row>
    <row r="37" spans="1:27" x14ac:dyDescent="0.25">
      <c r="A37" s="49" t="s">
        <v>357</v>
      </c>
      <c r="B37" s="16" t="s">
        <v>323</v>
      </c>
      <c r="C37" s="5" t="s">
        <v>31</v>
      </c>
      <c r="D37" s="12">
        <v>1200</v>
      </c>
      <c r="E37" s="12">
        <v>1550</v>
      </c>
      <c r="F37" s="5" t="s">
        <v>62</v>
      </c>
      <c r="G37" s="97" t="s">
        <v>452</v>
      </c>
      <c r="H37" s="98"/>
      <c r="I37" s="5"/>
      <c r="J37" s="5"/>
      <c r="K37" s="5"/>
      <c r="L37" s="5"/>
      <c r="M37" s="5"/>
      <c r="N37" s="5"/>
      <c r="O37" s="5"/>
      <c r="P37" s="6">
        <f xml:space="preserve"> (E37-D37)/5280</f>
        <v>6.6287878787878785E-2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49"/>
      <c r="B38" s="16"/>
      <c r="C38" s="5"/>
      <c r="D38" s="107"/>
      <c r="E38" s="108"/>
      <c r="F38" s="5"/>
      <c r="G38" s="97"/>
      <c r="H38" s="98"/>
      <c r="I38" s="5"/>
      <c r="J38" s="5"/>
      <c r="K38" s="5"/>
      <c r="L38" s="5"/>
      <c r="M38" s="5"/>
      <c r="N38" s="5"/>
      <c r="O38" s="5"/>
      <c r="P38" s="6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49" t="s">
        <v>357</v>
      </c>
      <c r="B39" s="16" t="s">
        <v>326</v>
      </c>
      <c r="C39" s="5" t="s">
        <v>31</v>
      </c>
      <c r="D39" s="173">
        <v>1241</v>
      </c>
      <c r="E39" s="173"/>
      <c r="F39" s="5" t="s">
        <v>7</v>
      </c>
      <c r="G39" s="97" t="s">
        <v>452</v>
      </c>
      <c r="H39" s="98"/>
      <c r="I39" s="5"/>
      <c r="J39" s="5"/>
      <c r="K39" s="5"/>
      <c r="L39" s="5"/>
      <c r="M39" s="5"/>
      <c r="N39" s="5"/>
      <c r="O39" s="5"/>
      <c r="P39" s="6"/>
      <c r="Q39" s="5"/>
      <c r="R39" s="5"/>
      <c r="S39" s="5"/>
      <c r="T39" s="5"/>
      <c r="U39" s="5"/>
      <c r="V39" s="5"/>
      <c r="W39" s="5">
        <v>1</v>
      </c>
      <c r="X39" s="5"/>
      <c r="Y39" s="5"/>
      <c r="Z39" s="5"/>
      <c r="AA39" s="5"/>
    </row>
    <row r="40" spans="1:27" x14ac:dyDescent="0.25">
      <c r="A40" s="49" t="s">
        <v>357</v>
      </c>
      <c r="B40" s="16" t="s">
        <v>478</v>
      </c>
      <c r="C40" s="5" t="s">
        <v>483</v>
      </c>
      <c r="D40" s="12" t="s">
        <v>481</v>
      </c>
      <c r="E40" s="12" t="s">
        <v>482</v>
      </c>
      <c r="F40" s="5" t="s">
        <v>42</v>
      </c>
      <c r="G40" s="109" t="s">
        <v>453</v>
      </c>
      <c r="H40" s="110"/>
      <c r="I40" s="5"/>
      <c r="J40" s="5"/>
      <c r="K40" s="5"/>
      <c r="L40" s="5"/>
      <c r="M40" s="5"/>
      <c r="N40" s="5"/>
      <c r="O40" s="5"/>
      <c r="P40" s="6">
        <f xml:space="preserve"> (70+27+31+26+36+118)/5280</f>
        <v>5.8333333333333334E-2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49" t="s">
        <v>357</v>
      </c>
      <c r="B41" s="16" t="s">
        <v>479</v>
      </c>
      <c r="C41" s="5" t="s">
        <v>461</v>
      </c>
      <c r="D41" s="107" t="s">
        <v>484</v>
      </c>
      <c r="E41" s="108"/>
      <c r="F41" s="5" t="s">
        <v>42</v>
      </c>
      <c r="G41" s="109" t="s">
        <v>453</v>
      </c>
      <c r="H41" s="110"/>
      <c r="I41" s="5"/>
      <c r="J41" s="5"/>
      <c r="K41" s="5"/>
      <c r="L41" s="5"/>
      <c r="M41" s="5"/>
      <c r="N41" s="5"/>
      <c r="O41" s="5"/>
      <c r="P41" s="6"/>
      <c r="Q41" s="5"/>
      <c r="R41" s="5"/>
      <c r="S41" s="5"/>
      <c r="T41" s="5">
        <v>12</v>
      </c>
      <c r="U41" s="5"/>
      <c r="V41" s="5"/>
      <c r="W41" s="5"/>
      <c r="X41" s="5"/>
      <c r="Y41" s="5"/>
      <c r="Z41" s="5"/>
      <c r="AA41" s="5"/>
    </row>
    <row r="42" spans="1:27" x14ac:dyDescent="0.25">
      <c r="A42" s="49" t="s">
        <v>357</v>
      </c>
      <c r="B42" s="16" t="s">
        <v>480</v>
      </c>
      <c r="C42" s="5" t="s">
        <v>461</v>
      </c>
      <c r="D42" s="12">
        <v>70102</v>
      </c>
      <c r="E42" s="12">
        <v>70209</v>
      </c>
      <c r="F42" s="5" t="s">
        <v>7</v>
      </c>
      <c r="G42" s="109" t="s">
        <v>453</v>
      </c>
      <c r="H42" s="110"/>
      <c r="I42" s="5"/>
      <c r="J42" s="5"/>
      <c r="K42" s="5"/>
      <c r="L42" s="5">
        <f xml:space="preserve"> ROUNDUP((O42*5280)/80, 0)</f>
        <v>2</v>
      </c>
      <c r="M42" s="5"/>
      <c r="N42" s="5"/>
      <c r="O42" s="6">
        <f xml:space="preserve"> (E42-D42)/5280</f>
        <v>2.0265151515151514E-2</v>
      </c>
      <c r="P42" s="6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25">
      <c r="A43" s="49"/>
      <c r="B43" s="16"/>
      <c r="C43" s="5"/>
      <c r="D43" s="107"/>
      <c r="E43" s="108"/>
      <c r="F43" s="5"/>
      <c r="G43" s="97"/>
      <c r="H43" s="98"/>
      <c r="I43" s="5"/>
      <c r="J43" s="5"/>
      <c r="K43" s="5"/>
      <c r="L43" s="5"/>
      <c r="M43" s="5"/>
      <c r="N43" s="5"/>
      <c r="O43" s="5"/>
      <c r="P43" s="6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25">
      <c r="A44" s="49" t="s">
        <v>358</v>
      </c>
      <c r="B44" s="16" t="s">
        <v>318</v>
      </c>
      <c r="C44" s="5" t="s">
        <v>83</v>
      </c>
      <c r="D44" s="12">
        <v>1550</v>
      </c>
      <c r="E44" s="12">
        <v>1689</v>
      </c>
      <c r="F44" s="5" t="s">
        <v>7</v>
      </c>
      <c r="G44" s="97" t="s">
        <v>452</v>
      </c>
      <c r="H44" s="98"/>
      <c r="I44" s="5"/>
      <c r="J44" s="5"/>
      <c r="K44" s="5"/>
      <c r="L44" s="5"/>
      <c r="M44" s="5"/>
      <c r="N44" s="5"/>
      <c r="O44" s="5"/>
      <c r="P44" s="6">
        <f xml:space="preserve"> (E44-D44)/5280</f>
        <v>2.6325757575757575E-2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25">
      <c r="A45" s="49" t="s">
        <v>358</v>
      </c>
      <c r="B45" s="16" t="s">
        <v>313</v>
      </c>
      <c r="C45" s="5" t="s">
        <v>83</v>
      </c>
      <c r="D45" s="12">
        <v>1550</v>
      </c>
      <c r="E45" s="12">
        <v>1689</v>
      </c>
      <c r="F45" s="5" t="s">
        <v>7</v>
      </c>
      <c r="G45" s="97" t="s">
        <v>452</v>
      </c>
      <c r="H45" s="98"/>
      <c r="I45" s="5"/>
      <c r="J45" s="5"/>
      <c r="K45" s="5"/>
      <c r="L45" s="5">
        <f xml:space="preserve"> ROUNDUP((P45*5280)/80, 0)</f>
        <v>2</v>
      </c>
      <c r="M45" s="5"/>
      <c r="N45" s="5"/>
      <c r="O45" s="5"/>
      <c r="P45" s="6">
        <f xml:space="preserve"> (E45-D45)/5280</f>
        <v>2.6325757575757575E-2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25">
      <c r="A46" s="49" t="s">
        <v>358</v>
      </c>
      <c r="B46" s="16" t="s">
        <v>320</v>
      </c>
      <c r="C46" s="5" t="s">
        <v>83</v>
      </c>
      <c r="D46" s="12">
        <v>1550</v>
      </c>
      <c r="E46" s="12">
        <v>1689</v>
      </c>
      <c r="F46" s="5" t="s">
        <v>7</v>
      </c>
      <c r="G46" s="97" t="s">
        <v>452</v>
      </c>
      <c r="H46" s="98"/>
      <c r="I46" s="7">
        <f>37+103</f>
        <v>140</v>
      </c>
      <c r="J46" s="5"/>
      <c r="K46" s="5">
        <f xml:space="preserve"> ROUNDUP((I46/50)*3, 0)</f>
        <v>9</v>
      </c>
      <c r="L46" s="5"/>
      <c r="M46" s="5">
        <f xml:space="preserve"> ROUNDUP((I46/50), 0)</f>
        <v>3</v>
      </c>
      <c r="N46" s="5"/>
      <c r="O46" s="5"/>
      <c r="P46" s="6"/>
      <c r="Q46" s="5"/>
      <c r="R46" s="5"/>
      <c r="S46" s="5"/>
      <c r="T46" s="5"/>
      <c r="U46" s="5"/>
      <c r="V46" s="5"/>
      <c r="W46" s="5"/>
      <c r="X46" s="5"/>
      <c r="Y46" s="7">
        <v>140</v>
      </c>
      <c r="Z46" s="5"/>
      <c r="AA46" s="5"/>
    </row>
    <row r="47" spans="1:27" x14ac:dyDescent="0.25">
      <c r="A47" s="49" t="s">
        <v>358</v>
      </c>
      <c r="B47" s="16" t="s">
        <v>323</v>
      </c>
      <c r="C47" s="5" t="s">
        <v>31</v>
      </c>
      <c r="D47" s="12">
        <v>1550</v>
      </c>
      <c r="E47" s="12">
        <v>1558</v>
      </c>
      <c r="F47" s="5" t="s">
        <v>7</v>
      </c>
      <c r="G47" s="97" t="s">
        <v>452</v>
      </c>
      <c r="H47" s="98"/>
      <c r="I47" s="5"/>
      <c r="J47" s="5"/>
      <c r="K47" s="5"/>
      <c r="L47" s="5"/>
      <c r="M47" s="5"/>
      <c r="N47" s="5"/>
      <c r="O47" s="5"/>
      <c r="P47" s="6">
        <f xml:space="preserve"> (E47-D47)/5280</f>
        <v>1.5151515151515152E-3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x14ac:dyDescent="0.25">
      <c r="A48" s="49"/>
      <c r="B48" s="16"/>
      <c r="C48" s="5"/>
      <c r="D48" s="107"/>
      <c r="E48" s="108"/>
      <c r="F48" s="5"/>
      <c r="G48" s="109"/>
      <c r="H48" s="110"/>
      <c r="I48" s="5"/>
      <c r="J48" s="5"/>
      <c r="K48" s="5"/>
      <c r="L48" s="5"/>
      <c r="M48" s="5"/>
      <c r="N48" s="5"/>
      <c r="O48" s="5"/>
      <c r="P48" s="6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x14ac:dyDescent="0.25">
      <c r="A49" s="137" t="s">
        <v>309</v>
      </c>
      <c r="B49" s="138"/>
      <c r="C49" s="138"/>
      <c r="D49" s="138"/>
      <c r="E49" s="138"/>
      <c r="F49" s="138"/>
      <c r="G49" s="138"/>
      <c r="H49" s="139"/>
      <c r="I49" s="5"/>
      <c r="J49" s="5"/>
      <c r="K49" s="5"/>
      <c r="L49" s="5"/>
      <c r="M49" s="5"/>
      <c r="N49" s="5"/>
      <c r="O49" s="5"/>
      <c r="P49" s="6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25">
      <c r="A50" s="48" t="s">
        <v>310</v>
      </c>
      <c r="B50" s="16" t="s">
        <v>359</v>
      </c>
      <c r="C50" s="16" t="s">
        <v>30</v>
      </c>
      <c r="D50" s="12">
        <v>16650</v>
      </c>
      <c r="E50" s="12">
        <v>17548</v>
      </c>
      <c r="F50" s="16" t="s">
        <v>7</v>
      </c>
      <c r="G50" s="109" t="s">
        <v>453</v>
      </c>
      <c r="H50" s="110"/>
      <c r="I50" s="5"/>
      <c r="J50" s="5"/>
      <c r="K50" s="5"/>
      <c r="L50" s="5"/>
      <c r="M50" s="5"/>
      <c r="N50" s="16"/>
      <c r="O50" s="5"/>
      <c r="P50" s="6">
        <f xml:space="preserve"> (E50-D50)/5280</f>
        <v>0.17007575757575757</v>
      </c>
      <c r="Q50" s="5"/>
      <c r="R50" s="5"/>
      <c r="S50" s="5"/>
      <c r="T50" s="16"/>
      <c r="U50" s="5"/>
      <c r="V50" s="5"/>
      <c r="W50" s="5"/>
      <c r="X50" s="5"/>
      <c r="Y50" s="5"/>
      <c r="Z50" s="5"/>
      <c r="AA50" s="5"/>
    </row>
    <row r="51" spans="1:27" x14ac:dyDescent="0.25">
      <c r="A51" s="48" t="s">
        <v>310</v>
      </c>
      <c r="B51" s="16" t="s">
        <v>311</v>
      </c>
      <c r="C51" s="5" t="s">
        <v>31</v>
      </c>
      <c r="D51" s="173">
        <v>1084</v>
      </c>
      <c r="E51" s="173"/>
      <c r="F51" s="5" t="s">
        <v>7</v>
      </c>
      <c r="G51" s="97" t="s">
        <v>452</v>
      </c>
      <c r="H51" s="98"/>
      <c r="I51" s="42"/>
      <c r="J51" s="42"/>
      <c r="K51" s="5"/>
      <c r="L51" s="5"/>
      <c r="M51" s="5"/>
      <c r="N51" s="42"/>
      <c r="O51" s="42"/>
      <c r="P51" s="6"/>
      <c r="Q51" s="42"/>
      <c r="R51" s="42"/>
      <c r="S51" s="42"/>
      <c r="T51" s="5">
        <v>12</v>
      </c>
      <c r="U51" s="42"/>
      <c r="V51" s="42"/>
      <c r="W51" s="42"/>
      <c r="X51" s="42"/>
      <c r="Y51" s="5"/>
      <c r="Z51" s="5"/>
      <c r="AA51" s="5"/>
    </row>
    <row r="52" spans="1:27" x14ac:dyDescent="0.25">
      <c r="A52" s="48" t="s">
        <v>310</v>
      </c>
      <c r="B52" s="42" t="s">
        <v>364</v>
      </c>
      <c r="C52" s="5" t="s">
        <v>31</v>
      </c>
      <c r="D52" s="12">
        <v>1084</v>
      </c>
      <c r="E52" s="12">
        <v>1550</v>
      </c>
      <c r="F52" s="5" t="s">
        <v>8</v>
      </c>
      <c r="G52" s="97" t="s">
        <v>452</v>
      </c>
      <c r="H52" s="98"/>
      <c r="I52" s="5"/>
      <c r="J52" s="5"/>
      <c r="K52" s="5"/>
      <c r="L52" s="5"/>
      <c r="M52" s="5"/>
      <c r="N52" s="5"/>
      <c r="O52" s="5"/>
      <c r="P52" s="6">
        <f xml:space="preserve"> (E52-D52)/5280</f>
        <v>8.8257575757575757E-2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25">
      <c r="A53" s="48" t="s">
        <v>310</v>
      </c>
      <c r="B53" s="16" t="s">
        <v>351</v>
      </c>
      <c r="C53" s="5" t="s">
        <v>31</v>
      </c>
      <c r="D53" s="12">
        <v>1084</v>
      </c>
      <c r="E53" s="12">
        <v>1550</v>
      </c>
      <c r="F53" s="5" t="s">
        <v>8</v>
      </c>
      <c r="G53" s="97" t="s">
        <v>452</v>
      </c>
      <c r="H53" s="98"/>
      <c r="I53" s="5"/>
      <c r="J53" s="5"/>
      <c r="K53" s="5"/>
      <c r="L53" s="5">
        <f xml:space="preserve"> ROUNDUP((P53*5280)/80, 0)</f>
        <v>6</v>
      </c>
      <c r="M53" s="5"/>
      <c r="N53" s="5"/>
      <c r="O53" s="5"/>
      <c r="P53" s="6">
        <f xml:space="preserve"> (E53-D53)/5280</f>
        <v>8.8257575757575757E-2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25">
      <c r="A54" s="48" t="s">
        <v>310</v>
      </c>
      <c r="B54" s="42" t="s">
        <v>367</v>
      </c>
      <c r="C54" s="5" t="s">
        <v>31</v>
      </c>
      <c r="D54" s="12">
        <v>1084</v>
      </c>
      <c r="E54" s="12">
        <v>1550</v>
      </c>
      <c r="F54" s="5" t="s">
        <v>7</v>
      </c>
      <c r="G54" s="97" t="s">
        <v>452</v>
      </c>
      <c r="H54" s="98"/>
      <c r="I54" s="5"/>
      <c r="J54" s="5"/>
      <c r="K54" s="5"/>
      <c r="L54" s="5">
        <f xml:space="preserve"> ROUNDUP((P54*5280)/80, 0)</f>
        <v>6</v>
      </c>
      <c r="M54" s="5"/>
      <c r="N54" s="5"/>
      <c r="O54" s="5"/>
      <c r="P54" s="6">
        <f xml:space="preserve"> (E54-D54)/5280</f>
        <v>8.8257575757575757E-2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25">
      <c r="A55" s="48" t="s">
        <v>310</v>
      </c>
      <c r="B55" s="42" t="s">
        <v>365</v>
      </c>
      <c r="C55" s="5" t="s">
        <v>31</v>
      </c>
      <c r="D55" s="12">
        <v>1084</v>
      </c>
      <c r="E55" s="12">
        <v>1550</v>
      </c>
      <c r="F55" s="5" t="s">
        <v>7</v>
      </c>
      <c r="G55" s="97" t="s">
        <v>452</v>
      </c>
      <c r="H55" s="98"/>
      <c r="I55" s="5"/>
      <c r="J55" s="5"/>
      <c r="K55" s="5"/>
      <c r="L55" s="5"/>
      <c r="M55" s="5"/>
      <c r="N55" s="5"/>
      <c r="O55" s="5"/>
      <c r="P55" s="6">
        <f xml:space="preserve"> (E55-D55)/5280</f>
        <v>8.8257575757575757E-2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25">
      <c r="A56" s="48"/>
      <c r="B56" s="42"/>
      <c r="C56" s="5"/>
      <c r="D56" s="107"/>
      <c r="E56" s="108"/>
      <c r="F56" s="42"/>
      <c r="G56" s="97"/>
      <c r="H56" s="98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x14ac:dyDescent="0.25">
      <c r="A57" s="48" t="s">
        <v>310</v>
      </c>
      <c r="B57" s="42" t="s">
        <v>327</v>
      </c>
      <c r="C57" s="5" t="s">
        <v>31</v>
      </c>
      <c r="D57" s="107">
        <v>1094</v>
      </c>
      <c r="E57" s="108"/>
      <c r="F57" s="5" t="s">
        <v>7</v>
      </c>
      <c r="G57" s="97" t="s">
        <v>452</v>
      </c>
      <c r="H57" s="98"/>
      <c r="I57" s="5"/>
      <c r="J57" s="5"/>
      <c r="K57" s="5"/>
      <c r="L57" s="5"/>
      <c r="M57" s="5"/>
      <c r="N57" s="5"/>
      <c r="O57" s="5"/>
      <c r="P57" s="6"/>
      <c r="Q57" s="5"/>
      <c r="R57" s="5"/>
      <c r="S57" s="5"/>
      <c r="T57" s="5"/>
      <c r="U57" s="5"/>
      <c r="V57" s="5"/>
      <c r="W57" s="5">
        <v>2</v>
      </c>
      <c r="X57" s="5"/>
      <c r="Y57" s="5"/>
      <c r="Z57" s="5"/>
      <c r="AA57" s="5"/>
    </row>
    <row r="58" spans="1:27" x14ac:dyDescent="0.25">
      <c r="A58" s="48" t="s">
        <v>310</v>
      </c>
      <c r="B58" s="16" t="s">
        <v>328</v>
      </c>
      <c r="C58" s="5" t="s">
        <v>31</v>
      </c>
      <c r="D58" s="107">
        <v>1188</v>
      </c>
      <c r="E58" s="108"/>
      <c r="F58" s="5" t="s">
        <v>7</v>
      </c>
      <c r="G58" s="97" t="s">
        <v>452</v>
      </c>
      <c r="H58" s="98"/>
      <c r="I58" s="5"/>
      <c r="J58" s="5"/>
      <c r="K58" s="5"/>
      <c r="L58" s="5"/>
      <c r="M58" s="5"/>
      <c r="N58" s="5"/>
      <c r="O58" s="5"/>
      <c r="P58" s="6"/>
      <c r="Q58" s="5"/>
      <c r="R58" s="5"/>
      <c r="S58" s="5"/>
      <c r="T58" s="5"/>
      <c r="U58" s="5"/>
      <c r="V58" s="5"/>
      <c r="W58" s="5">
        <v>2</v>
      </c>
      <c r="X58" s="5"/>
      <c r="Y58" s="5"/>
      <c r="Z58" s="5"/>
      <c r="AA58" s="5"/>
    </row>
    <row r="59" spans="1:27" x14ac:dyDescent="0.25">
      <c r="A59" s="48" t="s">
        <v>310</v>
      </c>
      <c r="B59" s="16" t="s">
        <v>487</v>
      </c>
      <c r="C59" s="5" t="s">
        <v>461</v>
      </c>
      <c r="D59" s="107">
        <v>70018</v>
      </c>
      <c r="E59" s="108"/>
      <c r="F59" s="5" t="s">
        <v>7</v>
      </c>
      <c r="G59" s="109" t="s">
        <v>453</v>
      </c>
      <c r="H59" s="110"/>
      <c r="I59" s="5"/>
      <c r="J59" s="5"/>
      <c r="K59" s="5"/>
      <c r="L59" s="5"/>
      <c r="M59" s="5"/>
      <c r="N59" s="5"/>
      <c r="O59" s="5"/>
      <c r="P59" s="6"/>
      <c r="Q59" s="5"/>
      <c r="R59" s="5"/>
      <c r="S59" s="5"/>
      <c r="T59" s="5">
        <v>12</v>
      </c>
      <c r="U59" s="5"/>
      <c r="V59" s="5"/>
      <c r="W59" s="5"/>
      <c r="X59" s="5"/>
      <c r="Y59" s="5"/>
      <c r="Z59" s="5"/>
      <c r="AA59" s="5"/>
    </row>
    <row r="60" spans="1:27" ht="15" customHeight="1" x14ac:dyDescent="0.25">
      <c r="A60" s="48" t="s">
        <v>310</v>
      </c>
      <c r="B60" s="16" t="s">
        <v>488</v>
      </c>
      <c r="C60" s="5" t="s">
        <v>461</v>
      </c>
      <c r="D60" s="12">
        <v>70018</v>
      </c>
      <c r="E60" s="12">
        <v>70208</v>
      </c>
      <c r="F60" s="5" t="s">
        <v>7</v>
      </c>
      <c r="G60" s="109" t="s">
        <v>453</v>
      </c>
      <c r="H60" s="110"/>
      <c r="I60" s="5"/>
      <c r="J60" s="5"/>
      <c r="K60" s="5"/>
      <c r="L60" s="5">
        <f xml:space="preserve"> ROUNDUP((O60*5280)/80, 0)</f>
        <v>3</v>
      </c>
      <c r="M60" s="5"/>
      <c r="N60" s="5"/>
      <c r="O60" s="6">
        <f>(E60-D60)/5280</f>
        <v>3.5984848484848488E-2</v>
      </c>
      <c r="P60" s="6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" customHeight="1" x14ac:dyDescent="0.25">
      <c r="A61" s="48" t="s">
        <v>310</v>
      </c>
      <c r="B61" s="16" t="s">
        <v>489</v>
      </c>
      <c r="C61" s="5" t="s">
        <v>483</v>
      </c>
      <c r="D61" s="12">
        <v>17528</v>
      </c>
      <c r="E61" s="12">
        <v>70208</v>
      </c>
      <c r="F61" s="5" t="s">
        <v>42</v>
      </c>
      <c r="G61" s="109" t="s">
        <v>453</v>
      </c>
      <c r="H61" s="110"/>
      <c r="I61" s="5"/>
      <c r="J61" s="5"/>
      <c r="K61" s="5"/>
      <c r="L61" s="5"/>
      <c r="M61" s="5"/>
      <c r="N61" s="5"/>
      <c r="O61" s="5"/>
      <c r="P61" s="6">
        <f xml:space="preserve"> (46+50+151)/5280</f>
        <v>4.6780303030303033E-2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" customHeight="1" x14ac:dyDescent="0.25">
      <c r="A62" s="48"/>
      <c r="B62" s="16"/>
      <c r="C62" s="5"/>
      <c r="D62" s="12"/>
      <c r="E62" s="12"/>
      <c r="F62" s="5"/>
      <c r="G62" s="79"/>
      <c r="H62" s="10"/>
      <c r="I62" s="5"/>
      <c r="J62" s="5"/>
      <c r="K62" s="5"/>
      <c r="L62" s="5"/>
      <c r="M62" s="5"/>
      <c r="N62" s="5"/>
      <c r="O62" s="5"/>
      <c r="P62" s="6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" customHeight="1" x14ac:dyDescent="0.25">
      <c r="A63" s="48" t="s">
        <v>317</v>
      </c>
      <c r="B63" s="16" t="s">
        <v>368</v>
      </c>
      <c r="C63" s="5" t="s">
        <v>48</v>
      </c>
      <c r="D63" s="12">
        <v>95550</v>
      </c>
      <c r="E63" s="12">
        <v>96350</v>
      </c>
      <c r="F63" s="5" t="s">
        <v>8</v>
      </c>
      <c r="G63" s="97" t="s">
        <v>452</v>
      </c>
      <c r="H63" s="98"/>
      <c r="I63" s="5"/>
      <c r="J63" s="5"/>
      <c r="K63" s="5"/>
      <c r="L63" s="5">
        <f xml:space="preserve"> ROUNDUP((P63*5280)/80, 0)</f>
        <v>10</v>
      </c>
      <c r="M63" s="5"/>
      <c r="N63" s="5"/>
      <c r="O63" s="5"/>
      <c r="P63" s="6">
        <f xml:space="preserve"> (E63-D63)/5280</f>
        <v>0.15151515151515152</v>
      </c>
      <c r="Q63" s="7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" customHeight="1" x14ac:dyDescent="0.25">
      <c r="A64" s="48" t="s">
        <v>317</v>
      </c>
      <c r="B64" s="16" t="s">
        <v>366</v>
      </c>
      <c r="C64" s="5" t="s">
        <v>48</v>
      </c>
      <c r="D64" s="12">
        <v>95550</v>
      </c>
      <c r="E64" s="12">
        <v>96350</v>
      </c>
      <c r="F64" s="5" t="s">
        <v>8</v>
      </c>
      <c r="G64" s="97" t="s">
        <v>452</v>
      </c>
      <c r="H64" s="98"/>
      <c r="I64" s="5"/>
      <c r="J64" s="5"/>
      <c r="K64" s="5"/>
      <c r="L64" s="5"/>
      <c r="M64" s="5"/>
      <c r="N64" s="5"/>
      <c r="O64" s="5"/>
      <c r="P64" s="6">
        <f xml:space="preserve"> (E64-D64)/5280</f>
        <v>0.15151515151515152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" customHeight="1" x14ac:dyDescent="0.25">
      <c r="A65" s="101" t="s">
        <v>432</v>
      </c>
      <c r="B65" s="102"/>
      <c r="C65" s="102"/>
      <c r="D65" s="102"/>
      <c r="E65" s="102"/>
      <c r="F65" s="103"/>
      <c r="G65" s="176" t="s">
        <v>452</v>
      </c>
      <c r="H65" s="142"/>
      <c r="I65" s="77">
        <f t="shared" ref="I65:AA65" si="0">SUM(I51:I58,I27:I39,I44:I47,I21:I24,I63:I64)</f>
        <v>388</v>
      </c>
      <c r="J65" s="77">
        <f t="shared" si="0"/>
        <v>1</v>
      </c>
      <c r="K65" s="77">
        <f t="shared" si="0"/>
        <v>34</v>
      </c>
      <c r="L65" s="77">
        <f t="shared" si="0"/>
        <v>81</v>
      </c>
      <c r="M65" s="77">
        <f t="shared" si="0"/>
        <v>12</v>
      </c>
      <c r="N65" s="77">
        <f t="shared" si="0"/>
        <v>0</v>
      </c>
      <c r="O65" s="77">
        <f t="shared" si="0"/>
        <v>0</v>
      </c>
      <c r="P65" s="78">
        <f t="shared" si="0"/>
        <v>1.2843181818181819</v>
      </c>
      <c r="Q65" s="77">
        <f t="shared" si="0"/>
        <v>0</v>
      </c>
      <c r="R65" s="77">
        <f t="shared" si="0"/>
        <v>0</v>
      </c>
      <c r="S65" s="77">
        <f t="shared" si="0"/>
        <v>0</v>
      </c>
      <c r="T65" s="77">
        <f t="shared" si="0"/>
        <v>12</v>
      </c>
      <c r="U65" s="77">
        <f t="shared" si="0"/>
        <v>0</v>
      </c>
      <c r="V65" s="77">
        <f t="shared" si="0"/>
        <v>0</v>
      </c>
      <c r="W65" s="77">
        <f t="shared" si="0"/>
        <v>7</v>
      </c>
      <c r="X65" s="77">
        <f t="shared" si="0"/>
        <v>0</v>
      </c>
      <c r="Y65" s="77">
        <f t="shared" si="0"/>
        <v>549</v>
      </c>
      <c r="Z65" s="77">
        <f t="shared" si="0"/>
        <v>0</v>
      </c>
      <c r="AA65" s="77">
        <f t="shared" si="0"/>
        <v>0</v>
      </c>
    </row>
    <row r="66" spans="1:27" ht="15" customHeight="1" thickBot="1" x14ac:dyDescent="0.3">
      <c r="A66" s="104"/>
      <c r="B66" s="105"/>
      <c r="C66" s="105"/>
      <c r="D66" s="105"/>
      <c r="E66" s="105"/>
      <c r="F66" s="106"/>
      <c r="G66" s="158" t="s">
        <v>453</v>
      </c>
      <c r="H66" s="159"/>
      <c r="I66" s="69">
        <f t="shared" ref="I66:AA66" si="1">SUM(I15:I19,I40:I42,I50,I59:I61)</f>
        <v>0</v>
      </c>
      <c r="J66" s="69">
        <f t="shared" si="1"/>
        <v>0</v>
      </c>
      <c r="K66" s="69">
        <f t="shared" si="1"/>
        <v>0</v>
      </c>
      <c r="L66" s="69">
        <f t="shared" si="1"/>
        <v>18</v>
      </c>
      <c r="M66" s="69">
        <f t="shared" si="1"/>
        <v>0</v>
      </c>
      <c r="N66" s="70">
        <f t="shared" si="1"/>
        <v>0</v>
      </c>
      <c r="O66" s="70">
        <f t="shared" si="1"/>
        <v>0.23882575757575755</v>
      </c>
      <c r="P66" s="70">
        <f t="shared" si="1"/>
        <v>0.43087121212121204</v>
      </c>
      <c r="Q66" s="69">
        <f t="shared" si="1"/>
        <v>0</v>
      </c>
      <c r="R66" s="69">
        <f t="shared" si="1"/>
        <v>128</v>
      </c>
      <c r="S66" s="69">
        <f t="shared" si="1"/>
        <v>0</v>
      </c>
      <c r="T66" s="69">
        <f t="shared" si="1"/>
        <v>24</v>
      </c>
      <c r="U66" s="69">
        <f t="shared" si="1"/>
        <v>0</v>
      </c>
      <c r="V66" s="69">
        <f t="shared" si="1"/>
        <v>0</v>
      </c>
      <c r="W66" s="69">
        <f t="shared" si="1"/>
        <v>0</v>
      </c>
      <c r="X66" s="69">
        <f t="shared" si="1"/>
        <v>217.55555555555554</v>
      </c>
      <c r="Y66" s="69">
        <f t="shared" si="1"/>
        <v>0</v>
      </c>
      <c r="Z66" s="69">
        <f t="shared" si="1"/>
        <v>0</v>
      </c>
      <c r="AA66" s="69">
        <f t="shared" si="1"/>
        <v>0</v>
      </c>
    </row>
    <row r="67" spans="1:27" ht="15" customHeight="1" x14ac:dyDescent="0.25">
      <c r="A67" s="26"/>
      <c r="B67" s="27"/>
      <c r="C67" s="28"/>
      <c r="D67" s="15"/>
      <c r="E67" s="15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9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15" customHeight="1" x14ac:dyDescent="0.25">
      <c r="A68" s="26"/>
      <c r="B68" s="27"/>
      <c r="C68" s="28"/>
      <c r="D68" s="15"/>
      <c r="E68" s="15"/>
      <c r="F68" s="30"/>
      <c r="G68" s="30"/>
      <c r="H68" s="30"/>
      <c r="I68" s="30"/>
      <c r="J68" s="30"/>
      <c r="K68" s="28"/>
      <c r="L68" s="28"/>
      <c r="M68" s="28"/>
      <c r="N68" s="30"/>
      <c r="O68" s="30"/>
      <c r="P68" s="31"/>
      <c r="Q68" s="31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15" customHeight="1" x14ac:dyDescent="0.25">
      <c r="A69" s="26"/>
      <c r="B69" s="32"/>
      <c r="C69" s="28"/>
      <c r="D69" s="15"/>
      <c r="E69" s="15"/>
      <c r="F69" s="28"/>
      <c r="G69" s="28"/>
      <c r="H69" s="28"/>
      <c r="I69" s="28"/>
      <c r="J69" s="28"/>
      <c r="K69" s="28"/>
      <c r="L69" s="28"/>
      <c r="M69" s="28"/>
      <c r="N69" s="28"/>
      <c r="O69" s="29"/>
      <c r="P69" s="29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15" customHeight="1" x14ac:dyDescent="0.25">
      <c r="A70" s="26"/>
      <c r="B70" s="32"/>
      <c r="C70" s="28"/>
      <c r="D70" s="15"/>
      <c r="E70" s="15"/>
      <c r="F70" s="28"/>
      <c r="G70" s="28"/>
      <c r="H70" s="28"/>
      <c r="I70" s="28"/>
      <c r="J70" s="28"/>
      <c r="K70" s="28"/>
      <c r="L70" s="28"/>
      <c r="M70" s="28"/>
      <c r="N70" s="28"/>
      <c r="O70" s="28"/>
      <c r="Q70" s="28"/>
      <c r="R70" s="33"/>
      <c r="S70" s="26"/>
      <c r="T70" s="26"/>
      <c r="U70" s="26"/>
      <c r="V70" s="26"/>
      <c r="W70" s="26"/>
      <c r="X70" s="26"/>
      <c r="Y70" s="26"/>
      <c r="Z70" s="28"/>
      <c r="AA70" s="28"/>
    </row>
    <row r="71" spans="1:27" ht="15" customHeight="1" x14ac:dyDescent="0.25">
      <c r="A71" s="26"/>
      <c r="B71" s="27"/>
      <c r="C71" s="28"/>
      <c r="D71" s="15"/>
      <c r="E71" s="15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8"/>
      <c r="R71" s="26"/>
      <c r="S71" s="26"/>
      <c r="T71" s="26"/>
      <c r="U71" s="26"/>
      <c r="V71" s="26"/>
      <c r="W71" s="26"/>
      <c r="X71" s="26"/>
      <c r="Y71" s="26"/>
      <c r="Z71" s="28"/>
      <c r="AA71" s="28"/>
    </row>
    <row r="72" spans="1:27" ht="15" customHeight="1" x14ac:dyDescent="0.25">
      <c r="A72" s="26"/>
      <c r="B72" s="27"/>
      <c r="C72" s="28"/>
      <c r="D72" s="15"/>
      <c r="E72" s="15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9"/>
      <c r="Q72" s="28"/>
      <c r="R72" s="26"/>
      <c r="S72" s="26"/>
      <c r="T72" s="26"/>
      <c r="U72" s="26"/>
      <c r="V72" s="26"/>
      <c r="W72" s="33"/>
      <c r="X72" s="28"/>
      <c r="Y72" s="28"/>
      <c r="Z72" s="28"/>
      <c r="AA72" s="28"/>
    </row>
    <row r="73" spans="1:27" ht="15" customHeight="1" x14ac:dyDescent="0.25">
      <c r="A73" s="26"/>
      <c r="B73" s="27"/>
      <c r="C73" s="28"/>
      <c r="D73" s="15"/>
      <c r="E73" s="15"/>
      <c r="F73" s="28"/>
      <c r="G73" s="28"/>
      <c r="H73" s="28"/>
      <c r="I73" s="28"/>
      <c r="J73" s="28"/>
      <c r="K73" s="28"/>
      <c r="L73" s="28"/>
      <c r="M73" s="28"/>
      <c r="N73" s="28"/>
      <c r="O73" s="29"/>
      <c r="P73" s="26"/>
      <c r="Q73" s="28"/>
      <c r="R73" s="28"/>
      <c r="S73" s="28"/>
      <c r="T73" s="28"/>
      <c r="U73" s="28"/>
      <c r="V73" s="28"/>
      <c r="W73" s="31"/>
      <c r="X73" s="28"/>
      <c r="Y73" s="28"/>
      <c r="Z73" s="28"/>
      <c r="AA73" s="28"/>
    </row>
    <row r="74" spans="1:27" ht="15" customHeight="1" x14ac:dyDescent="0.25">
      <c r="A74" s="26"/>
      <c r="B74" s="27"/>
      <c r="C74" s="28"/>
      <c r="D74" s="15"/>
      <c r="E74" s="15"/>
      <c r="F74" s="28"/>
      <c r="G74" s="28"/>
      <c r="H74" s="28"/>
      <c r="I74" s="31"/>
      <c r="J74" s="28"/>
      <c r="K74" s="31"/>
      <c r="L74" s="31"/>
      <c r="M74" s="31"/>
      <c r="N74" s="29"/>
      <c r="O74" s="28"/>
      <c r="P74" s="28"/>
      <c r="Q74" s="28"/>
      <c r="R74" s="28"/>
      <c r="S74" s="28"/>
      <c r="T74" s="28"/>
      <c r="U74" s="28"/>
      <c r="V74" s="28"/>
      <c r="W74" s="31"/>
      <c r="X74" s="29"/>
      <c r="Y74" s="31"/>
      <c r="Z74" s="28"/>
      <c r="AA74" s="28"/>
    </row>
    <row r="75" spans="1:27" ht="15" customHeight="1" x14ac:dyDescent="0.25">
      <c r="A75" s="26"/>
      <c r="B75" s="27"/>
      <c r="C75" s="28"/>
      <c r="D75" s="174"/>
      <c r="E75" s="174"/>
      <c r="F75" s="28"/>
      <c r="G75" s="28"/>
      <c r="H75" s="28"/>
      <c r="I75" s="28"/>
      <c r="J75" s="28"/>
      <c r="K75" s="28"/>
      <c r="L75" s="28"/>
      <c r="M75" s="28"/>
      <c r="N75" s="28"/>
      <c r="O75" s="29"/>
      <c r="P75" s="29"/>
      <c r="Q75" s="31"/>
      <c r="R75" s="31"/>
      <c r="S75" s="29"/>
      <c r="T75" s="29"/>
      <c r="U75" s="29"/>
      <c r="V75" s="29"/>
      <c r="W75" s="31"/>
      <c r="X75" s="28"/>
      <c r="Y75" s="28"/>
      <c r="Z75" s="28"/>
      <c r="AA75" s="28"/>
    </row>
    <row r="77" spans="1:27" ht="15" customHeight="1" x14ac:dyDescent="0.25">
      <c r="A77" s="26"/>
      <c r="B77" s="27"/>
      <c r="C77" s="28"/>
      <c r="D77" s="174"/>
      <c r="E77" s="174"/>
      <c r="F77" s="28"/>
      <c r="G77" s="28"/>
      <c r="H77" s="28"/>
      <c r="I77" s="28"/>
      <c r="J77" s="28"/>
      <c r="K77" s="28"/>
      <c r="L77" s="28"/>
      <c r="M77" s="28"/>
      <c r="N77" s="29"/>
      <c r="O77" s="28"/>
      <c r="P77" s="29"/>
      <c r="Q77" s="28"/>
      <c r="R77" s="28"/>
      <c r="S77" s="28"/>
      <c r="T77" s="28"/>
      <c r="U77" s="28"/>
      <c r="V77" s="28"/>
      <c r="W77" s="31"/>
      <c r="X77" s="28"/>
      <c r="Y77" s="28"/>
      <c r="Z77" s="28"/>
      <c r="AA77" s="28"/>
    </row>
    <row r="78" spans="1:27" ht="15.75" customHeight="1" x14ac:dyDescent="0.25">
      <c r="A78" s="26"/>
      <c r="B78" s="27"/>
      <c r="C78" s="28"/>
      <c r="D78" s="15"/>
      <c r="E78" s="15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9"/>
      <c r="Q78" s="28"/>
      <c r="R78" s="28"/>
      <c r="S78" s="28"/>
      <c r="T78" s="28"/>
      <c r="U78" s="28"/>
      <c r="V78" s="28"/>
      <c r="W78" s="31"/>
      <c r="X78" s="28"/>
      <c r="Y78" s="28"/>
      <c r="Z78" s="28"/>
      <c r="AA78" s="28"/>
    </row>
    <row r="79" spans="1:27" x14ac:dyDescent="0.25">
      <c r="A79" s="26"/>
      <c r="B79" s="27"/>
      <c r="C79" s="28"/>
      <c r="D79" s="15"/>
      <c r="E79" s="15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9"/>
      <c r="Q79" s="28"/>
      <c r="R79" s="31"/>
      <c r="S79" s="28"/>
      <c r="T79" s="28"/>
      <c r="U79" s="28"/>
      <c r="V79" s="28"/>
      <c r="W79" s="28"/>
      <c r="X79" s="28"/>
      <c r="Y79" s="28"/>
      <c r="Z79" s="28"/>
      <c r="AA79" s="28"/>
    </row>
    <row r="80" spans="1:27" x14ac:dyDescent="0.25">
      <c r="A80" s="26"/>
      <c r="B80" s="27"/>
      <c r="C80" s="28"/>
      <c r="D80" s="15"/>
      <c r="E80" s="15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x14ac:dyDescent="0.25">
      <c r="A81" s="26"/>
      <c r="B81" s="25"/>
      <c r="C81" s="28"/>
      <c r="D81" s="15"/>
      <c r="E81" s="15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9"/>
      <c r="Q81" s="28"/>
      <c r="R81" s="28"/>
      <c r="S81" s="28"/>
      <c r="T81" s="28"/>
      <c r="U81" s="28"/>
      <c r="V81" s="28"/>
      <c r="W81" s="25"/>
      <c r="X81" s="28"/>
      <c r="Y81" s="28"/>
      <c r="Z81" s="28"/>
      <c r="AA81" s="28"/>
    </row>
    <row r="83" spans="1:27" x14ac:dyDescent="0.25">
      <c r="A83" s="26"/>
      <c r="B83" s="25"/>
      <c r="C83" s="28"/>
      <c r="D83" s="15"/>
      <c r="E83" s="15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28"/>
      <c r="Q83" s="31"/>
      <c r="R83" s="28"/>
      <c r="S83" s="28"/>
      <c r="T83" s="28"/>
      <c r="U83" s="28"/>
      <c r="V83" s="28"/>
      <c r="W83" s="28"/>
      <c r="X83" s="31"/>
      <c r="Y83" s="28"/>
      <c r="Z83" s="28"/>
      <c r="AA83" s="28"/>
    </row>
    <row r="84" spans="1:27" x14ac:dyDescent="0.25">
      <c r="A84" s="26"/>
      <c r="B84" s="27"/>
      <c r="C84" s="28"/>
      <c r="D84" s="15"/>
      <c r="E84" s="15"/>
      <c r="F84" s="28"/>
      <c r="G84" s="28"/>
      <c r="H84" s="28"/>
      <c r="I84" s="28"/>
      <c r="J84" s="28"/>
      <c r="K84" s="28"/>
      <c r="L84" s="28"/>
      <c r="M84" s="28"/>
      <c r="N84" s="28"/>
      <c r="O84" s="29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x14ac:dyDescent="0.25">
      <c r="A85" s="26"/>
      <c r="B85" s="27"/>
      <c r="C85" s="28"/>
      <c r="D85" s="15"/>
      <c r="E85" s="15"/>
      <c r="F85" s="28"/>
      <c r="G85" s="28"/>
      <c r="H85" s="28"/>
      <c r="O85" s="28"/>
      <c r="P85" s="28"/>
      <c r="Q85" s="28"/>
      <c r="R85" s="31"/>
      <c r="S85" s="28"/>
      <c r="T85" s="28"/>
      <c r="U85" s="28"/>
      <c r="V85" s="28"/>
      <c r="W85" s="28"/>
    </row>
    <row r="89" spans="1:27" x14ac:dyDescent="0.25">
      <c r="A89" s="26"/>
      <c r="B89" s="27"/>
      <c r="C89" s="28"/>
      <c r="D89" s="15"/>
      <c r="E89" s="15"/>
      <c r="F89" s="28"/>
      <c r="G89" s="28"/>
      <c r="H89" s="28"/>
    </row>
  </sheetData>
  <mergeCells count="95">
    <mergeCell ref="A65:F66"/>
    <mergeCell ref="G65:H65"/>
    <mergeCell ref="G66:H66"/>
    <mergeCell ref="G15:H15"/>
    <mergeCell ref="G16:H16"/>
    <mergeCell ref="G58:H58"/>
    <mergeCell ref="D59:E59"/>
    <mergeCell ref="G59:H59"/>
    <mergeCell ref="G60:H60"/>
    <mergeCell ref="D41:E41"/>
    <mergeCell ref="G40:H40"/>
    <mergeCell ref="G42:H42"/>
    <mergeCell ref="G41:H41"/>
    <mergeCell ref="D38:E38"/>
    <mergeCell ref="G35:H35"/>
    <mergeCell ref="G36:H36"/>
    <mergeCell ref="AA2:AA12"/>
    <mergeCell ref="V2:V12"/>
    <mergeCell ref="X2:X12"/>
    <mergeCell ref="Y2:Y12"/>
    <mergeCell ref="Z2:Z12"/>
    <mergeCell ref="W2:W12"/>
    <mergeCell ref="Q2:Q12"/>
    <mergeCell ref="R2:R12"/>
    <mergeCell ref="S2:S12"/>
    <mergeCell ref="T2:T12"/>
    <mergeCell ref="U2:U12"/>
    <mergeCell ref="J2:J12"/>
    <mergeCell ref="N2:N12"/>
    <mergeCell ref="O2:O12"/>
    <mergeCell ref="P2:P12"/>
    <mergeCell ref="K2:K12"/>
    <mergeCell ref="M2:M12"/>
    <mergeCell ref="L2:L12"/>
    <mergeCell ref="I2:I12"/>
    <mergeCell ref="D31:E31"/>
    <mergeCell ref="G31:H31"/>
    <mergeCell ref="A1:A13"/>
    <mergeCell ref="B1:B13"/>
    <mergeCell ref="C1:C13"/>
    <mergeCell ref="D1:E12"/>
    <mergeCell ref="F1:F13"/>
    <mergeCell ref="G20:H20"/>
    <mergeCell ref="G27:H27"/>
    <mergeCell ref="G25:H25"/>
    <mergeCell ref="G28:H28"/>
    <mergeCell ref="G29:H29"/>
    <mergeCell ref="G30:H30"/>
    <mergeCell ref="D25:E25"/>
    <mergeCell ref="G1:H13"/>
    <mergeCell ref="A14:H14"/>
    <mergeCell ref="A26:H26"/>
    <mergeCell ref="G21:H21"/>
    <mergeCell ref="G22:H22"/>
    <mergeCell ref="G23:H23"/>
    <mergeCell ref="G24:H24"/>
    <mergeCell ref="G18:H18"/>
    <mergeCell ref="G19:H19"/>
    <mergeCell ref="G17:H17"/>
    <mergeCell ref="D77:E77"/>
    <mergeCell ref="D51:E51"/>
    <mergeCell ref="D39:E39"/>
    <mergeCell ref="D75:E75"/>
    <mergeCell ref="D58:E58"/>
    <mergeCell ref="D57:E57"/>
    <mergeCell ref="D56:E56"/>
    <mergeCell ref="D48:E48"/>
    <mergeCell ref="D43:E43"/>
    <mergeCell ref="A49:H49"/>
    <mergeCell ref="G52:H52"/>
    <mergeCell ref="G53:H53"/>
    <mergeCell ref="G54:H54"/>
    <mergeCell ref="G55:H55"/>
    <mergeCell ref="G39:H39"/>
    <mergeCell ref="G43:H43"/>
    <mergeCell ref="G51:H51"/>
    <mergeCell ref="G44:H44"/>
    <mergeCell ref="G45:H45"/>
    <mergeCell ref="G46:H46"/>
    <mergeCell ref="G47:H47"/>
    <mergeCell ref="G37:H37"/>
    <mergeCell ref="G38:H38"/>
    <mergeCell ref="G48:H48"/>
    <mergeCell ref="G50:H50"/>
    <mergeCell ref="D32:E32"/>
    <mergeCell ref="G32:H32"/>
    <mergeCell ref="G33:H33"/>
    <mergeCell ref="D33:E33"/>
    <mergeCell ref="D36:E36"/>
    <mergeCell ref="G34:H34"/>
    <mergeCell ref="G61:H61"/>
    <mergeCell ref="G63:H63"/>
    <mergeCell ref="G64:H64"/>
    <mergeCell ref="G56:H56"/>
    <mergeCell ref="G57:H57"/>
  </mergeCells>
  <phoneticPr fontId="2" type="noConversion"/>
  <pageMargins left="0.7" right="0.7" top="0.75" bottom="0.75" header="0.3" footer="0.3"/>
  <pageSetup orientation="portrait" r:id="rId1"/>
  <ignoredErrors>
    <ignoredError sqref="P2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752B-AB0F-44B8-87FE-F495FCB4A5AA}">
  <sheetPr codeName="Sheet8"/>
  <dimension ref="A1:AA87"/>
  <sheetViews>
    <sheetView zoomScale="80" zoomScaleNormal="80" workbookViewId="0">
      <selection activeCell="AA63" sqref="A1:AA63"/>
    </sheetView>
  </sheetViews>
  <sheetFormatPr defaultRowHeight="15" x14ac:dyDescent="0.25"/>
  <cols>
    <col min="1" max="1" width="11.42578125" customWidth="1"/>
    <col min="2" max="2" width="12.7109375" customWidth="1"/>
    <col min="3" max="3" width="20" customWidth="1"/>
    <col min="4" max="5" width="9.140625" customWidth="1"/>
    <col min="6" max="6" width="9.5703125" customWidth="1"/>
    <col min="8" max="8" width="9" customWidth="1"/>
    <col min="15" max="15" width="8.85546875" customWidth="1"/>
    <col min="16" max="16" width="9" customWidth="1"/>
    <col min="17" max="17" width="8.7109375" customWidth="1"/>
    <col min="24" max="24" width="10.7109375" bestFit="1" customWidth="1"/>
    <col min="27" max="27" width="9.140625" customWidth="1"/>
  </cols>
  <sheetData>
    <row r="1" spans="1:27" ht="18" customHeight="1" x14ac:dyDescent="0.25">
      <c r="A1" s="114" t="s">
        <v>43</v>
      </c>
      <c r="B1" s="117" t="s">
        <v>27</v>
      </c>
      <c r="C1" s="117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  <c r="AA1" s="1"/>
    </row>
    <row r="2" spans="1:27" ht="16.5" customHeight="1" x14ac:dyDescent="0.25">
      <c r="A2" s="115"/>
      <c r="B2" s="118"/>
      <c r="C2" s="118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16</v>
      </c>
      <c r="T2" s="111" t="s">
        <v>17</v>
      </c>
      <c r="U2" s="111" t="s">
        <v>18</v>
      </c>
      <c r="V2" s="111" t="s">
        <v>438</v>
      </c>
      <c r="W2" s="111" t="s">
        <v>19</v>
      </c>
      <c r="X2" s="111" t="s">
        <v>20</v>
      </c>
      <c r="Y2" s="111" t="s">
        <v>22</v>
      </c>
      <c r="Z2" s="111" t="s">
        <v>423</v>
      </c>
      <c r="AA2" s="111"/>
    </row>
    <row r="3" spans="1:27" ht="16.5" customHeight="1" x14ac:dyDescent="0.25">
      <c r="A3" s="115"/>
      <c r="B3" s="118"/>
      <c r="C3" s="118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27" ht="16.5" customHeight="1" x14ac:dyDescent="0.25">
      <c r="A4" s="115"/>
      <c r="B4" s="118"/>
      <c r="C4" s="118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1:27" ht="16.5" customHeight="1" x14ac:dyDescent="0.25">
      <c r="A5" s="115"/>
      <c r="B5" s="118"/>
      <c r="C5" s="118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7" ht="12" customHeight="1" x14ac:dyDescent="0.25">
      <c r="A6" s="115"/>
      <c r="B6" s="118"/>
      <c r="C6" s="118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 ht="15.6" customHeight="1" x14ac:dyDescent="0.25">
      <c r="A7" s="115"/>
      <c r="B7" s="118"/>
      <c r="C7" s="118"/>
      <c r="D7" s="118"/>
      <c r="E7" s="118"/>
      <c r="F7" s="120"/>
      <c r="G7" s="126"/>
      <c r="H7" s="127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27" ht="15.6" customHeight="1" x14ac:dyDescent="0.25">
      <c r="A8" s="115"/>
      <c r="B8" s="118"/>
      <c r="C8" s="118"/>
      <c r="D8" s="118"/>
      <c r="E8" s="118"/>
      <c r="F8" s="120"/>
      <c r="G8" s="126"/>
      <c r="H8" s="127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27" ht="11.45" customHeight="1" x14ac:dyDescent="0.25">
      <c r="A9" s="115"/>
      <c r="B9" s="118"/>
      <c r="C9" s="118"/>
      <c r="D9" s="118"/>
      <c r="E9" s="118"/>
      <c r="F9" s="120"/>
      <c r="G9" s="126"/>
      <c r="H9" s="127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</row>
    <row r="10" spans="1:27" ht="15.6" customHeight="1" x14ac:dyDescent="0.25">
      <c r="A10" s="115"/>
      <c r="B10" s="118"/>
      <c r="C10" s="118"/>
      <c r="D10" s="118"/>
      <c r="E10" s="118"/>
      <c r="F10" s="120"/>
      <c r="G10" s="126"/>
      <c r="H10" s="127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</row>
    <row r="11" spans="1:27" ht="16.149999999999999" customHeight="1" x14ac:dyDescent="0.25">
      <c r="A11" s="115"/>
      <c r="B11" s="118"/>
      <c r="C11" s="118"/>
      <c r="D11" s="118"/>
      <c r="E11" s="118"/>
      <c r="F11" s="120"/>
      <c r="G11" s="126"/>
      <c r="H11" s="127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</row>
    <row r="12" spans="1:27" ht="18" customHeight="1" x14ac:dyDescent="0.25">
      <c r="A12" s="115"/>
      <c r="B12" s="118"/>
      <c r="C12" s="118"/>
      <c r="D12" s="118"/>
      <c r="E12" s="118"/>
      <c r="F12" s="120"/>
      <c r="G12" s="126"/>
      <c r="H12" s="127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</row>
    <row r="13" spans="1:27" ht="18.75" thickBot="1" x14ac:dyDescent="0.3">
      <c r="A13" s="116"/>
      <c r="B13" s="175"/>
      <c r="C13" s="175"/>
      <c r="D13" s="56" t="s">
        <v>3</v>
      </c>
      <c r="E13" s="56" t="s">
        <v>4</v>
      </c>
      <c r="F13" s="161"/>
      <c r="G13" s="128"/>
      <c r="H13" s="129"/>
      <c r="I13" s="22" t="s">
        <v>9</v>
      </c>
      <c r="J13" s="22" t="s">
        <v>6</v>
      </c>
      <c r="K13" s="22" t="s">
        <v>6</v>
      </c>
      <c r="L13" s="22" t="s">
        <v>6</v>
      </c>
      <c r="M13" s="22" t="s">
        <v>6</v>
      </c>
      <c r="N13" s="22" t="s">
        <v>11</v>
      </c>
      <c r="O13" s="22" t="s">
        <v>11</v>
      </c>
      <c r="P13" s="22" t="s">
        <v>11</v>
      </c>
      <c r="Q13" s="22" t="s">
        <v>9</v>
      </c>
      <c r="R13" s="22" t="s">
        <v>9</v>
      </c>
      <c r="S13" s="22" t="s">
        <v>9</v>
      </c>
      <c r="T13" s="22" t="s">
        <v>9</v>
      </c>
      <c r="U13" s="22" t="s">
        <v>9</v>
      </c>
      <c r="V13" s="22" t="s">
        <v>9</v>
      </c>
      <c r="W13" s="22" t="s">
        <v>6</v>
      </c>
      <c r="X13" s="22" t="s">
        <v>21</v>
      </c>
      <c r="Y13" s="22" t="s">
        <v>9</v>
      </c>
      <c r="Z13" s="22" t="s">
        <v>6</v>
      </c>
      <c r="AA13" s="22"/>
    </row>
    <row r="14" spans="1:27" x14ac:dyDescent="0.25">
      <c r="A14" s="134" t="s">
        <v>309</v>
      </c>
      <c r="B14" s="135"/>
      <c r="C14" s="135"/>
      <c r="D14" s="135"/>
      <c r="E14" s="135"/>
      <c r="F14" s="135"/>
      <c r="G14" s="135"/>
      <c r="H14" s="13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48" t="s">
        <v>317</v>
      </c>
      <c r="B15" s="16" t="s">
        <v>319</v>
      </c>
      <c r="C15" s="5" t="s">
        <v>48</v>
      </c>
      <c r="D15" s="12">
        <v>95550</v>
      </c>
      <c r="E15" s="12">
        <v>96350</v>
      </c>
      <c r="F15" s="5" t="s">
        <v>8</v>
      </c>
      <c r="G15" s="97" t="s">
        <v>452</v>
      </c>
      <c r="H15" s="98"/>
      <c r="I15" s="5"/>
      <c r="J15" s="5"/>
      <c r="K15" s="5"/>
      <c r="L15" s="5">
        <f xml:space="preserve"> ROUNDUP( (N15*5280)/80, 0)</f>
        <v>10</v>
      </c>
      <c r="M15" s="5"/>
      <c r="N15" s="6">
        <f xml:space="preserve"> (E15-D15)/5280</f>
        <v>0.15151515151515152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25">
      <c r="A16" s="48" t="s">
        <v>317</v>
      </c>
      <c r="B16" s="16" t="s">
        <v>499</v>
      </c>
      <c r="C16" s="5" t="s">
        <v>48</v>
      </c>
      <c r="D16" s="12">
        <v>95550</v>
      </c>
      <c r="E16" s="12">
        <v>96350</v>
      </c>
      <c r="F16" s="5" t="s">
        <v>8</v>
      </c>
      <c r="G16" s="97" t="s">
        <v>452</v>
      </c>
      <c r="H16" s="98"/>
      <c r="I16" s="7"/>
      <c r="J16" s="5"/>
      <c r="K16" s="7">
        <f xml:space="preserve"> ROUNDUP((Y16/50)*3, 0)</f>
        <v>48</v>
      </c>
      <c r="L16" s="7"/>
      <c r="M16" s="7">
        <f xml:space="preserve"> ROUNDUP((Y16/50), 0)</f>
        <v>16</v>
      </c>
      <c r="N16" s="6"/>
      <c r="O16" s="6"/>
      <c r="P16" s="6"/>
      <c r="Q16" s="7"/>
      <c r="R16" s="7"/>
      <c r="S16" s="6"/>
      <c r="T16" s="6"/>
      <c r="U16" s="6"/>
      <c r="V16" s="6"/>
      <c r="W16" s="6"/>
      <c r="X16" s="6"/>
      <c r="Y16" s="7">
        <f xml:space="preserve"> E16-D16</f>
        <v>800</v>
      </c>
      <c r="Z16" s="5"/>
      <c r="AA16" s="5"/>
    </row>
    <row r="17" spans="1:27" x14ac:dyDescent="0.25">
      <c r="A17" s="48" t="s">
        <v>317</v>
      </c>
      <c r="B17" s="16" t="s">
        <v>324</v>
      </c>
      <c r="C17" s="5" t="s">
        <v>48</v>
      </c>
      <c r="D17" s="12">
        <v>96089</v>
      </c>
      <c r="E17" s="12">
        <v>96350</v>
      </c>
      <c r="F17" s="5" t="s">
        <v>8</v>
      </c>
      <c r="G17" s="97" t="s">
        <v>452</v>
      </c>
      <c r="H17" s="98"/>
      <c r="I17" s="5"/>
      <c r="J17" s="5"/>
      <c r="K17" s="5"/>
      <c r="L17" s="9">
        <f xml:space="preserve"> ROUNDUP(Q17/40, 0)</f>
        <v>7</v>
      </c>
      <c r="M17" s="5"/>
      <c r="N17" s="5"/>
      <c r="O17" s="5"/>
      <c r="P17" s="16"/>
      <c r="Q17" s="7">
        <f xml:space="preserve"> E17-D17</f>
        <v>261</v>
      </c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25">
      <c r="A18" s="48"/>
      <c r="B18" s="16"/>
      <c r="C18" s="5"/>
      <c r="D18" s="107"/>
      <c r="E18" s="108"/>
      <c r="F18" s="5"/>
      <c r="G18" s="97"/>
      <c r="H18" s="98"/>
      <c r="I18" s="5"/>
      <c r="J18" s="5"/>
      <c r="K18" s="5"/>
      <c r="L18" s="5"/>
      <c r="M18" s="5"/>
      <c r="N18" s="5"/>
      <c r="O18" s="5"/>
      <c r="P18" s="16"/>
      <c r="Q18" s="7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25">
      <c r="A19" s="48" t="s">
        <v>317</v>
      </c>
      <c r="B19" s="16" t="s">
        <v>369</v>
      </c>
      <c r="C19" s="5" t="s">
        <v>352</v>
      </c>
      <c r="D19" s="12">
        <v>2300</v>
      </c>
      <c r="E19" s="12">
        <v>3285</v>
      </c>
      <c r="F19" s="5" t="s">
        <v>7</v>
      </c>
      <c r="G19" s="97" t="s">
        <v>452</v>
      </c>
      <c r="H19" s="98"/>
      <c r="I19" s="16"/>
      <c r="J19" s="16"/>
      <c r="K19" s="16"/>
      <c r="L19" s="5">
        <f xml:space="preserve"> ROUNDUP((P19*5280)/80, 0)</f>
        <v>13</v>
      </c>
      <c r="M19" s="16"/>
      <c r="N19" s="16"/>
      <c r="O19" s="16"/>
      <c r="P19" s="6">
        <f xml:space="preserve"> (E19-D19)/5280</f>
        <v>0.1865530303030303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x14ac:dyDescent="0.25">
      <c r="A20" s="48" t="s">
        <v>317</v>
      </c>
      <c r="B20" s="16" t="s">
        <v>373</v>
      </c>
      <c r="C20" s="16" t="s">
        <v>352</v>
      </c>
      <c r="D20" s="12">
        <v>2300</v>
      </c>
      <c r="E20" s="12">
        <v>3285</v>
      </c>
      <c r="F20" s="16" t="s">
        <v>62</v>
      </c>
      <c r="G20" s="97" t="s">
        <v>452</v>
      </c>
      <c r="H20" s="98"/>
      <c r="I20" s="16"/>
      <c r="J20" s="16"/>
      <c r="K20" s="16"/>
      <c r="L20" s="16"/>
      <c r="M20" s="16"/>
      <c r="N20" s="16"/>
      <c r="O20" s="16"/>
      <c r="P20" s="6">
        <f xml:space="preserve"> (E20-D20)/5280</f>
        <v>0.1865530303030303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x14ac:dyDescent="0.25">
      <c r="A21" s="48"/>
      <c r="B21" s="16"/>
      <c r="C21" s="16"/>
      <c r="D21" s="12"/>
      <c r="E21" s="12"/>
      <c r="F21" s="16"/>
      <c r="G21" s="79"/>
      <c r="H21" s="10"/>
      <c r="I21" s="16"/>
      <c r="J21" s="16"/>
      <c r="K21" s="16"/>
      <c r="L21" s="16"/>
      <c r="M21" s="16"/>
      <c r="N21" s="16"/>
      <c r="O21" s="16"/>
      <c r="P21" s="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x14ac:dyDescent="0.25">
      <c r="A22" s="48" t="s">
        <v>321</v>
      </c>
      <c r="B22" s="42" t="s">
        <v>369</v>
      </c>
      <c r="C22" s="5" t="s">
        <v>352</v>
      </c>
      <c r="D22" s="12">
        <v>2104</v>
      </c>
      <c r="E22" s="12">
        <v>2300</v>
      </c>
      <c r="F22" s="5" t="s">
        <v>7</v>
      </c>
      <c r="G22" s="97" t="s">
        <v>452</v>
      </c>
      <c r="H22" s="98"/>
      <c r="I22" s="16"/>
      <c r="J22" s="16"/>
      <c r="K22" s="16"/>
      <c r="L22" s="5">
        <f xml:space="preserve"> ROUNDUP((P22*5280)/80, 0)</f>
        <v>3</v>
      </c>
      <c r="M22" s="16"/>
      <c r="N22" s="16"/>
      <c r="O22" s="16"/>
      <c r="P22" s="6">
        <f xml:space="preserve"> (E22-D22)/5280</f>
        <v>3.7121212121212124E-2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x14ac:dyDescent="0.25">
      <c r="A23" s="48" t="s">
        <v>321</v>
      </c>
      <c r="B23" s="16" t="s">
        <v>322</v>
      </c>
      <c r="C23" s="5" t="s">
        <v>30</v>
      </c>
      <c r="D23" s="173">
        <v>18843</v>
      </c>
      <c r="E23" s="173"/>
      <c r="F23" s="5" t="s">
        <v>8</v>
      </c>
      <c r="G23" s="97" t="s">
        <v>452</v>
      </c>
      <c r="H23" s="98"/>
      <c r="I23" s="5"/>
      <c r="J23" s="5"/>
      <c r="K23" s="5"/>
      <c r="L23" s="5"/>
      <c r="M23" s="5"/>
      <c r="N23" s="5"/>
      <c r="O23" s="6"/>
      <c r="P23" s="5"/>
      <c r="Q23" s="5"/>
      <c r="R23" s="5"/>
      <c r="S23" s="5"/>
      <c r="T23" s="5">
        <v>22</v>
      </c>
      <c r="U23" s="5"/>
      <c r="V23" s="5"/>
      <c r="W23" s="5"/>
      <c r="X23" s="5"/>
      <c r="Y23" s="5"/>
      <c r="Z23" s="5"/>
      <c r="AA23" s="5"/>
    </row>
    <row r="24" spans="1:27" x14ac:dyDescent="0.25">
      <c r="A24" s="48" t="s">
        <v>321</v>
      </c>
      <c r="B24" s="42" t="s">
        <v>370</v>
      </c>
      <c r="C24" s="5" t="s">
        <v>334</v>
      </c>
      <c r="D24" s="12">
        <v>3650</v>
      </c>
      <c r="E24" s="12">
        <v>19650</v>
      </c>
      <c r="F24" s="5" t="s">
        <v>62</v>
      </c>
      <c r="G24" s="97" t="s">
        <v>452</v>
      </c>
      <c r="H24" s="98"/>
      <c r="I24" s="5"/>
      <c r="J24" s="5"/>
      <c r="K24" s="5"/>
      <c r="L24" s="5"/>
      <c r="M24" s="5"/>
      <c r="N24" s="5"/>
      <c r="O24" s="5"/>
      <c r="P24" s="6">
        <f xml:space="preserve"> (29+241+75+252+51+198+114+112+120)/5280</f>
        <v>0.22575757575757577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25">
      <c r="A25" s="48" t="s">
        <v>321</v>
      </c>
      <c r="B25" s="42" t="s">
        <v>346</v>
      </c>
      <c r="C25" s="5" t="s">
        <v>30</v>
      </c>
      <c r="D25" s="12">
        <v>18843</v>
      </c>
      <c r="E25" s="12">
        <v>19057</v>
      </c>
      <c r="F25" s="42" t="s">
        <v>7</v>
      </c>
      <c r="G25" s="97" t="s">
        <v>452</v>
      </c>
      <c r="H25" s="98"/>
      <c r="I25" s="42"/>
      <c r="J25" s="42"/>
      <c r="K25" s="5"/>
      <c r="L25" s="9">
        <f xml:space="preserve"> ROUNDUP(Q25/40, 0)</f>
        <v>6</v>
      </c>
      <c r="M25" s="5"/>
      <c r="N25" s="42"/>
      <c r="O25" s="42"/>
      <c r="P25" s="7"/>
      <c r="Q25" s="7">
        <f xml:space="preserve"> E25-D25</f>
        <v>214</v>
      </c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25">
      <c r="A26" s="48" t="s">
        <v>321</v>
      </c>
      <c r="B26" s="16" t="s">
        <v>325</v>
      </c>
      <c r="C26" s="5" t="s">
        <v>30</v>
      </c>
      <c r="D26" s="12">
        <v>18843</v>
      </c>
      <c r="E26" s="12">
        <v>19530</v>
      </c>
      <c r="F26" s="5" t="s">
        <v>42</v>
      </c>
      <c r="G26" s="97" t="s">
        <v>452</v>
      </c>
      <c r="H26" s="98"/>
      <c r="I26" s="5"/>
      <c r="J26" s="5"/>
      <c r="K26" s="5"/>
      <c r="L26" s="5">
        <f xml:space="preserve"> ROUNDUP((O26*5280)/80, 0)</f>
        <v>9</v>
      </c>
      <c r="M26" s="5"/>
      <c r="N26" s="5"/>
      <c r="O26" s="6">
        <f xml:space="preserve"> (E26-D26)/5280</f>
        <v>0.13011363636363638</v>
      </c>
      <c r="P26" s="6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48"/>
      <c r="B27" s="16"/>
      <c r="C27" s="5"/>
      <c r="D27" s="173"/>
      <c r="E27" s="173"/>
      <c r="F27" s="5"/>
      <c r="G27" s="97"/>
      <c r="H27" s="98"/>
      <c r="I27" s="5"/>
      <c r="J27" s="5"/>
      <c r="K27" s="5"/>
      <c r="L27" s="5"/>
      <c r="M27" s="5"/>
      <c r="N27" s="5"/>
      <c r="O27" s="5"/>
      <c r="P27" s="16"/>
      <c r="Q27" s="5"/>
      <c r="R27" s="43"/>
      <c r="S27" s="42"/>
      <c r="T27" s="42"/>
      <c r="U27" s="42"/>
      <c r="V27" s="42"/>
      <c r="W27" s="42"/>
      <c r="X27" s="42"/>
      <c r="Y27" s="42"/>
      <c r="Z27" s="5"/>
      <c r="AA27" s="5"/>
    </row>
    <row r="28" spans="1:27" x14ac:dyDescent="0.25">
      <c r="A28" s="48" t="s">
        <v>321</v>
      </c>
      <c r="B28" s="42" t="s">
        <v>362</v>
      </c>
      <c r="C28" s="5" t="s">
        <v>30</v>
      </c>
      <c r="D28" s="12">
        <v>18843</v>
      </c>
      <c r="E28" s="12">
        <v>19245</v>
      </c>
      <c r="F28" s="5" t="s">
        <v>8</v>
      </c>
      <c r="G28" s="97" t="s">
        <v>452</v>
      </c>
      <c r="H28" s="98"/>
      <c r="I28" s="5"/>
      <c r="J28" s="5"/>
      <c r="K28" s="5"/>
      <c r="L28" s="5"/>
      <c r="M28" s="5"/>
      <c r="N28" s="5"/>
      <c r="O28" s="5"/>
      <c r="P28" s="6">
        <f xml:space="preserve"> (E28-D28)/5280</f>
        <v>7.6136363636363641E-2</v>
      </c>
      <c r="Q28" s="5"/>
      <c r="R28" s="42"/>
      <c r="S28" s="42"/>
      <c r="T28" s="42"/>
      <c r="U28" s="42"/>
      <c r="V28" s="42"/>
      <c r="W28" s="42"/>
      <c r="X28" s="42"/>
      <c r="Y28" s="42"/>
      <c r="Z28" s="5"/>
      <c r="AA28" s="5"/>
    </row>
    <row r="29" spans="1:27" x14ac:dyDescent="0.25">
      <c r="A29" s="48" t="s">
        <v>321</v>
      </c>
      <c r="B29" s="42" t="s">
        <v>329</v>
      </c>
      <c r="C29" s="5" t="s">
        <v>30</v>
      </c>
      <c r="D29" s="173">
        <v>18853</v>
      </c>
      <c r="E29" s="173"/>
      <c r="F29" s="5" t="s">
        <v>8</v>
      </c>
      <c r="G29" s="97" t="s">
        <v>452</v>
      </c>
      <c r="H29" s="98"/>
      <c r="I29" s="5"/>
      <c r="J29" s="5"/>
      <c r="K29" s="5"/>
      <c r="L29" s="5"/>
      <c r="M29" s="5"/>
      <c r="N29" s="5"/>
      <c r="O29" s="5"/>
      <c r="P29" s="6"/>
      <c r="Q29" s="5"/>
      <c r="R29" s="42"/>
      <c r="S29" s="42"/>
      <c r="T29" s="42"/>
      <c r="U29" s="42"/>
      <c r="V29" s="42"/>
      <c r="W29" s="43">
        <v>1</v>
      </c>
      <c r="X29" s="5"/>
      <c r="Y29" s="5"/>
      <c r="Z29" s="5"/>
      <c r="AA29" s="5"/>
    </row>
    <row r="30" spans="1:27" x14ac:dyDescent="0.25">
      <c r="A30" s="48" t="s">
        <v>321</v>
      </c>
      <c r="B30" s="42" t="s">
        <v>335</v>
      </c>
      <c r="C30" s="5" t="s">
        <v>30</v>
      </c>
      <c r="D30" s="173">
        <v>18853</v>
      </c>
      <c r="E30" s="173"/>
      <c r="F30" s="5" t="s">
        <v>8</v>
      </c>
      <c r="G30" s="97" t="s">
        <v>452</v>
      </c>
      <c r="H30" s="98"/>
      <c r="I30" s="5"/>
      <c r="J30" s="5"/>
      <c r="K30" s="5"/>
      <c r="L30" s="5"/>
      <c r="M30" s="5"/>
      <c r="N30" s="5"/>
      <c r="O30" s="6"/>
      <c r="P30" s="42"/>
      <c r="Q30" s="5"/>
      <c r="R30" s="5"/>
      <c r="S30" s="5"/>
      <c r="T30" s="5"/>
      <c r="U30" s="5"/>
      <c r="V30" s="5"/>
      <c r="W30" s="7">
        <v>1</v>
      </c>
      <c r="X30" s="5"/>
      <c r="Y30" s="5"/>
      <c r="Z30" s="5"/>
      <c r="AA30" s="5"/>
    </row>
    <row r="31" spans="1:27" x14ac:dyDescent="0.25">
      <c r="A31" s="48" t="s">
        <v>321</v>
      </c>
      <c r="B31" s="42" t="s">
        <v>336</v>
      </c>
      <c r="C31" s="5" t="s">
        <v>30</v>
      </c>
      <c r="D31" s="173">
        <v>18919</v>
      </c>
      <c r="E31" s="173"/>
      <c r="F31" s="5" t="s">
        <v>8</v>
      </c>
      <c r="G31" s="97" t="s">
        <v>452</v>
      </c>
      <c r="H31" s="98"/>
      <c r="I31" s="7"/>
      <c r="J31" s="5"/>
      <c r="K31" s="7"/>
      <c r="L31" s="7"/>
      <c r="M31" s="7"/>
      <c r="N31" s="6"/>
      <c r="O31" s="5"/>
      <c r="P31" s="5"/>
      <c r="Q31" s="5"/>
      <c r="R31" s="5"/>
      <c r="S31" s="5"/>
      <c r="T31" s="5"/>
      <c r="U31" s="5"/>
      <c r="V31" s="5"/>
      <c r="W31" s="7">
        <v>1</v>
      </c>
      <c r="X31" s="6"/>
      <c r="Y31" s="7"/>
      <c r="Z31" s="5"/>
      <c r="AA31" s="5"/>
    </row>
    <row r="32" spans="1:27" ht="15" customHeight="1" x14ac:dyDescent="0.25">
      <c r="A32" s="48" t="s">
        <v>321</v>
      </c>
      <c r="B32" s="42" t="s">
        <v>337</v>
      </c>
      <c r="C32" s="5" t="s">
        <v>30</v>
      </c>
      <c r="D32" s="173">
        <v>18919</v>
      </c>
      <c r="E32" s="173"/>
      <c r="F32" s="5" t="s">
        <v>8</v>
      </c>
      <c r="G32" s="97" t="s">
        <v>452</v>
      </c>
      <c r="H32" s="98"/>
      <c r="I32" s="5"/>
      <c r="J32" s="5"/>
      <c r="K32" s="5"/>
      <c r="L32" s="5"/>
      <c r="M32" s="5"/>
      <c r="N32" s="5"/>
      <c r="O32" s="6"/>
      <c r="P32" s="6"/>
      <c r="Q32" s="7"/>
      <c r="R32" s="7"/>
      <c r="S32" s="6"/>
      <c r="T32" s="6"/>
      <c r="U32" s="6"/>
      <c r="V32" s="6"/>
      <c r="W32" s="7">
        <v>1</v>
      </c>
      <c r="X32" s="5"/>
      <c r="Y32" s="5"/>
      <c r="Z32" s="5"/>
      <c r="AA32" s="5"/>
    </row>
    <row r="33" spans="1:27" ht="15" customHeight="1" x14ac:dyDescent="0.25">
      <c r="A33" s="49"/>
      <c r="B33" s="16"/>
      <c r="C33" s="16"/>
      <c r="D33" s="178"/>
      <c r="E33" s="178"/>
      <c r="F33" s="16"/>
      <c r="G33" s="97"/>
      <c r="H33" s="98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ht="15" customHeight="1" x14ac:dyDescent="0.25">
      <c r="A34" s="48" t="s">
        <v>321</v>
      </c>
      <c r="B34" s="42" t="s">
        <v>371</v>
      </c>
      <c r="C34" s="5" t="s">
        <v>30</v>
      </c>
      <c r="D34" s="173">
        <v>18986</v>
      </c>
      <c r="E34" s="173"/>
      <c r="F34" s="5" t="s">
        <v>8</v>
      </c>
      <c r="G34" s="97" t="s">
        <v>452</v>
      </c>
      <c r="H34" s="98"/>
      <c r="I34" s="5"/>
      <c r="J34" s="5"/>
      <c r="K34" s="5"/>
      <c r="L34" s="5"/>
      <c r="M34" s="5"/>
      <c r="N34" s="6"/>
      <c r="O34" s="5"/>
      <c r="P34" s="6"/>
      <c r="Q34" s="5"/>
      <c r="R34" s="5"/>
      <c r="S34" s="5"/>
      <c r="T34" s="5"/>
      <c r="U34" s="5"/>
      <c r="V34" s="5"/>
      <c r="W34" s="7">
        <v>1</v>
      </c>
      <c r="X34" s="5"/>
      <c r="Y34" s="5"/>
      <c r="Z34" s="5"/>
      <c r="AA34" s="5"/>
    </row>
    <row r="35" spans="1:27" ht="15" customHeight="1" x14ac:dyDescent="0.25">
      <c r="A35" s="48" t="s">
        <v>321</v>
      </c>
      <c r="B35" s="42" t="s">
        <v>372</v>
      </c>
      <c r="C35" s="5" t="s">
        <v>30</v>
      </c>
      <c r="D35" s="173">
        <v>18986</v>
      </c>
      <c r="E35" s="173"/>
      <c r="F35" s="5" t="s">
        <v>8</v>
      </c>
      <c r="G35" s="97" t="s">
        <v>452</v>
      </c>
      <c r="H35" s="98"/>
      <c r="I35" s="5"/>
      <c r="J35" s="5"/>
      <c r="K35" s="5"/>
      <c r="L35" s="5"/>
      <c r="M35" s="5"/>
      <c r="N35" s="5"/>
      <c r="O35" s="5"/>
      <c r="P35" s="6"/>
      <c r="Q35" s="5"/>
      <c r="R35" s="5"/>
      <c r="S35" s="5"/>
      <c r="T35" s="5"/>
      <c r="U35" s="5"/>
      <c r="V35" s="5"/>
      <c r="W35" s="7">
        <v>1</v>
      </c>
      <c r="X35" s="5"/>
      <c r="Y35" s="5"/>
      <c r="Z35" s="5"/>
      <c r="AA35" s="5"/>
    </row>
    <row r="36" spans="1:27" ht="15" customHeight="1" x14ac:dyDescent="0.25">
      <c r="A36" s="48" t="s">
        <v>321</v>
      </c>
      <c r="B36" s="42" t="s">
        <v>330</v>
      </c>
      <c r="C36" s="5" t="s">
        <v>30</v>
      </c>
      <c r="D36" s="12">
        <v>19530</v>
      </c>
      <c r="E36" s="12">
        <v>19650</v>
      </c>
      <c r="F36" s="5" t="s">
        <v>7</v>
      </c>
      <c r="G36" s="97" t="s">
        <v>452</v>
      </c>
      <c r="H36" s="98"/>
      <c r="I36" s="5"/>
      <c r="J36" s="5"/>
      <c r="K36" s="5"/>
      <c r="L36" s="5"/>
      <c r="M36" s="5"/>
      <c r="N36" s="5"/>
      <c r="O36" s="5"/>
      <c r="P36" s="6"/>
      <c r="Q36" s="5"/>
      <c r="R36" s="7">
        <f xml:space="preserve"> E36-D36</f>
        <v>120</v>
      </c>
      <c r="S36" s="5"/>
      <c r="T36" s="5"/>
      <c r="U36" s="5"/>
      <c r="V36" s="5"/>
      <c r="W36" s="5"/>
      <c r="X36" s="5"/>
      <c r="Y36" s="5"/>
      <c r="Z36" s="5"/>
      <c r="AA36" s="5"/>
    </row>
    <row r="37" spans="1:27" ht="15" customHeight="1" x14ac:dyDescent="0.25">
      <c r="A37" s="48" t="s">
        <v>321</v>
      </c>
      <c r="B37" s="42" t="s">
        <v>331</v>
      </c>
      <c r="C37" s="5" t="s">
        <v>174</v>
      </c>
      <c r="D37" s="173">
        <v>3349</v>
      </c>
      <c r="E37" s="173"/>
      <c r="F37" s="5" t="s">
        <v>7</v>
      </c>
      <c r="G37" s="109" t="s">
        <v>453</v>
      </c>
      <c r="H37" s="110"/>
      <c r="I37" s="5"/>
      <c r="J37" s="5"/>
      <c r="K37" s="5"/>
      <c r="L37" s="5"/>
      <c r="M37" s="5"/>
      <c r="N37" s="5"/>
      <c r="O37" s="5"/>
      <c r="P37" s="6"/>
      <c r="Q37" s="5"/>
      <c r="R37" s="5"/>
      <c r="S37" s="5"/>
      <c r="T37" s="5">
        <v>24</v>
      </c>
      <c r="U37" s="5"/>
      <c r="V37" s="5"/>
      <c r="W37" s="5"/>
      <c r="X37" s="5"/>
      <c r="Y37" s="5"/>
      <c r="Z37" s="5"/>
      <c r="AA37" s="5"/>
    </row>
    <row r="38" spans="1:27" ht="15" customHeight="1" x14ac:dyDescent="0.25">
      <c r="A38" s="48" t="s">
        <v>321</v>
      </c>
      <c r="B38" s="16" t="s">
        <v>373</v>
      </c>
      <c r="C38" s="5" t="s">
        <v>174</v>
      </c>
      <c r="D38" s="12">
        <v>3349</v>
      </c>
      <c r="E38" s="12">
        <v>3650</v>
      </c>
      <c r="F38" s="5" t="s">
        <v>7</v>
      </c>
      <c r="G38" s="109" t="s">
        <v>453</v>
      </c>
      <c r="H38" s="110"/>
      <c r="I38" s="5"/>
      <c r="J38" s="5"/>
      <c r="K38" s="5"/>
      <c r="L38" s="5"/>
      <c r="M38" s="5"/>
      <c r="N38" s="5"/>
      <c r="O38" s="5"/>
      <c r="P38" s="6">
        <f xml:space="preserve"> (E38-D38)/5280</f>
        <v>5.7007575757575757E-2</v>
      </c>
      <c r="Q38" s="5"/>
      <c r="R38" s="5"/>
      <c r="S38" s="5"/>
      <c r="T38" s="5"/>
      <c r="U38" s="5"/>
      <c r="V38" s="5"/>
      <c r="W38" s="16"/>
      <c r="X38" s="5"/>
      <c r="Y38" s="5"/>
      <c r="Z38" s="5"/>
      <c r="AA38" s="5"/>
    </row>
    <row r="39" spans="1:27" ht="15" customHeight="1" x14ac:dyDescent="0.25">
      <c r="A39" s="49"/>
      <c r="B39" s="16"/>
      <c r="C39" s="16"/>
      <c r="D39" s="178"/>
      <c r="E39" s="178"/>
      <c r="F39" s="16"/>
      <c r="G39" s="109"/>
      <c r="H39" s="110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ht="15" customHeight="1" x14ac:dyDescent="0.25">
      <c r="A40" s="48" t="s">
        <v>321</v>
      </c>
      <c r="B40" s="16" t="s">
        <v>332</v>
      </c>
      <c r="C40" s="5" t="s">
        <v>174</v>
      </c>
      <c r="D40" s="12">
        <v>3349</v>
      </c>
      <c r="E40" s="12">
        <v>3650</v>
      </c>
      <c r="F40" s="5" t="s">
        <v>7</v>
      </c>
      <c r="G40" s="109" t="s">
        <v>453</v>
      </c>
      <c r="H40" s="110"/>
      <c r="I40" s="5"/>
      <c r="J40" s="5"/>
      <c r="K40" s="5"/>
      <c r="L40" s="9">
        <f xml:space="preserve"> ROUNDUP(Q40/40, 0)</f>
        <v>8</v>
      </c>
      <c r="M40" s="5"/>
      <c r="N40" s="5"/>
      <c r="O40" s="6"/>
      <c r="P40" s="5"/>
      <c r="Q40" s="7">
        <f xml:space="preserve"> E40-D40</f>
        <v>301</v>
      </c>
      <c r="R40" s="5"/>
      <c r="S40" s="5"/>
      <c r="T40" s="5"/>
      <c r="U40" s="5"/>
      <c r="V40" s="5"/>
      <c r="W40" s="5"/>
      <c r="X40" s="7"/>
      <c r="Y40" s="5"/>
      <c r="Z40" s="5"/>
      <c r="AA40" s="5"/>
    </row>
    <row r="41" spans="1:27" ht="15" customHeight="1" x14ac:dyDescent="0.25">
      <c r="A41" s="48" t="s">
        <v>321</v>
      </c>
      <c r="B41" s="42" t="s">
        <v>333</v>
      </c>
      <c r="C41" s="5" t="s">
        <v>174</v>
      </c>
      <c r="D41" s="12">
        <v>3349</v>
      </c>
      <c r="E41" s="12">
        <v>3650</v>
      </c>
      <c r="F41" s="5" t="s">
        <v>7</v>
      </c>
      <c r="G41" s="109" t="s">
        <v>453</v>
      </c>
      <c r="H41" s="110"/>
      <c r="I41" s="5"/>
      <c r="J41" s="5"/>
      <c r="K41" s="5"/>
      <c r="L41" s="5">
        <f xml:space="preserve"> ROUNDUP((O41*5280)/80, 0)</f>
        <v>4</v>
      </c>
      <c r="M41" s="5"/>
      <c r="N41" s="5"/>
      <c r="O41" s="6">
        <f xml:space="preserve"> (E41-D41)/5280</f>
        <v>5.7007575757575757E-2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" customHeight="1" x14ac:dyDescent="0.25">
      <c r="A42" s="48" t="s">
        <v>321</v>
      </c>
      <c r="B42" s="42" t="s">
        <v>374</v>
      </c>
      <c r="C42" s="5" t="s">
        <v>174</v>
      </c>
      <c r="D42" s="177">
        <v>3358</v>
      </c>
      <c r="E42" s="177"/>
      <c r="F42" s="5" t="s">
        <v>7</v>
      </c>
      <c r="G42" s="109" t="s">
        <v>453</v>
      </c>
      <c r="H42" s="110"/>
      <c r="I42" s="16"/>
      <c r="J42" s="16"/>
      <c r="K42" s="16"/>
      <c r="L42" s="16"/>
      <c r="M42" s="16"/>
      <c r="N42" s="16"/>
      <c r="O42" s="5"/>
      <c r="P42" s="5"/>
      <c r="Q42" s="5"/>
      <c r="R42" s="7"/>
      <c r="S42" s="5"/>
      <c r="T42" s="5"/>
      <c r="U42" s="5"/>
      <c r="V42" s="5"/>
      <c r="W42" s="5">
        <v>1</v>
      </c>
      <c r="X42" s="16"/>
      <c r="Y42" s="16"/>
      <c r="Z42" s="16"/>
      <c r="AA42" s="16"/>
    </row>
    <row r="43" spans="1:27" ht="15" customHeight="1" x14ac:dyDescent="0.25">
      <c r="A43" s="48" t="s">
        <v>321</v>
      </c>
      <c r="B43" s="42" t="s">
        <v>454</v>
      </c>
      <c r="C43" s="5" t="s">
        <v>174</v>
      </c>
      <c r="D43" s="173">
        <v>3422</v>
      </c>
      <c r="E43" s="173"/>
      <c r="F43" s="5" t="s">
        <v>7</v>
      </c>
      <c r="G43" s="109" t="s">
        <v>453</v>
      </c>
      <c r="H43" s="110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">
        <v>1</v>
      </c>
      <c r="X43" s="16"/>
      <c r="Y43" s="16"/>
      <c r="Z43" s="16"/>
      <c r="AA43" s="16"/>
    </row>
    <row r="44" spans="1:27" ht="15" customHeight="1" x14ac:dyDescent="0.25">
      <c r="A44" s="48" t="s">
        <v>321</v>
      </c>
      <c r="B44" s="42" t="s">
        <v>375</v>
      </c>
      <c r="C44" s="5" t="s">
        <v>174</v>
      </c>
      <c r="D44" s="173">
        <v>3485</v>
      </c>
      <c r="E44" s="173"/>
      <c r="F44" s="5" t="s">
        <v>7</v>
      </c>
      <c r="G44" s="109" t="s">
        <v>453</v>
      </c>
      <c r="H44" s="110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5">
        <v>1</v>
      </c>
      <c r="X44" s="16"/>
      <c r="Y44" s="16"/>
      <c r="Z44" s="16"/>
      <c r="AA44" s="16"/>
    </row>
    <row r="45" spans="1:27" ht="15" customHeight="1" x14ac:dyDescent="0.25">
      <c r="A45" s="49"/>
      <c r="B45" s="16"/>
      <c r="C45" s="16"/>
      <c r="D45" s="178"/>
      <c r="E45" s="178"/>
      <c r="F45" s="16"/>
      <c r="G45" s="109"/>
      <c r="H45" s="110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15" customHeight="1" x14ac:dyDescent="0.25">
      <c r="A46" s="48" t="s">
        <v>338</v>
      </c>
      <c r="B46" s="42" t="s">
        <v>370</v>
      </c>
      <c r="C46" s="5" t="s">
        <v>30</v>
      </c>
      <c r="D46" s="12">
        <v>19650</v>
      </c>
      <c r="E46" s="12">
        <v>19765</v>
      </c>
      <c r="F46" s="5" t="s">
        <v>7</v>
      </c>
      <c r="G46" s="97" t="s">
        <v>452</v>
      </c>
      <c r="H46" s="98"/>
      <c r="I46" s="5"/>
      <c r="J46" s="5"/>
      <c r="K46" s="5"/>
      <c r="L46" s="5"/>
      <c r="M46" s="5"/>
      <c r="N46" s="6"/>
      <c r="O46" s="5"/>
      <c r="P46" s="6">
        <f xml:space="preserve"> (E46-D46)/5280</f>
        <v>2.1780303030303032E-2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" customHeight="1" x14ac:dyDescent="0.25">
      <c r="A47" s="48" t="s">
        <v>338</v>
      </c>
      <c r="B47" s="42" t="s">
        <v>330</v>
      </c>
      <c r="C47" s="5" t="s">
        <v>30</v>
      </c>
      <c r="D47" s="12">
        <v>19650</v>
      </c>
      <c r="E47" s="12">
        <v>19765</v>
      </c>
      <c r="F47" s="5" t="s">
        <v>7</v>
      </c>
      <c r="G47" s="97" t="s">
        <v>452</v>
      </c>
      <c r="H47" s="98"/>
      <c r="I47" s="5"/>
      <c r="J47" s="5"/>
      <c r="K47" s="5"/>
      <c r="L47" s="5"/>
      <c r="M47" s="5"/>
      <c r="N47" s="5"/>
      <c r="O47" s="6"/>
      <c r="P47" s="6"/>
      <c r="Q47" s="5"/>
      <c r="R47" s="7">
        <f xml:space="preserve"> E47-D47</f>
        <v>115</v>
      </c>
      <c r="S47" s="5"/>
      <c r="T47" s="5"/>
      <c r="U47" s="5"/>
      <c r="V47" s="5"/>
      <c r="W47" s="5"/>
      <c r="X47" s="5"/>
      <c r="Y47" s="5"/>
      <c r="Z47" s="5"/>
      <c r="AA47" s="5"/>
    </row>
    <row r="48" spans="1:27" ht="15" customHeight="1" x14ac:dyDescent="0.25">
      <c r="A48" s="49"/>
      <c r="B48" s="16"/>
      <c r="C48" s="16"/>
      <c r="D48" s="178"/>
      <c r="E48" s="178"/>
      <c r="F48" s="16"/>
      <c r="G48" s="109"/>
      <c r="H48" s="110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ht="15" customHeight="1" x14ac:dyDescent="0.25">
      <c r="A49" s="48" t="s">
        <v>339</v>
      </c>
      <c r="B49" s="42" t="s">
        <v>373</v>
      </c>
      <c r="C49" s="5" t="s">
        <v>174</v>
      </c>
      <c r="D49" s="12">
        <v>3650</v>
      </c>
      <c r="E49" s="12">
        <v>3676</v>
      </c>
      <c r="F49" s="5" t="s">
        <v>7</v>
      </c>
      <c r="G49" s="109" t="s">
        <v>453</v>
      </c>
      <c r="H49" s="110"/>
      <c r="I49" s="5"/>
      <c r="J49" s="5"/>
      <c r="K49" s="5"/>
      <c r="L49" s="5"/>
      <c r="M49" s="5"/>
      <c r="N49" s="5"/>
      <c r="O49" s="5"/>
      <c r="P49" s="23">
        <f xml:space="preserve"> (E49-D49)/5280</f>
        <v>4.9242424242424239E-3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" customHeight="1" x14ac:dyDescent="0.25">
      <c r="A50" s="48" t="s">
        <v>339</v>
      </c>
      <c r="B50" s="16" t="s">
        <v>332</v>
      </c>
      <c r="C50" s="5" t="s">
        <v>174</v>
      </c>
      <c r="D50" s="12">
        <v>3650</v>
      </c>
      <c r="E50" s="12">
        <v>3847</v>
      </c>
      <c r="F50" s="5" t="s">
        <v>7</v>
      </c>
      <c r="G50" s="109" t="s">
        <v>453</v>
      </c>
      <c r="H50" s="110"/>
      <c r="I50" s="5"/>
      <c r="J50" s="5"/>
      <c r="K50" s="5"/>
      <c r="L50" s="9">
        <f xml:space="preserve"> ROUNDUP(Q50/40, 0)</f>
        <v>5</v>
      </c>
      <c r="M50" s="5"/>
      <c r="N50" s="5"/>
      <c r="O50" s="5"/>
      <c r="P50" s="6"/>
      <c r="Q50" s="7">
        <f xml:space="preserve"> E50-D50</f>
        <v>197</v>
      </c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" customHeight="1" x14ac:dyDescent="0.25">
      <c r="A51" s="48" t="s">
        <v>339</v>
      </c>
      <c r="B51" s="16" t="s">
        <v>333</v>
      </c>
      <c r="C51" s="5" t="s">
        <v>174</v>
      </c>
      <c r="D51" s="12">
        <v>3650</v>
      </c>
      <c r="E51" s="12">
        <v>3814</v>
      </c>
      <c r="F51" s="5" t="s">
        <v>62</v>
      </c>
      <c r="G51" s="109" t="s">
        <v>453</v>
      </c>
      <c r="H51" s="110"/>
      <c r="I51" s="5"/>
      <c r="J51" s="5"/>
      <c r="K51" s="5"/>
      <c r="L51" s="5">
        <f xml:space="preserve"> ROUNDUP((O51*5280)/80, 0)</f>
        <v>3</v>
      </c>
      <c r="M51" s="5"/>
      <c r="N51" s="5"/>
      <c r="O51" s="6">
        <f xml:space="preserve"> (E51-D51)/5280</f>
        <v>3.1060606060606059E-2</v>
      </c>
      <c r="P51" s="6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" customHeight="1" x14ac:dyDescent="0.25">
      <c r="A52" s="48" t="s">
        <v>339</v>
      </c>
      <c r="B52" s="16" t="s">
        <v>370</v>
      </c>
      <c r="C52" s="5" t="s">
        <v>174</v>
      </c>
      <c r="D52" s="12">
        <v>3650</v>
      </c>
      <c r="E52" s="12">
        <v>4028</v>
      </c>
      <c r="F52" s="5" t="s">
        <v>62</v>
      </c>
      <c r="G52" s="109" t="s">
        <v>453</v>
      </c>
      <c r="H52" s="110"/>
      <c r="I52" s="5"/>
      <c r="J52" s="5"/>
      <c r="K52" s="5"/>
      <c r="L52" s="5"/>
      <c r="M52" s="5"/>
      <c r="N52" s="5"/>
      <c r="O52" s="6"/>
      <c r="P52" s="6">
        <f xml:space="preserve"> (E52-D52)/5280</f>
        <v>7.1590909090909094E-2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" customHeight="1" x14ac:dyDescent="0.25">
      <c r="A53" s="48" t="s">
        <v>339</v>
      </c>
      <c r="B53" s="16" t="s">
        <v>376</v>
      </c>
      <c r="C53" s="5" t="s">
        <v>174</v>
      </c>
      <c r="D53" s="12">
        <v>3814</v>
      </c>
      <c r="E53" s="12">
        <v>4389</v>
      </c>
      <c r="F53" s="42" t="s">
        <v>7</v>
      </c>
      <c r="G53" s="109" t="s">
        <v>453</v>
      </c>
      <c r="H53" s="110"/>
      <c r="I53" s="5"/>
      <c r="J53" s="5"/>
      <c r="K53" s="5"/>
      <c r="L53" s="5">
        <f xml:space="preserve"> ROUNDUP((P53*5280)/80, 0)</f>
        <v>8</v>
      </c>
      <c r="M53" s="5"/>
      <c r="N53" s="5"/>
      <c r="O53" s="5"/>
      <c r="P53" s="6">
        <f xml:space="preserve"> (E53-D53)/5280</f>
        <v>0.10890151515151515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" customHeight="1" x14ac:dyDescent="0.25">
      <c r="A54" s="49"/>
      <c r="B54" s="16"/>
      <c r="C54" s="16"/>
      <c r="D54" s="178"/>
      <c r="E54" s="178"/>
      <c r="F54" s="16"/>
      <c r="G54" s="109"/>
      <c r="H54" s="110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ht="15" customHeight="1" x14ac:dyDescent="0.25">
      <c r="A55" s="48" t="s">
        <v>339</v>
      </c>
      <c r="B55" s="42" t="s">
        <v>340</v>
      </c>
      <c r="C55" s="5" t="s">
        <v>174</v>
      </c>
      <c r="D55" s="12">
        <v>4028</v>
      </c>
      <c r="E55" s="12">
        <v>4447</v>
      </c>
      <c r="F55" s="5" t="s">
        <v>8</v>
      </c>
      <c r="G55" s="109" t="s">
        <v>453</v>
      </c>
      <c r="H55" s="110"/>
      <c r="I55" s="5"/>
      <c r="J55" s="5"/>
      <c r="K55" s="5"/>
      <c r="L55" s="5">
        <f xml:space="preserve"> ROUNDUP( (N55*5280)/80, 0)</f>
        <v>6</v>
      </c>
      <c r="M55" s="5"/>
      <c r="N55" s="6">
        <f xml:space="preserve"> (E55-D55)/5280</f>
        <v>7.9356060606060611E-2</v>
      </c>
      <c r="O55" s="5"/>
      <c r="P55" s="6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25">
      <c r="A56" s="48" t="s">
        <v>339</v>
      </c>
      <c r="B56" s="16" t="s">
        <v>341</v>
      </c>
      <c r="C56" s="5" t="s">
        <v>174</v>
      </c>
      <c r="D56" s="12">
        <v>4119</v>
      </c>
      <c r="E56" s="12">
        <v>4389</v>
      </c>
      <c r="F56" s="5" t="s">
        <v>7</v>
      </c>
      <c r="G56" s="109" t="s">
        <v>453</v>
      </c>
      <c r="H56" s="110"/>
      <c r="I56" s="42"/>
      <c r="J56" s="42"/>
      <c r="K56" s="5"/>
      <c r="L56" s="5"/>
      <c r="M56" s="5"/>
      <c r="N56" s="42"/>
      <c r="O56" s="42"/>
      <c r="P56" s="6"/>
      <c r="Q56" s="42"/>
      <c r="R56" s="7">
        <f xml:space="preserve"> E56-D56</f>
        <v>270</v>
      </c>
      <c r="S56" s="42"/>
      <c r="T56" s="42"/>
      <c r="U56" s="42"/>
      <c r="V56" s="42"/>
      <c r="W56" s="42"/>
      <c r="X56" s="42"/>
      <c r="Y56" s="5"/>
      <c r="Z56" s="5"/>
      <c r="AA56" s="5"/>
    </row>
    <row r="57" spans="1:27" x14ac:dyDescent="0.25">
      <c r="A57" s="48" t="s">
        <v>339</v>
      </c>
      <c r="B57" s="16" t="s">
        <v>342</v>
      </c>
      <c r="C57" s="5" t="s">
        <v>174</v>
      </c>
      <c r="D57" s="12">
        <v>4389</v>
      </c>
      <c r="E57" s="12">
        <v>4650</v>
      </c>
      <c r="F57" s="5" t="s">
        <v>7</v>
      </c>
      <c r="G57" s="109" t="s">
        <v>453</v>
      </c>
      <c r="H57" s="110"/>
      <c r="I57" s="5"/>
      <c r="J57" s="5"/>
      <c r="K57" s="5"/>
      <c r="L57" s="5">
        <f xml:space="preserve"> ROUNDUP( (N57*5280)/80, 0)</f>
        <v>4</v>
      </c>
      <c r="M57" s="5"/>
      <c r="N57" s="6">
        <f xml:space="preserve"> (E57-D57)/5280</f>
        <v>4.9431818181818181E-2</v>
      </c>
      <c r="O57" s="5"/>
      <c r="P57" s="6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25">
      <c r="A58" s="48" t="s">
        <v>339</v>
      </c>
      <c r="B58" s="42" t="s">
        <v>343</v>
      </c>
      <c r="C58" s="5" t="s">
        <v>174</v>
      </c>
      <c r="D58" s="12">
        <v>4389</v>
      </c>
      <c r="E58" s="12">
        <v>4530</v>
      </c>
      <c r="F58" s="5" t="s">
        <v>7</v>
      </c>
      <c r="G58" s="109" t="s">
        <v>453</v>
      </c>
      <c r="H58" s="110"/>
      <c r="I58" s="5"/>
      <c r="J58" s="5"/>
      <c r="K58" s="5"/>
      <c r="L58" s="5">
        <v>3</v>
      </c>
      <c r="M58" s="5"/>
      <c r="N58" s="5"/>
      <c r="O58" s="6">
        <f xml:space="preserve"> (E58-D58)/5280</f>
        <v>2.6704545454545453E-2</v>
      </c>
      <c r="P58" s="6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" customHeight="1" x14ac:dyDescent="0.25">
      <c r="A59" s="48"/>
      <c r="B59" s="42"/>
      <c r="C59" s="5"/>
      <c r="D59" s="173"/>
      <c r="E59" s="173"/>
      <c r="F59" s="5"/>
      <c r="G59" s="109"/>
      <c r="H59" s="110"/>
      <c r="I59" s="5"/>
      <c r="J59" s="5"/>
      <c r="K59" s="5"/>
      <c r="L59" s="5"/>
      <c r="M59" s="5"/>
      <c r="N59" s="5"/>
      <c r="O59" s="5"/>
      <c r="P59" s="6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 x14ac:dyDescent="0.25">
      <c r="A60" s="48" t="s">
        <v>344</v>
      </c>
      <c r="B60" s="16" t="s">
        <v>346</v>
      </c>
      <c r="C60" s="5" t="s">
        <v>48</v>
      </c>
      <c r="D60" s="12">
        <v>93550</v>
      </c>
      <c r="E60" s="12">
        <v>93563</v>
      </c>
      <c r="F60" s="42" t="s">
        <v>8</v>
      </c>
      <c r="G60" s="97" t="s">
        <v>452</v>
      </c>
      <c r="H60" s="98"/>
      <c r="I60" s="5"/>
      <c r="J60" s="5"/>
      <c r="K60" s="5"/>
      <c r="L60" s="5">
        <v>3</v>
      </c>
      <c r="M60" s="5"/>
      <c r="N60" s="5"/>
      <c r="O60" s="5"/>
      <c r="P60" s="6"/>
      <c r="Q60" s="7">
        <f xml:space="preserve"> E60-D60</f>
        <v>13</v>
      </c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25">
      <c r="A61" s="48" t="s">
        <v>344</v>
      </c>
      <c r="B61" s="16" t="s">
        <v>377</v>
      </c>
      <c r="C61" s="5" t="s">
        <v>48</v>
      </c>
      <c r="D61" s="12">
        <v>93550</v>
      </c>
      <c r="E61" s="12">
        <v>94550</v>
      </c>
      <c r="F61" s="5" t="s">
        <v>8</v>
      </c>
      <c r="G61" s="97" t="s">
        <v>452</v>
      </c>
      <c r="H61" s="98"/>
      <c r="I61" s="5"/>
      <c r="J61" s="5"/>
      <c r="K61" s="5"/>
      <c r="L61" s="5">
        <f xml:space="preserve"> ROUNDUP((P61*5280)/80, 0)</f>
        <v>13</v>
      </c>
      <c r="M61" s="5"/>
      <c r="N61" s="5"/>
      <c r="O61" s="5"/>
      <c r="P61" s="6">
        <f xml:space="preserve"> (E61-D61)/5280</f>
        <v>0.18939393939393939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25">
      <c r="A62" s="101" t="s">
        <v>432</v>
      </c>
      <c r="B62" s="102"/>
      <c r="C62" s="102"/>
      <c r="D62" s="102"/>
      <c r="E62" s="102"/>
      <c r="F62" s="103"/>
      <c r="G62" s="156" t="s">
        <v>452</v>
      </c>
      <c r="H62" s="157"/>
      <c r="I62" s="72">
        <f>SUM(I15:I20,I60:I61,I46:I47,I34:I36,I22:I32)</f>
        <v>0</v>
      </c>
      <c r="J62" s="72">
        <f t="shared" ref="J62:AA62" si="0">SUM(J15:J20,J60:J61,J46:J47,J34:J36,J22:J32)</f>
        <v>0</v>
      </c>
      <c r="K62" s="72">
        <f t="shared" si="0"/>
        <v>48</v>
      </c>
      <c r="L62" s="72">
        <f t="shared" ref="L62" si="1">SUM(L15:L20,L60:L61,L46:L47,L34:L36,L22:L32)</f>
        <v>64</v>
      </c>
      <c r="M62" s="72">
        <f t="shared" si="0"/>
        <v>16</v>
      </c>
      <c r="N62" s="75">
        <f>SUM(N15:N20,N60:N61,N46:N47,N34:N36,N22:N32)</f>
        <v>0.15151515151515152</v>
      </c>
      <c r="O62" s="75">
        <f t="shared" si="0"/>
        <v>0.13011363636363638</v>
      </c>
      <c r="P62" s="75">
        <f t="shared" si="0"/>
        <v>0.92329545454545459</v>
      </c>
      <c r="Q62" s="72">
        <f t="shared" si="0"/>
        <v>488</v>
      </c>
      <c r="R62" s="72">
        <f t="shared" si="0"/>
        <v>235</v>
      </c>
      <c r="S62" s="72">
        <f t="shared" si="0"/>
        <v>0</v>
      </c>
      <c r="T62" s="72">
        <f t="shared" si="0"/>
        <v>22</v>
      </c>
      <c r="U62" s="72">
        <f t="shared" si="0"/>
        <v>0</v>
      </c>
      <c r="V62" s="72">
        <f t="shared" si="0"/>
        <v>0</v>
      </c>
      <c r="W62" s="72">
        <f t="shared" si="0"/>
        <v>6</v>
      </c>
      <c r="X62" s="72">
        <f t="shared" si="0"/>
        <v>0</v>
      </c>
      <c r="Y62" s="72">
        <f t="shared" si="0"/>
        <v>800</v>
      </c>
      <c r="Z62" s="72">
        <f t="shared" si="0"/>
        <v>0</v>
      </c>
      <c r="AA62" s="72">
        <f t="shared" si="0"/>
        <v>0</v>
      </c>
    </row>
    <row r="63" spans="1:27" ht="15.75" thickBot="1" x14ac:dyDescent="0.3">
      <c r="A63" s="104"/>
      <c r="B63" s="105"/>
      <c r="C63" s="105"/>
      <c r="D63" s="105"/>
      <c r="E63" s="105"/>
      <c r="F63" s="106"/>
      <c r="G63" s="176" t="s">
        <v>453</v>
      </c>
      <c r="H63" s="142"/>
      <c r="I63" s="69">
        <f>SUM(I55:I58,I49:I53,I40:I44,I37:I38)</f>
        <v>0</v>
      </c>
      <c r="J63" s="69">
        <f t="shared" ref="J63:AA63" si="2">SUM(J55:J58,J49:J53,J40:J44,J37:J38)</f>
        <v>0</v>
      </c>
      <c r="K63" s="69">
        <f t="shared" si="2"/>
        <v>0</v>
      </c>
      <c r="L63" s="69">
        <f t="shared" ref="L63" si="3">SUM(L55:L58,L49:L53,L40:L44,L37:L38)</f>
        <v>41</v>
      </c>
      <c r="M63" s="69">
        <f t="shared" si="2"/>
        <v>0</v>
      </c>
      <c r="N63" s="70">
        <f t="shared" si="2"/>
        <v>0.12878787878787878</v>
      </c>
      <c r="O63" s="70">
        <f t="shared" si="2"/>
        <v>0.11477272727272728</v>
      </c>
      <c r="P63" s="70">
        <f t="shared" si="2"/>
        <v>0.24242424242424243</v>
      </c>
      <c r="Q63" s="69">
        <f t="shared" si="2"/>
        <v>498</v>
      </c>
      <c r="R63" s="69">
        <f t="shared" si="2"/>
        <v>270</v>
      </c>
      <c r="S63" s="69">
        <f t="shared" si="2"/>
        <v>0</v>
      </c>
      <c r="T63" s="69">
        <f t="shared" si="2"/>
        <v>24</v>
      </c>
      <c r="U63" s="69">
        <f t="shared" si="2"/>
        <v>0</v>
      </c>
      <c r="V63" s="69">
        <f t="shared" si="2"/>
        <v>0</v>
      </c>
      <c r="W63" s="69">
        <f t="shared" si="2"/>
        <v>3</v>
      </c>
      <c r="X63" s="69">
        <f t="shared" si="2"/>
        <v>0</v>
      </c>
      <c r="Y63" s="69">
        <f t="shared" si="2"/>
        <v>0</v>
      </c>
      <c r="Z63" s="69">
        <f t="shared" si="2"/>
        <v>0</v>
      </c>
      <c r="AA63" s="69">
        <f t="shared" si="2"/>
        <v>0</v>
      </c>
    </row>
    <row r="64" spans="1:27" x14ac:dyDescent="0.25">
      <c r="A64" s="34"/>
      <c r="B64" s="35"/>
      <c r="C64" s="24"/>
      <c r="D64" s="36"/>
      <c r="E64" s="36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37"/>
      <c r="Q64" s="38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x14ac:dyDescent="0.25">
      <c r="D65" s="15"/>
      <c r="E65" s="15"/>
      <c r="F65" s="28"/>
      <c r="G65" s="28"/>
      <c r="H65" s="28"/>
      <c r="I65" s="28"/>
      <c r="J65" s="28"/>
      <c r="K65" s="28"/>
      <c r="L65" s="28"/>
      <c r="M65" s="28"/>
      <c r="N65" s="28"/>
      <c r="O65" s="29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x14ac:dyDescent="0.25">
      <c r="A66" s="26"/>
      <c r="C66" s="28"/>
      <c r="D66" s="15"/>
      <c r="E66" s="15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9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14.45" customHeight="1" x14ac:dyDescent="0.25">
      <c r="A67" s="26"/>
      <c r="C67" s="28"/>
      <c r="D67" s="15"/>
      <c r="E67" s="15"/>
      <c r="F67" s="30"/>
      <c r="G67" s="30"/>
      <c r="H67" s="30"/>
      <c r="I67" s="30"/>
      <c r="J67" s="30"/>
      <c r="K67" s="28"/>
      <c r="L67" s="28"/>
      <c r="M67" s="28"/>
      <c r="N67" s="29"/>
      <c r="O67" s="30"/>
      <c r="P67" s="31"/>
      <c r="Q67" s="31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15" customHeight="1" x14ac:dyDescent="0.25"/>
    <row r="69" spans="1:27" x14ac:dyDescent="0.25">
      <c r="A69" s="26"/>
      <c r="B69" s="27"/>
      <c r="C69" s="28"/>
      <c r="D69" s="15"/>
      <c r="E69" s="15"/>
      <c r="F69" s="28"/>
      <c r="G69" s="28"/>
      <c r="H69" s="28"/>
      <c r="I69" s="28"/>
      <c r="J69" s="28"/>
      <c r="K69" s="28"/>
      <c r="L69" s="28"/>
      <c r="M69" s="28"/>
      <c r="N69" s="28"/>
      <c r="O69" s="29"/>
      <c r="P69" s="29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x14ac:dyDescent="0.25">
      <c r="A70" s="26"/>
      <c r="B70" s="27"/>
      <c r="C70" s="28"/>
      <c r="D70" s="15"/>
      <c r="E70" s="15"/>
      <c r="F70" s="28"/>
      <c r="G70" s="28"/>
      <c r="H70" s="28"/>
      <c r="I70" s="28"/>
      <c r="J70" s="28"/>
      <c r="K70" s="28"/>
      <c r="L70" s="28"/>
      <c r="M70" s="28"/>
      <c r="N70" s="29"/>
      <c r="O70" s="28"/>
      <c r="P70" s="29"/>
      <c r="Q70" s="28"/>
      <c r="R70" s="39"/>
      <c r="S70" s="40"/>
      <c r="T70" s="40"/>
      <c r="U70" s="40"/>
      <c r="V70" s="40"/>
      <c r="W70" s="40"/>
      <c r="X70" s="40"/>
      <c r="Y70" s="40"/>
      <c r="Z70" s="28"/>
      <c r="AA70" s="28"/>
    </row>
    <row r="71" spans="1:27" x14ac:dyDescent="0.25">
      <c r="A71" s="26"/>
      <c r="C71" s="28"/>
      <c r="D71" s="15"/>
      <c r="E71" s="15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8"/>
      <c r="R71" s="40"/>
      <c r="S71" s="40"/>
      <c r="T71" s="40"/>
      <c r="U71" s="40"/>
      <c r="V71" s="40"/>
      <c r="W71" s="40"/>
      <c r="X71" s="40"/>
      <c r="Y71" s="40"/>
      <c r="Z71" s="28"/>
      <c r="AA71" s="28"/>
    </row>
    <row r="72" spans="1:27" x14ac:dyDescent="0.25">
      <c r="A72" s="26"/>
      <c r="C72" s="28"/>
      <c r="D72" s="15"/>
      <c r="E72" s="15"/>
      <c r="I72" s="31"/>
      <c r="J72" s="28"/>
      <c r="K72" s="31"/>
      <c r="L72" s="31"/>
      <c r="M72" s="31"/>
      <c r="N72" s="29"/>
      <c r="O72" s="29"/>
      <c r="P72" s="29"/>
      <c r="Q72" s="31"/>
      <c r="R72" s="31"/>
      <c r="S72" s="29"/>
      <c r="T72" s="29"/>
      <c r="U72" s="29"/>
      <c r="V72" s="29"/>
      <c r="W72" s="29"/>
      <c r="X72" s="29"/>
      <c r="Y72" s="31"/>
      <c r="Z72" s="28"/>
      <c r="AA72" s="28"/>
    </row>
    <row r="73" spans="1:27" x14ac:dyDescent="0.25">
      <c r="A73" s="26"/>
      <c r="B73" s="27"/>
      <c r="C73" s="28"/>
      <c r="D73" s="15"/>
      <c r="E73" s="15"/>
      <c r="F73" s="28"/>
      <c r="G73" s="28"/>
      <c r="H73" s="28"/>
      <c r="I73" s="28"/>
      <c r="J73" s="28"/>
      <c r="K73" s="28"/>
      <c r="L73" s="28"/>
      <c r="M73" s="28"/>
      <c r="N73" s="28"/>
      <c r="O73" s="29"/>
      <c r="P73" s="40"/>
      <c r="Q73" s="28"/>
      <c r="R73" s="28"/>
      <c r="S73" s="28"/>
      <c r="T73" s="28"/>
      <c r="U73" s="28"/>
      <c r="V73" s="28"/>
      <c r="W73" s="31"/>
      <c r="X73" s="28"/>
      <c r="Y73" s="28"/>
      <c r="Z73" s="28"/>
      <c r="AA73" s="28"/>
    </row>
    <row r="74" spans="1:27" x14ac:dyDescent="0.25">
      <c r="A74" s="26"/>
      <c r="B74" s="32"/>
      <c r="C74" s="28"/>
      <c r="D74" s="15"/>
      <c r="E74" s="15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9"/>
      <c r="Q74" s="28"/>
      <c r="R74" s="28"/>
      <c r="S74" s="28"/>
      <c r="T74" s="28"/>
      <c r="U74" s="28"/>
      <c r="V74" s="28"/>
      <c r="W74" s="31"/>
      <c r="X74" s="28"/>
      <c r="Y74" s="28"/>
      <c r="Z74" s="28"/>
      <c r="AA74" s="28"/>
    </row>
    <row r="75" spans="1:27" x14ac:dyDescent="0.25">
      <c r="A75" s="26"/>
      <c r="B75" s="27"/>
      <c r="C75" s="28"/>
      <c r="D75" s="15"/>
      <c r="E75" s="15"/>
      <c r="F75" s="28"/>
      <c r="G75" s="28"/>
      <c r="H75" s="28"/>
      <c r="I75" s="31"/>
      <c r="J75" s="28"/>
      <c r="K75" s="31"/>
      <c r="L75" s="31"/>
      <c r="M75" s="31"/>
      <c r="N75" s="29"/>
      <c r="O75" s="29"/>
      <c r="P75" s="29"/>
      <c r="Q75" s="31"/>
      <c r="R75" s="31"/>
      <c r="S75" s="29"/>
      <c r="T75" s="29"/>
      <c r="U75" s="29"/>
      <c r="V75" s="29"/>
      <c r="W75" s="31"/>
      <c r="X75" s="29"/>
      <c r="Y75" s="31"/>
      <c r="Z75" s="28"/>
      <c r="AA75" s="28"/>
    </row>
    <row r="76" spans="1:27" x14ac:dyDescent="0.25">
      <c r="A76" s="26"/>
      <c r="B76" s="27"/>
      <c r="C76" s="28"/>
      <c r="D76" s="15"/>
      <c r="E76" s="41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9"/>
      <c r="Q76" s="28"/>
      <c r="R76" s="28"/>
      <c r="S76" s="28"/>
      <c r="T76" s="28"/>
      <c r="U76" s="28"/>
      <c r="V76" s="28"/>
      <c r="W76" s="31"/>
      <c r="X76" s="28"/>
      <c r="Y76" s="28"/>
      <c r="Z76" s="28"/>
      <c r="AA76" s="28"/>
    </row>
    <row r="77" spans="1:27" x14ac:dyDescent="0.25">
      <c r="A77" s="26"/>
      <c r="B77" s="27"/>
      <c r="C77" s="28"/>
      <c r="D77" s="15"/>
      <c r="E77" s="41"/>
      <c r="F77" s="28"/>
      <c r="G77" s="28"/>
      <c r="H77" s="28"/>
      <c r="I77" s="28"/>
      <c r="J77" s="28"/>
      <c r="K77" s="28"/>
      <c r="L77" s="28"/>
      <c r="M77" s="28"/>
      <c r="N77" s="29"/>
      <c r="O77" s="28"/>
      <c r="P77" s="29"/>
      <c r="Q77" s="28"/>
      <c r="R77" s="28"/>
      <c r="S77" s="28"/>
      <c r="T77" s="28"/>
      <c r="U77" s="28"/>
      <c r="V77" s="28"/>
      <c r="W77" s="31"/>
      <c r="X77" s="28"/>
      <c r="Y77" s="28"/>
      <c r="Z77" s="28"/>
      <c r="AA77" s="28"/>
    </row>
    <row r="78" spans="1:27" x14ac:dyDescent="0.25">
      <c r="A78" s="26"/>
      <c r="B78" s="27"/>
      <c r="C78" s="28"/>
      <c r="D78" s="41"/>
      <c r="E78" s="41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9"/>
      <c r="Q78" s="28"/>
      <c r="R78" s="28"/>
      <c r="S78" s="28"/>
      <c r="T78" s="28"/>
      <c r="U78" s="28"/>
      <c r="V78" s="28"/>
      <c r="W78" s="31"/>
      <c r="X78" s="28"/>
      <c r="Y78" s="28"/>
      <c r="Z78" s="28"/>
      <c r="AA78" s="28"/>
    </row>
    <row r="79" spans="1:27" x14ac:dyDescent="0.25">
      <c r="A79" s="26"/>
      <c r="B79" s="27"/>
      <c r="C79" s="28"/>
      <c r="D79" s="15"/>
      <c r="E79" s="41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9"/>
      <c r="Q79" s="28"/>
      <c r="R79" s="31"/>
      <c r="S79" s="28"/>
      <c r="T79" s="28"/>
      <c r="U79" s="28"/>
      <c r="V79" s="28"/>
      <c r="W79" s="28"/>
      <c r="X79" s="28"/>
      <c r="Y79" s="28"/>
      <c r="Z79" s="28"/>
      <c r="AA79" s="28"/>
    </row>
    <row r="80" spans="1:27" x14ac:dyDescent="0.25">
      <c r="A80" s="26"/>
      <c r="B80" s="27"/>
      <c r="C80" s="28"/>
      <c r="D80" s="15"/>
      <c r="E80" s="41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x14ac:dyDescent="0.25">
      <c r="A81" s="26"/>
      <c r="B81" s="27"/>
      <c r="C81" s="28"/>
      <c r="D81" s="15"/>
      <c r="E81" s="41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9"/>
      <c r="Q81" s="31"/>
      <c r="R81" s="28"/>
      <c r="S81" s="28"/>
      <c r="T81" s="28"/>
      <c r="U81" s="28"/>
      <c r="V81" s="28"/>
      <c r="X81" s="28"/>
      <c r="Y81" s="28"/>
      <c r="Z81" s="28"/>
      <c r="AA81" s="28"/>
    </row>
    <row r="82" spans="1:27" x14ac:dyDescent="0.25">
      <c r="A82" s="26"/>
      <c r="B82" s="27"/>
      <c r="C82" s="28"/>
      <c r="D82" s="15"/>
      <c r="E82" s="41"/>
      <c r="F82" s="28"/>
      <c r="G82" s="28"/>
      <c r="H82" s="28"/>
      <c r="I82" s="28"/>
      <c r="J82" s="28"/>
      <c r="K82" s="28"/>
      <c r="L82" s="28"/>
      <c r="M82" s="28"/>
      <c r="N82" s="28"/>
      <c r="O82" s="29"/>
      <c r="P82" s="29"/>
      <c r="Q82" s="31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x14ac:dyDescent="0.25">
      <c r="A83" s="26"/>
      <c r="B83" s="27"/>
      <c r="C83" s="28"/>
      <c r="D83" s="15"/>
      <c r="E83" s="41"/>
      <c r="F83" s="28"/>
      <c r="G83" s="28"/>
      <c r="H83" s="28"/>
      <c r="I83" s="31"/>
      <c r="J83" s="28"/>
      <c r="K83" s="31"/>
      <c r="L83" s="31"/>
      <c r="M83" s="31"/>
      <c r="N83" s="29"/>
      <c r="O83" s="29"/>
      <c r="P83" s="29"/>
      <c r="Q83" s="31"/>
      <c r="R83" s="31"/>
      <c r="S83" s="29"/>
      <c r="T83" s="29"/>
      <c r="U83" s="29"/>
      <c r="V83" s="29"/>
      <c r="W83" s="29"/>
      <c r="X83" s="29"/>
      <c r="Y83" s="31"/>
      <c r="Z83" s="28"/>
      <c r="AA83" s="28"/>
    </row>
    <row r="84" spans="1:27" x14ac:dyDescent="0.25">
      <c r="A84" s="26"/>
      <c r="B84" s="27"/>
      <c r="C84" s="28"/>
      <c r="D84" s="41"/>
      <c r="E84" s="41"/>
      <c r="F84" s="28"/>
      <c r="G84" s="28"/>
      <c r="H84" s="28"/>
      <c r="I84" s="28"/>
      <c r="J84" s="28"/>
      <c r="K84" s="28"/>
      <c r="L84" s="28"/>
      <c r="M84" s="28"/>
      <c r="N84" s="28"/>
      <c r="O84" s="29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x14ac:dyDescent="0.25">
      <c r="A85" s="26"/>
      <c r="B85" s="27"/>
      <c r="C85" s="28"/>
      <c r="D85" s="41"/>
      <c r="E85" s="1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31"/>
      <c r="R85" s="31"/>
      <c r="S85" s="28"/>
      <c r="T85" s="28"/>
      <c r="U85" s="28"/>
      <c r="V85" s="28"/>
      <c r="W85" s="28"/>
      <c r="X85" s="28"/>
      <c r="Y85" s="28"/>
      <c r="Z85" s="28"/>
      <c r="AA85" s="28"/>
    </row>
    <row r="86" spans="1:27" x14ac:dyDescent="0.25">
      <c r="D86" s="41"/>
      <c r="E86" s="15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31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x14ac:dyDescent="0.25">
      <c r="A87" s="26"/>
      <c r="D87" s="41"/>
      <c r="E87" s="15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31"/>
      <c r="R87" s="28"/>
      <c r="S87" s="28"/>
      <c r="T87" s="28"/>
      <c r="U87" s="29"/>
      <c r="V87" s="29"/>
      <c r="W87" s="31"/>
      <c r="X87" s="29"/>
      <c r="Y87" s="31"/>
      <c r="Z87" s="31"/>
      <c r="AA87" s="31"/>
    </row>
  </sheetData>
  <mergeCells count="94">
    <mergeCell ref="G52:H52"/>
    <mergeCell ref="G53:H53"/>
    <mergeCell ref="G62:H62"/>
    <mergeCell ref="A62:F63"/>
    <mergeCell ref="G63:H63"/>
    <mergeCell ref="G54:H54"/>
    <mergeCell ref="G55:H55"/>
    <mergeCell ref="D54:E54"/>
    <mergeCell ref="D59:E59"/>
    <mergeCell ref="G61:H61"/>
    <mergeCell ref="G56:H56"/>
    <mergeCell ref="G57:H57"/>
    <mergeCell ref="G58:H58"/>
    <mergeCell ref="G59:H59"/>
    <mergeCell ref="G60:H60"/>
    <mergeCell ref="G42:H42"/>
    <mergeCell ref="G43:H43"/>
    <mergeCell ref="G51:H51"/>
    <mergeCell ref="G46:H46"/>
    <mergeCell ref="G47:H47"/>
    <mergeCell ref="G48:H48"/>
    <mergeCell ref="G49:H49"/>
    <mergeCell ref="G44:H44"/>
    <mergeCell ref="G45:H45"/>
    <mergeCell ref="G50:H50"/>
    <mergeCell ref="G34:H34"/>
    <mergeCell ref="G31:H31"/>
    <mergeCell ref="G32:H32"/>
    <mergeCell ref="G40:H40"/>
    <mergeCell ref="G41:H41"/>
    <mergeCell ref="G35:H35"/>
    <mergeCell ref="G36:H36"/>
    <mergeCell ref="G37:H37"/>
    <mergeCell ref="G38:H38"/>
    <mergeCell ref="G39:H39"/>
    <mergeCell ref="D29:E29"/>
    <mergeCell ref="G33:H33"/>
    <mergeCell ref="G27:H27"/>
    <mergeCell ref="G28:H28"/>
    <mergeCell ref="G29:H29"/>
    <mergeCell ref="D32:E32"/>
    <mergeCell ref="D18:E18"/>
    <mergeCell ref="G15:H15"/>
    <mergeCell ref="D23:E23"/>
    <mergeCell ref="F1:F13"/>
    <mergeCell ref="G30:H30"/>
    <mergeCell ref="G23:H23"/>
    <mergeCell ref="G24:H24"/>
    <mergeCell ref="G20:H20"/>
    <mergeCell ref="G16:H16"/>
    <mergeCell ref="G17:H17"/>
    <mergeCell ref="G18:H18"/>
    <mergeCell ref="G19:H19"/>
    <mergeCell ref="G26:H26"/>
    <mergeCell ref="G25:H25"/>
    <mergeCell ref="D27:E27"/>
    <mergeCell ref="D30:E30"/>
    <mergeCell ref="L2:L12"/>
    <mergeCell ref="A1:A13"/>
    <mergeCell ref="B1:B13"/>
    <mergeCell ref="C1:C13"/>
    <mergeCell ref="D1:E12"/>
    <mergeCell ref="AA2:AA12"/>
    <mergeCell ref="X2:X12"/>
    <mergeCell ref="Y2:Y12"/>
    <mergeCell ref="Z2:Z12"/>
    <mergeCell ref="D48:E48"/>
    <mergeCell ref="D45:E45"/>
    <mergeCell ref="D44:E44"/>
    <mergeCell ref="D43:E43"/>
    <mergeCell ref="W2:W12"/>
    <mergeCell ref="P2:P12"/>
    <mergeCell ref="G1:H13"/>
    <mergeCell ref="A14:H14"/>
    <mergeCell ref="G22:H22"/>
    <mergeCell ref="I2:I12"/>
    <mergeCell ref="N2:N12"/>
    <mergeCell ref="O2:O12"/>
    <mergeCell ref="D42:E42"/>
    <mergeCell ref="D39:E39"/>
    <mergeCell ref="D37:E37"/>
    <mergeCell ref="D35:E35"/>
    <mergeCell ref="V2:V12"/>
    <mergeCell ref="S2:S12"/>
    <mergeCell ref="D33:E33"/>
    <mergeCell ref="D31:E31"/>
    <mergeCell ref="D34:E34"/>
    <mergeCell ref="T2:T12"/>
    <mergeCell ref="U2:U12"/>
    <mergeCell ref="J2:J12"/>
    <mergeCell ref="M2:M12"/>
    <mergeCell ref="K2:K12"/>
    <mergeCell ref="Q2:Q12"/>
    <mergeCell ref="R2:R12"/>
  </mergeCells>
  <phoneticPr fontId="2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E83C-E732-4AAE-A33D-72F3BA18C9A7}">
  <sheetPr codeName="Sheet9"/>
  <dimension ref="A1:AA63"/>
  <sheetViews>
    <sheetView zoomScale="80" zoomScaleNormal="80" workbookViewId="0">
      <selection sqref="A1:AA63"/>
    </sheetView>
  </sheetViews>
  <sheetFormatPr defaultRowHeight="15" x14ac:dyDescent="0.25"/>
  <cols>
    <col min="1" max="1" width="11.42578125" customWidth="1"/>
    <col min="2" max="2" width="12.5703125" customWidth="1"/>
    <col min="3" max="3" width="20.28515625" customWidth="1"/>
    <col min="4" max="5" width="9.140625" customWidth="1"/>
    <col min="6" max="6" width="9.28515625" customWidth="1"/>
    <col min="15" max="15" width="8.85546875" customWidth="1"/>
    <col min="16" max="16" width="9" customWidth="1"/>
    <col min="17" max="17" width="8.7109375" customWidth="1"/>
    <col min="24" max="24" width="10.7109375" bestFit="1" customWidth="1"/>
    <col min="27" max="27" width="9.140625" customWidth="1"/>
  </cols>
  <sheetData>
    <row r="1" spans="1:27" ht="17.45" customHeight="1" x14ac:dyDescent="0.25">
      <c r="A1" s="114" t="s">
        <v>43</v>
      </c>
      <c r="B1" s="114" t="s">
        <v>27</v>
      </c>
      <c r="C1" s="114" t="s">
        <v>0</v>
      </c>
      <c r="D1" s="117" t="s">
        <v>1</v>
      </c>
      <c r="E1" s="117"/>
      <c r="F1" s="119" t="s">
        <v>2</v>
      </c>
      <c r="G1" s="124" t="s">
        <v>451</v>
      </c>
      <c r="H1" s="125"/>
      <c r="I1" s="1">
        <v>614</v>
      </c>
      <c r="J1" s="1">
        <v>614</v>
      </c>
      <c r="K1" s="1">
        <v>614</v>
      </c>
      <c r="L1" s="1">
        <v>614</v>
      </c>
      <c r="M1" s="1">
        <v>614</v>
      </c>
      <c r="N1" s="1">
        <v>614</v>
      </c>
      <c r="O1" s="1">
        <v>614</v>
      </c>
      <c r="P1" s="1">
        <v>614</v>
      </c>
      <c r="Q1" s="1">
        <v>614</v>
      </c>
      <c r="R1" s="1">
        <v>614</v>
      </c>
      <c r="S1" s="1">
        <v>614</v>
      </c>
      <c r="T1" s="1">
        <v>614</v>
      </c>
      <c r="U1" s="1">
        <v>614</v>
      </c>
      <c r="V1" s="1">
        <v>614</v>
      </c>
      <c r="W1" s="1">
        <v>614</v>
      </c>
      <c r="X1" s="1">
        <v>615</v>
      </c>
      <c r="Y1" s="1">
        <v>622</v>
      </c>
      <c r="Z1" s="1">
        <v>622</v>
      </c>
      <c r="AA1" s="1"/>
    </row>
    <row r="2" spans="1:27" ht="16.149999999999999" customHeight="1" x14ac:dyDescent="0.25">
      <c r="A2" s="115"/>
      <c r="B2" s="115"/>
      <c r="C2" s="115"/>
      <c r="D2" s="118"/>
      <c r="E2" s="118"/>
      <c r="F2" s="120"/>
      <c r="G2" s="126"/>
      <c r="H2" s="127"/>
      <c r="I2" s="111" t="s">
        <v>24</v>
      </c>
      <c r="J2" s="111" t="s">
        <v>23</v>
      </c>
      <c r="K2" s="111" t="s">
        <v>25</v>
      </c>
      <c r="L2" s="111" t="s">
        <v>501</v>
      </c>
      <c r="M2" s="111" t="s">
        <v>26</v>
      </c>
      <c r="N2" s="111" t="s">
        <v>13</v>
      </c>
      <c r="O2" s="111" t="s">
        <v>14</v>
      </c>
      <c r="P2" s="111" t="s">
        <v>10</v>
      </c>
      <c r="Q2" s="111" t="s">
        <v>12</v>
      </c>
      <c r="R2" s="111" t="s">
        <v>15</v>
      </c>
      <c r="S2" s="111" t="s">
        <v>16</v>
      </c>
      <c r="T2" s="111" t="s">
        <v>17</v>
      </c>
      <c r="U2" s="111" t="s">
        <v>18</v>
      </c>
      <c r="V2" s="111" t="s">
        <v>438</v>
      </c>
      <c r="W2" s="111" t="s">
        <v>19</v>
      </c>
      <c r="X2" s="111" t="s">
        <v>20</v>
      </c>
      <c r="Y2" s="111" t="s">
        <v>22</v>
      </c>
      <c r="Z2" s="111" t="s">
        <v>423</v>
      </c>
      <c r="AA2" s="111"/>
    </row>
    <row r="3" spans="1:27" ht="16.149999999999999" customHeight="1" x14ac:dyDescent="0.25">
      <c r="A3" s="115"/>
      <c r="B3" s="115"/>
      <c r="C3" s="115"/>
      <c r="D3" s="118"/>
      <c r="E3" s="118"/>
      <c r="F3" s="120"/>
      <c r="G3" s="126"/>
      <c r="H3" s="127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27" ht="16.149999999999999" customHeight="1" x14ac:dyDescent="0.25">
      <c r="A4" s="115"/>
      <c r="B4" s="115"/>
      <c r="C4" s="115"/>
      <c r="D4" s="118"/>
      <c r="E4" s="118"/>
      <c r="F4" s="120"/>
      <c r="G4" s="126"/>
      <c r="H4" s="127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1:27" ht="16.149999999999999" customHeight="1" x14ac:dyDescent="0.25">
      <c r="A5" s="115"/>
      <c r="B5" s="115"/>
      <c r="C5" s="115"/>
      <c r="D5" s="118"/>
      <c r="E5" s="118"/>
      <c r="F5" s="120"/>
      <c r="G5" s="126"/>
      <c r="H5" s="127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7" ht="13.9" customHeight="1" x14ac:dyDescent="0.25">
      <c r="A6" s="115"/>
      <c r="B6" s="115"/>
      <c r="C6" s="115"/>
      <c r="D6" s="118"/>
      <c r="E6" s="118"/>
      <c r="F6" s="120"/>
      <c r="G6" s="126"/>
      <c r="H6" s="127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 ht="15.75" customHeight="1" x14ac:dyDescent="0.25">
      <c r="A7" s="115"/>
      <c r="B7" s="115"/>
      <c r="C7" s="115"/>
      <c r="D7" s="118"/>
      <c r="E7" s="118"/>
      <c r="F7" s="120"/>
      <c r="G7" s="126"/>
      <c r="H7" s="127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27" ht="15.75" customHeight="1" x14ac:dyDescent="0.25">
      <c r="A8" s="115"/>
      <c r="B8" s="115"/>
      <c r="C8" s="115"/>
      <c r="D8" s="118"/>
      <c r="E8" s="118"/>
      <c r="F8" s="120"/>
      <c r="G8" s="126"/>
      <c r="H8" s="127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27" ht="17.25" customHeight="1" x14ac:dyDescent="0.25">
      <c r="A9" s="115"/>
      <c r="B9" s="115"/>
      <c r="C9" s="115"/>
      <c r="D9" s="118"/>
      <c r="E9" s="118"/>
      <c r="F9" s="120"/>
      <c r="G9" s="126"/>
      <c r="H9" s="127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</row>
    <row r="10" spans="1:27" ht="14.45" customHeight="1" x14ac:dyDescent="0.25">
      <c r="A10" s="115"/>
      <c r="B10" s="115"/>
      <c r="C10" s="115"/>
      <c r="D10" s="118"/>
      <c r="E10" s="118"/>
      <c r="F10" s="120"/>
      <c r="G10" s="126"/>
      <c r="H10" s="127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</row>
    <row r="11" spans="1:27" ht="18.75" thickBot="1" x14ac:dyDescent="0.3">
      <c r="A11" s="160"/>
      <c r="B11" s="160"/>
      <c r="C11" s="160"/>
      <c r="D11" s="56" t="s">
        <v>3</v>
      </c>
      <c r="E11" s="56" t="s">
        <v>4</v>
      </c>
      <c r="F11" s="161"/>
      <c r="G11" s="128"/>
      <c r="H11" s="129"/>
      <c r="I11" s="22" t="s">
        <v>9</v>
      </c>
      <c r="J11" s="22" t="s">
        <v>6</v>
      </c>
      <c r="K11" s="22" t="s">
        <v>6</v>
      </c>
      <c r="L11" s="22" t="s">
        <v>6</v>
      </c>
      <c r="M11" s="22" t="s">
        <v>6</v>
      </c>
      <c r="N11" s="22" t="s">
        <v>11</v>
      </c>
      <c r="O11" s="22" t="s">
        <v>11</v>
      </c>
      <c r="P11" s="22" t="s">
        <v>11</v>
      </c>
      <c r="Q11" s="22" t="s">
        <v>9</v>
      </c>
      <c r="R11" s="22" t="s">
        <v>9</v>
      </c>
      <c r="S11" s="22" t="s">
        <v>9</v>
      </c>
      <c r="T11" s="22" t="s">
        <v>9</v>
      </c>
      <c r="U11" s="22" t="s">
        <v>9</v>
      </c>
      <c r="V11" s="22" t="s">
        <v>9</v>
      </c>
      <c r="W11" s="22" t="s">
        <v>6</v>
      </c>
      <c r="X11" s="22" t="s">
        <v>21</v>
      </c>
      <c r="Y11" s="22" t="s">
        <v>9</v>
      </c>
      <c r="Z11" s="22" t="s">
        <v>6</v>
      </c>
      <c r="AA11" s="22"/>
    </row>
    <row r="12" spans="1:27" x14ac:dyDescent="0.25">
      <c r="A12" s="134" t="s">
        <v>309</v>
      </c>
      <c r="B12" s="135"/>
      <c r="C12" s="135"/>
      <c r="D12" s="135"/>
      <c r="E12" s="135"/>
      <c r="F12" s="135"/>
      <c r="G12" s="135"/>
      <c r="H12" s="13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48" t="s">
        <v>344</v>
      </c>
      <c r="B13" s="16" t="s">
        <v>361</v>
      </c>
      <c r="C13" s="5" t="s">
        <v>48</v>
      </c>
      <c r="D13" s="12">
        <v>93563</v>
      </c>
      <c r="E13" s="12">
        <v>94550</v>
      </c>
      <c r="F13" s="5" t="s">
        <v>8</v>
      </c>
      <c r="G13" s="97" t="s">
        <v>452</v>
      </c>
      <c r="H13" s="98"/>
      <c r="I13" s="5"/>
      <c r="J13" s="5"/>
      <c r="K13" s="5"/>
      <c r="L13" s="5">
        <f xml:space="preserve"> ROUNDUP( (N13*5280)/80, 0)</f>
        <v>13</v>
      </c>
      <c r="M13" s="5"/>
      <c r="N13" s="6">
        <f xml:space="preserve"> (E13-D13)/5280</f>
        <v>0.18693181818181817</v>
      </c>
      <c r="O13" s="5"/>
      <c r="P13" s="6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x14ac:dyDescent="0.25">
      <c r="A14" s="48" t="s">
        <v>344</v>
      </c>
      <c r="B14" s="16" t="s">
        <v>426</v>
      </c>
      <c r="C14" s="5" t="s">
        <v>48</v>
      </c>
      <c r="D14" s="107">
        <v>93740</v>
      </c>
      <c r="E14" s="108"/>
      <c r="F14" s="5" t="s">
        <v>8</v>
      </c>
      <c r="G14" s="97" t="s">
        <v>452</v>
      </c>
      <c r="H14" s="98"/>
      <c r="I14" s="5"/>
      <c r="J14" s="5">
        <v>1</v>
      </c>
      <c r="K14" s="5"/>
      <c r="L14" s="5"/>
      <c r="M14" s="5"/>
      <c r="N14" s="6"/>
      <c r="O14" s="5"/>
      <c r="P14" s="6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25">
      <c r="A15" s="48" t="s">
        <v>344</v>
      </c>
      <c r="B15" s="16" t="s">
        <v>499</v>
      </c>
      <c r="C15" s="5" t="s">
        <v>48</v>
      </c>
      <c r="D15" s="12">
        <v>93740</v>
      </c>
      <c r="E15" s="12">
        <v>94550</v>
      </c>
      <c r="F15" s="5" t="s">
        <v>8</v>
      </c>
      <c r="G15" s="97" t="s">
        <v>452</v>
      </c>
      <c r="H15" s="98"/>
      <c r="I15" s="7">
        <f>Y15</f>
        <v>810</v>
      </c>
      <c r="J15" s="5"/>
      <c r="K15" s="5">
        <f xml:space="preserve"> ROUNDUP((I15/50)*3, 0)</f>
        <v>49</v>
      </c>
      <c r="L15" s="5"/>
      <c r="M15" s="5">
        <f xml:space="preserve"> ROUNDUP((I15/50), 0)</f>
        <v>17</v>
      </c>
      <c r="N15" s="6"/>
      <c r="O15" s="5"/>
      <c r="P15" s="6"/>
      <c r="Q15" s="5"/>
      <c r="R15" s="5"/>
      <c r="S15" s="5"/>
      <c r="T15" s="5"/>
      <c r="U15" s="5"/>
      <c r="V15" s="5"/>
      <c r="W15" s="5"/>
      <c r="X15" s="5"/>
      <c r="Y15" s="7">
        <f>E15-D15</f>
        <v>810</v>
      </c>
      <c r="Z15" s="5"/>
      <c r="AA15" s="5"/>
    </row>
    <row r="16" spans="1:27" x14ac:dyDescent="0.25">
      <c r="A16" s="48"/>
      <c r="B16" s="16"/>
      <c r="C16" s="5"/>
      <c r="D16" s="12"/>
      <c r="E16" s="12"/>
      <c r="F16" s="5"/>
      <c r="G16" s="79"/>
      <c r="H16" s="10"/>
      <c r="I16" s="7"/>
      <c r="J16" s="5"/>
      <c r="K16" s="5"/>
      <c r="L16" s="5"/>
      <c r="M16" s="5"/>
      <c r="N16" s="6"/>
      <c r="O16" s="5"/>
      <c r="P16" s="6"/>
      <c r="Q16" s="5"/>
      <c r="R16" s="5"/>
      <c r="S16" s="5"/>
      <c r="T16" s="5"/>
      <c r="U16" s="5"/>
      <c r="V16" s="5"/>
      <c r="W16" s="5"/>
      <c r="X16" s="5"/>
      <c r="Y16" s="7"/>
      <c r="Z16" s="5"/>
      <c r="AA16" s="5"/>
    </row>
    <row r="17" spans="1:27" x14ac:dyDescent="0.25">
      <c r="A17" s="48" t="s">
        <v>344</v>
      </c>
      <c r="B17" s="16" t="s">
        <v>350</v>
      </c>
      <c r="C17" s="5" t="s">
        <v>48</v>
      </c>
      <c r="D17" s="12">
        <v>93949</v>
      </c>
      <c r="E17" s="12">
        <v>94538</v>
      </c>
      <c r="F17" s="5" t="s">
        <v>7</v>
      </c>
      <c r="G17" s="97" t="s">
        <v>452</v>
      </c>
      <c r="H17" s="98"/>
      <c r="I17" s="5"/>
      <c r="J17" s="5"/>
      <c r="K17" s="5"/>
      <c r="L17" s="5">
        <f xml:space="preserve"> ROUNDUP((Q17/40), 0)</f>
        <v>15</v>
      </c>
      <c r="M17" s="5"/>
      <c r="N17" s="5"/>
      <c r="O17" s="6"/>
      <c r="P17" s="5"/>
      <c r="Q17" s="7">
        <f xml:space="preserve"> E17-D17</f>
        <v>589</v>
      </c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25">
      <c r="A18" s="48" t="s">
        <v>344</v>
      </c>
      <c r="B18" s="16" t="s">
        <v>354</v>
      </c>
      <c r="C18" s="5" t="s">
        <v>48</v>
      </c>
      <c r="D18" s="12">
        <v>93949</v>
      </c>
      <c r="E18" s="12">
        <v>94550</v>
      </c>
      <c r="F18" s="5" t="s">
        <v>7</v>
      </c>
      <c r="G18" s="97" t="s">
        <v>452</v>
      </c>
      <c r="H18" s="98"/>
      <c r="I18" s="5"/>
      <c r="J18" s="5"/>
      <c r="K18" s="5"/>
      <c r="L18" s="5">
        <f xml:space="preserve"> ROUNDUP((Q18/40), 0)</f>
        <v>16</v>
      </c>
      <c r="M18" s="5"/>
      <c r="N18" s="5"/>
      <c r="O18" s="6"/>
      <c r="P18" s="5"/>
      <c r="Q18" s="7">
        <f xml:space="preserve"> E18-D18</f>
        <v>601</v>
      </c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25">
      <c r="A19" s="48" t="s">
        <v>344</v>
      </c>
      <c r="B19" s="16" t="s">
        <v>380</v>
      </c>
      <c r="C19" s="5" t="s">
        <v>48</v>
      </c>
      <c r="D19" s="12">
        <v>93550</v>
      </c>
      <c r="E19" s="12">
        <v>94550</v>
      </c>
      <c r="F19" s="5" t="s">
        <v>8</v>
      </c>
      <c r="G19" s="97" t="s">
        <v>452</v>
      </c>
      <c r="H19" s="98"/>
      <c r="I19" s="7"/>
      <c r="J19" s="5"/>
      <c r="K19" s="7"/>
      <c r="L19" s="7"/>
      <c r="M19" s="7"/>
      <c r="N19" s="6"/>
      <c r="O19" s="6"/>
      <c r="P19" s="6">
        <f xml:space="preserve"> (E19-D19)/5280</f>
        <v>0.18939393939393939</v>
      </c>
      <c r="Q19" s="7"/>
      <c r="R19" s="7"/>
      <c r="S19" s="6"/>
      <c r="T19" s="6"/>
      <c r="U19" s="6"/>
      <c r="V19" s="6"/>
      <c r="W19" s="6"/>
      <c r="X19" s="6"/>
      <c r="Y19" s="7"/>
      <c r="Z19" s="5"/>
      <c r="AA19" s="5"/>
    </row>
    <row r="20" spans="1:27" x14ac:dyDescent="0.25">
      <c r="A20" s="48" t="s">
        <v>344</v>
      </c>
      <c r="B20" s="16" t="s">
        <v>381</v>
      </c>
      <c r="C20" s="5" t="s">
        <v>48</v>
      </c>
      <c r="D20" s="12">
        <v>94538</v>
      </c>
      <c r="E20" s="12">
        <v>94550</v>
      </c>
      <c r="F20" s="5" t="s">
        <v>7</v>
      </c>
      <c r="G20" s="97" t="s">
        <v>452</v>
      </c>
      <c r="H20" s="98"/>
      <c r="I20" s="5"/>
      <c r="J20" s="5"/>
      <c r="K20" s="5"/>
      <c r="L20" s="5"/>
      <c r="M20" s="5"/>
      <c r="N20" s="5"/>
      <c r="O20" s="5"/>
      <c r="P20" s="23">
        <f xml:space="preserve"> (E20-D20)/5280</f>
        <v>2.2727272727272726E-3</v>
      </c>
      <c r="Q20" s="7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25">
      <c r="A21" s="48" t="s">
        <v>344</v>
      </c>
      <c r="B21" s="16" t="s">
        <v>378</v>
      </c>
      <c r="C21" s="5" t="s">
        <v>83</v>
      </c>
      <c r="D21" s="12">
        <v>2637</v>
      </c>
      <c r="E21" s="12">
        <v>2650</v>
      </c>
      <c r="F21" s="5" t="s">
        <v>7</v>
      </c>
      <c r="G21" s="97" t="s">
        <v>452</v>
      </c>
      <c r="H21" s="98"/>
      <c r="I21" s="5"/>
      <c r="J21" s="5"/>
      <c r="K21" s="5"/>
      <c r="L21" s="5">
        <f xml:space="preserve"> ROUNDUP((P21*5280)/80, 0)</f>
        <v>1</v>
      </c>
      <c r="M21" s="5"/>
      <c r="N21" s="5"/>
      <c r="O21" s="5"/>
      <c r="P21" s="23">
        <f xml:space="preserve"> (E21-D21)/5280</f>
        <v>2.4621212121212119E-3</v>
      </c>
      <c r="Q21" s="7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x14ac:dyDescent="0.25">
      <c r="A22" s="49"/>
      <c r="B22" s="16"/>
      <c r="C22" s="16"/>
      <c r="D22" s="107"/>
      <c r="E22" s="108"/>
      <c r="F22" s="5"/>
      <c r="G22" s="97"/>
      <c r="H22" s="98"/>
      <c r="I22" s="5"/>
      <c r="J22" s="5"/>
      <c r="K22" s="5"/>
      <c r="L22" s="5"/>
      <c r="M22" s="5"/>
      <c r="N22" s="5"/>
      <c r="O22" s="6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25">
      <c r="A23" s="48" t="s">
        <v>344</v>
      </c>
      <c r="B23" s="16" t="s">
        <v>364</v>
      </c>
      <c r="C23" s="5" t="s">
        <v>48</v>
      </c>
      <c r="D23" s="12">
        <v>93550</v>
      </c>
      <c r="E23" s="12">
        <v>94550</v>
      </c>
      <c r="F23" s="5" t="s">
        <v>7</v>
      </c>
      <c r="G23" s="97" t="s">
        <v>452</v>
      </c>
      <c r="H23" s="98"/>
      <c r="I23" s="5"/>
      <c r="J23" s="5"/>
      <c r="K23" s="5"/>
      <c r="L23" s="5"/>
      <c r="M23" s="5"/>
      <c r="N23" s="5"/>
      <c r="O23" s="5"/>
      <c r="P23" s="6">
        <f xml:space="preserve"> (E23-D23)/5280</f>
        <v>0.18939393939393939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25">
      <c r="A24" s="48" t="s">
        <v>344</v>
      </c>
      <c r="B24" s="16" t="s">
        <v>361</v>
      </c>
      <c r="C24" s="5" t="s">
        <v>48</v>
      </c>
      <c r="D24" s="12">
        <v>93550</v>
      </c>
      <c r="E24" s="12">
        <v>93949</v>
      </c>
      <c r="F24" s="42" t="s">
        <v>7</v>
      </c>
      <c r="G24" s="97" t="s">
        <v>452</v>
      </c>
      <c r="H24" s="98"/>
      <c r="I24" s="42"/>
      <c r="J24" s="42"/>
      <c r="K24" s="7"/>
      <c r="L24" s="5">
        <f xml:space="preserve"> ROUNDUP( (N24*5280)/80, 0)</f>
        <v>5</v>
      </c>
      <c r="M24" s="5"/>
      <c r="N24" s="6">
        <f xml:space="preserve"> (E24-D24)/5280</f>
        <v>7.5568181818181812E-2</v>
      </c>
      <c r="O24" s="42"/>
      <c r="P24" s="7"/>
      <c r="Q24" s="7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25">
      <c r="A25" s="49"/>
      <c r="B25" s="16"/>
      <c r="C25" s="16"/>
      <c r="D25" s="122"/>
      <c r="E25" s="123"/>
      <c r="F25" s="16"/>
      <c r="G25" s="97"/>
      <c r="H25" s="98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x14ac:dyDescent="0.25">
      <c r="A26" s="48" t="s">
        <v>345</v>
      </c>
      <c r="B26" s="42" t="s">
        <v>362</v>
      </c>
      <c r="C26" s="5" t="s">
        <v>48</v>
      </c>
      <c r="D26" s="12">
        <v>94550</v>
      </c>
      <c r="E26" s="12">
        <v>95550</v>
      </c>
      <c r="F26" s="5" t="s">
        <v>8</v>
      </c>
      <c r="G26" s="97" t="s">
        <v>452</v>
      </c>
      <c r="H26" s="98"/>
      <c r="I26" s="5"/>
      <c r="J26" s="5"/>
      <c r="K26" s="5"/>
      <c r="L26" s="5"/>
      <c r="M26" s="5"/>
      <c r="N26" s="5"/>
      <c r="O26" s="6"/>
      <c r="P26" s="6">
        <f xml:space="preserve"> (E26-D26)/5280</f>
        <v>0.18939393939393939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48" t="s">
        <v>345</v>
      </c>
      <c r="B27" s="42" t="s">
        <v>361</v>
      </c>
      <c r="C27" s="5" t="s">
        <v>48</v>
      </c>
      <c r="D27" s="12">
        <v>94550</v>
      </c>
      <c r="E27" s="12">
        <v>95550</v>
      </c>
      <c r="F27" s="5" t="s">
        <v>8</v>
      </c>
      <c r="G27" s="97" t="s">
        <v>452</v>
      </c>
      <c r="H27" s="98"/>
      <c r="I27" s="5"/>
      <c r="J27" s="5"/>
      <c r="K27" s="5"/>
      <c r="L27" s="5">
        <f xml:space="preserve"> ROUNDUP( (N27*5280)/80, 0)</f>
        <v>13</v>
      </c>
      <c r="M27" s="5"/>
      <c r="N27" s="6">
        <f xml:space="preserve"> (E27-D27)/5280</f>
        <v>0.18939393939393939</v>
      </c>
      <c r="O27" s="5"/>
      <c r="P27" s="6"/>
      <c r="Q27" s="5"/>
      <c r="R27" s="43"/>
      <c r="S27" s="42"/>
      <c r="T27" s="42"/>
      <c r="U27" s="42"/>
      <c r="V27" s="42"/>
      <c r="W27" s="42"/>
      <c r="X27" s="42"/>
      <c r="Y27" s="42"/>
      <c r="Z27" s="5"/>
      <c r="AA27" s="5"/>
    </row>
    <row r="28" spans="1:27" x14ac:dyDescent="0.25">
      <c r="A28" s="48" t="s">
        <v>345</v>
      </c>
      <c r="B28" s="16" t="s">
        <v>377</v>
      </c>
      <c r="C28" s="5" t="s">
        <v>48</v>
      </c>
      <c r="D28" s="12">
        <v>94550</v>
      </c>
      <c r="E28" s="12">
        <v>95550</v>
      </c>
      <c r="F28" s="5" t="s">
        <v>8</v>
      </c>
      <c r="G28" s="97" t="s">
        <v>452</v>
      </c>
      <c r="H28" s="98"/>
      <c r="I28" s="5"/>
      <c r="J28" s="5"/>
      <c r="K28" s="5"/>
      <c r="L28" s="5">
        <f xml:space="preserve"> ROUNDUP((P28*5280)/80, 0)</f>
        <v>13</v>
      </c>
      <c r="M28" s="5"/>
      <c r="N28" s="5"/>
      <c r="O28" s="5"/>
      <c r="P28" s="6">
        <f xml:space="preserve"> (E28-D28)/5280</f>
        <v>0.18939393939393939</v>
      </c>
      <c r="Q28" s="5"/>
      <c r="R28" s="42"/>
      <c r="S28" s="42"/>
      <c r="T28" s="42"/>
      <c r="U28" s="42"/>
      <c r="V28" s="42"/>
      <c r="W28" s="42"/>
      <c r="X28" s="42"/>
      <c r="Y28" s="42"/>
      <c r="Z28" s="5"/>
      <c r="AA28" s="5"/>
    </row>
    <row r="29" spans="1:27" x14ac:dyDescent="0.25">
      <c r="A29" s="48" t="s">
        <v>345</v>
      </c>
      <c r="B29" s="16" t="s">
        <v>499</v>
      </c>
      <c r="C29" s="5" t="s">
        <v>48</v>
      </c>
      <c r="D29" s="12">
        <v>94624</v>
      </c>
      <c r="E29" s="12">
        <v>95550</v>
      </c>
      <c r="F29" s="16" t="s">
        <v>8</v>
      </c>
      <c r="G29" s="97" t="s">
        <v>452</v>
      </c>
      <c r="H29" s="98"/>
      <c r="I29" s="7"/>
      <c r="J29" s="5"/>
      <c r="K29" s="7">
        <f xml:space="preserve"> ROUNDUP((Y29/50)*3, 0)</f>
        <v>56</v>
      </c>
      <c r="L29" s="7"/>
      <c r="M29" s="7">
        <f xml:space="preserve"> ROUNDUP((Y29/50), 0)</f>
        <v>19</v>
      </c>
      <c r="N29" s="6"/>
      <c r="O29" s="6"/>
      <c r="P29" s="6"/>
      <c r="Q29" s="7"/>
      <c r="R29" s="7"/>
      <c r="S29" s="6"/>
      <c r="T29" s="6"/>
      <c r="U29" s="6"/>
      <c r="V29" s="6"/>
      <c r="W29" s="6"/>
      <c r="X29" s="6"/>
      <c r="Y29" s="7">
        <f xml:space="preserve"> E29-D29</f>
        <v>926</v>
      </c>
      <c r="Z29" s="5"/>
      <c r="AA29" s="5"/>
    </row>
    <row r="30" spans="1:27" x14ac:dyDescent="0.25">
      <c r="A30" s="48"/>
      <c r="B30" s="42"/>
      <c r="C30" s="5"/>
      <c r="D30" s="107"/>
      <c r="E30" s="108"/>
      <c r="F30" s="5"/>
      <c r="G30" s="97"/>
      <c r="H30" s="98"/>
      <c r="I30" s="5"/>
      <c r="J30" s="5"/>
      <c r="K30" s="5"/>
      <c r="L30" s="5"/>
      <c r="M30" s="5"/>
      <c r="N30" s="5"/>
      <c r="O30" s="6"/>
      <c r="P30" s="42"/>
      <c r="Q30" s="5"/>
      <c r="R30" s="5"/>
      <c r="S30" s="5"/>
      <c r="T30" s="5"/>
      <c r="U30" s="5"/>
      <c r="V30" s="5"/>
      <c r="W30" s="7"/>
      <c r="X30" s="5"/>
      <c r="Y30" s="5"/>
      <c r="Z30" s="5"/>
      <c r="AA30" s="5"/>
    </row>
    <row r="31" spans="1:27" x14ac:dyDescent="0.25">
      <c r="A31" s="48" t="s">
        <v>348</v>
      </c>
      <c r="B31" s="16" t="s">
        <v>364</v>
      </c>
      <c r="C31" s="5" t="s">
        <v>349</v>
      </c>
      <c r="D31" s="12">
        <v>1550</v>
      </c>
      <c r="E31" s="12">
        <v>94550</v>
      </c>
      <c r="F31" s="5" t="s">
        <v>7</v>
      </c>
      <c r="G31" s="97" t="s">
        <v>452</v>
      </c>
      <c r="H31" s="98"/>
      <c r="I31" s="5"/>
      <c r="J31" s="5"/>
      <c r="K31" s="5"/>
      <c r="L31" s="5"/>
      <c r="M31" s="5"/>
      <c r="N31" s="5"/>
      <c r="O31" s="5"/>
      <c r="P31" s="6">
        <f>(43+369+317+361)/5280</f>
        <v>0.20643939393939395</v>
      </c>
      <c r="Q31" s="5"/>
      <c r="R31" s="5"/>
      <c r="S31" s="5"/>
      <c r="T31" s="5"/>
      <c r="U31" s="5"/>
      <c r="V31" s="5"/>
      <c r="W31" s="7"/>
      <c r="X31" s="5"/>
      <c r="Y31" s="5"/>
      <c r="Z31" s="5"/>
      <c r="AA31" s="5"/>
    </row>
    <row r="32" spans="1:27" x14ac:dyDescent="0.25">
      <c r="A32" s="48" t="s">
        <v>348</v>
      </c>
      <c r="B32" s="42" t="s">
        <v>351</v>
      </c>
      <c r="C32" s="5" t="s">
        <v>349</v>
      </c>
      <c r="D32" s="12">
        <v>1550</v>
      </c>
      <c r="E32" s="12">
        <v>94550</v>
      </c>
      <c r="F32" s="5" t="s">
        <v>42</v>
      </c>
      <c r="G32" s="97" t="s">
        <v>452</v>
      </c>
      <c r="H32" s="98"/>
      <c r="I32" s="7"/>
      <c r="J32" s="5"/>
      <c r="K32" s="7"/>
      <c r="L32" s="5">
        <f xml:space="preserve"> ROUNDUP((P32*5280)/80, 0)</f>
        <v>14</v>
      </c>
      <c r="M32" s="7"/>
      <c r="N32" s="6"/>
      <c r="O32" s="6"/>
      <c r="P32" s="6">
        <f>(43+369+317+361)/5280</f>
        <v>0.20643939393939395</v>
      </c>
      <c r="Q32" s="7"/>
      <c r="R32" s="7"/>
      <c r="S32" s="6"/>
      <c r="T32" s="6"/>
      <c r="U32" s="6"/>
      <c r="V32" s="6"/>
      <c r="W32" s="7"/>
      <c r="X32" s="6"/>
      <c r="Y32" s="7"/>
      <c r="Z32" s="5"/>
      <c r="AA32" s="5"/>
    </row>
    <row r="33" spans="1:27" x14ac:dyDescent="0.25">
      <c r="A33" s="48" t="s">
        <v>348</v>
      </c>
      <c r="B33" s="42" t="s">
        <v>367</v>
      </c>
      <c r="C33" s="5" t="s">
        <v>82</v>
      </c>
      <c r="D33" s="12">
        <v>1550</v>
      </c>
      <c r="E33" s="12">
        <v>1660</v>
      </c>
      <c r="F33" s="5" t="s">
        <v>8</v>
      </c>
      <c r="G33" s="97" t="s">
        <v>452</v>
      </c>
      <c r="H33" s="98"/>
      <c r="I33" s="5"/>
      <c r="J33" s="5"/>
      <c r="K33" s="5"/>
      <c r="L33" s="5">
        <f xml:space="preserve"> ROUNDUP((P33*5280)/80, 0)</f>
        <v>2</v>
      </c>
      <c r="M33" s="5"/>
      <c r="N33" s="5"/>
      <c r="O33" s="5"/>
      <c r="P33" s="6">
        <f xml:space="preserve"> (E33-D33)/5280</f>
        <v>2.0833333333333332E-2</v>
      </c>
      <c r="Q33" s="5"/>
      <c r="R33" s="5"/>
      <c r="S33" s="5"/>
      <c r="T33" s="5"/>
      <c r="U33" s="5"/>
      <c r="V33" s="5"/>
      <c r="W33" s="7"/>
      <c r="X33" s="5"/>
      <c r="Y33" s="5"/>
      <c r="Z33" s="5"/>
      <c r="AA33" s="5"/>
    </row>
    <row r="34" spans="1:27" x14ac:dyDescent="0.25">
      <c r="A34" s="48" t="s">
        <v>348</v>
      </c>
      <c r="B34" s="42" t="s">
        <v>365</v>
      </c>
      <c r="C34" s="5" t="s">
        <v>82</v>
      </c>
      <c r="D34" s="12">
        <v>1550</v>
      </c>
      <c r="E34" s="12">
        <v>1660</v>
      </c>
      <c r="F34" s="5" t="s">
        <v>42</v>
      </c>
      <c r="G34" s="97" t="s">
        <v>452</v>
      </c>
      <c r="H34" s="98"/>
      <c r="I34" s="5"/>
      <c r="J34" s="5"/>
      <c r="K34" s="5"/>
      <c r="L34" s="5"/>
      <c r="M34" s="5"/>
      <c r="N34" s="6"/>
      <c r="O34" s="5"/>
      <c r="P34" s="6">
        <f xml:space="preserve"> (E34-D34)/5280</f>
        <v>2.0833333333333332E-2</v>
      </c>
      <c r="Q34" s="5"/>
      <c r="R34" s="5"/>
      <c r="S34" s="5"/>
      <c r="T34" s="5"/>
      <c r="U34" s="5"/>
      <c r="V34" s="5"/>
      <c r="W34" s="7"/>
      <c r="X34" s="5"/>
      <c r="Y34" s="5"/>
      <c r="Z34" s="5"/>
      <c r="AA34" s="5"/>
    </row>
    <row r="35" spans="1:27" x14ac:dyDescent="0.25">
      <c r="A35" s="48"/>
      <c r="B35" s="42"/>
      <c r="C35" s="5"/>
      <c r="D35" s="107"/>
      <c r="E35" s="108"/>
      <c r="F35" s="5"/>
      <c r="G35" s="97"/>
      <c r="H35" s="98"/>
      <c r="I35" s="5"/>
      <c r="J35" s="5"/>
      <c r="K35" s="5"/>
      <c r="L35" s="5"/>
      <c r="M35" s="5"/>
      <c r="N35" s="5"/>
      <c r="O35" s="5"/>
      <c r="P35" s="6"/>
      <c r="Q35" s="5"/>
      <c r="R35" s="5"/>
      <c r="S35" s="5"/>
      <c r="T35" s="5"/>
      <c r="U35" s="5"/>
      <c r="V35" s="5"/>
      <c r="W35" s="7"/>
      <c r="X35" s="5"/>
      <c r="Y35" s="5"/>
      <c r="Z35" s="5"/>
      <c r="AA35" s="5"/>
    </row>
    <row r="36" spans="1:27" ht="15" customHeight="1" x14ac:dyDescent="0.25">
      <c r="A36" s="48" t="s">
        <v>353</v>
      </c>
      <c r="B36" s="42" t="s">
        <v>369</v>
      </c>
      <c r="C36" s="5" t="s">
        <v>48</v>
      </c>
      <c r="D36" s="12">
        <v>96350</v>
      </c>
      <c r="E36" s="12">
        <v>96379</v>
      </c>
      <c r="F36" s="5" t="s">
        <v>8</v>
      </c>
      <c r="G36" s="97" t="s">
        <v>452</v>
      </c>
      <c r="H36" s="98"/>
      <c r="I36" s="5"/>
      <c r="J36" s="5"/>
      <c r="K36" s="5"/>
      <c r="L36" s="5">
        <f xml:space="preserve"> ROUNDUP((P36*5280)/80, 0)</f>
        <v>1</v>
      </c>
      <c r="M36" s="5"/>
      <c r="N36" s="5"/>
      <c r="O36" s="5"/>
      <c r="P36" s="6">
        <f xml:space="preserve"> (E36-D36)/5280</f>
        <v>5.4924242424242422E-3</v>
      </c>
      <c r="Q36" s="5"/>
      <c r="R36" s="7"/>
      <c r="S36" s="5"/>
      <c r="T36" s="5"/>
      <c r="U36" s="5"/>
      <c r="V36" s="5"/>
      <c r="W36" s="5"/>
      <c r="X36" s="5"/>
      <c r="Y36" s="5"/>
      <c r="Z36" s="5"/>
      <c r="AA36" s="5"/>
    </row>
    <row r="37" spans="1:27" ht="15" customHeight="1" x14ac:dyDescent="0.25">
      <c r="A37" s="48" t="s">
        <v>353</v>
      </c>
      <c r="B37" s="42" t="s">
        <v>366</v>
      </c>
      <c r="C37" s="5" t="s">
        <v>48</v>
      </c>
      <c r="D37" s="12">
        <v>96350</v>
      </c>
      <c r="E37" s="12">
        <v>96668</v>
      </c>
      <c r="F37" s="5" t="s">
        <v>8</v>
      </c>
      <c r="G37" s="97" t="s">
        <v>452</v>
      </c>
      <c r="H37" s="98"/>
      <c r="I37" s="5"/>
      <c r="J37" s="5"/>
      <c r="K37" s="5"/>
      <c r="L37" s="5"/>
      <c r="M37" s="5"/>
      <c r="N37" s="5"/>
      <c r="O37" s="5"/>
      <c r="P37" s="6">
        <f xml:space="preserve"> (E37-D37)/5280</f>
        <v>6.0227272727272727E-2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5" customHeight="1" x14ac:dyDescent="0.25">
      <c r="A38" s="48" t="s">
        <v>353</v>
      </c>
      <c r="B38" s="42" t="s">
        <v>324</v>
      </c>
      <c r="C38" s="5" t="s">
        <v>48</v>
      </c>
      <c r="D38" s="12">
        <v>96350</v>
      </c>
      <c r="E38" s="12">
        <v>96949</v>
      </c>
      <c r="F38" s="5" t="s">
        <v>8</v>
      </c>
      <c r="G38" s="97" t="s">
        <v>452</v>
      </c>
      <c r="H38" s="98"/>
      <c r="I38" s="5"/>
      <c r="J38" s="5"/>
      <c r="K38" s="5"/>
      <c r="L38" s="5">
        <f xml:space="preserve"> ROUNDUP((Q38/40), 0)</f>
        <v>15</v>
      </c>
      <c r="M38" s="5"/>
      <c r="N38" s="5"/>
      <c r="O38" s="5"/>
      <c r="P38" s="6"/>
      <c r="Q38" s="7">
        <f xml:space="preserve"> E38-D38</f>
        <v>599</v>
      </c>
      <c r="R38" s="5"/>
      <c r="S38" s="5"/>
      <c r="T38" s="5"/>
      <c r="U38" s="5"/>
      <c r="V38" s="5"/>
      <c r="W38" s="16"/>
      <c r="X38" s="5"/>
      <c r="Y38" s="5"/>
      <c r="Z38" s="5"/>
      <c r="AA38" s="5"/>
    </row>
    <row r="39" spans="1:27" ht="15" customHeight="1" x14ac:dyDescent="0.25">
      <c r="A39" s="48" t="s">
        <v>353</v>
      </c>
      <c r="B39" s="42" t="s">
        <v>368</v>
      </c>
      <c r="C39" s="5" t="s">
        <v>48</v>
      </c>
      <c r="D39" s="12">
        <v>96350</v>
      </c>
      <c r="E39" s="12">
        <v>96584</v>
      </c>
      <c r="F39" s="5" t="s">
        <v>8</v>
      </c>
      <c r="G39" s="97" t="s">
        <v>452</v>
      </c>
      <c r="H39" s="98"/>
      <c r="I39" s="5"/>
      <c r="J39" s="5"/>
      <c r="K39" s="5"/>
      <c r="L39" s="5">
        <f xml:space="preserve"> ROUNDUP((P39*5280)/80, 0)</f>
        <v>3</v>
      </c>
      <c r="M39" s="5"/>
      <c r="N39" s="5"/>
      <c r="O39" s="6"/>
      <c r="P39" s="6">
        <f xml:space="preserve"> (E39-D39)/5280</f>
        <v>4.4318181818181819E-2</v>
      </c>
      <c r="Q39" s="7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5" customHeight="1" x14ac:dyDescent="0.25">
      <c r="A40" s="48" t="s">
        <v>353</v>
      </c>
      <c r="B40" s="42" t="s">
        <v>499</v>
      </c>
      <c r="C40" s="5" t="s">
        <v>48</v>
      </c>
      <c r="D40" s="12">
        <v>96350</v>
      </c>
      <c r="E40" s="12">
        <v>96389</v>
      </c>
      <c r="F40" s="5" t="s">
        <v>8</v>
      </c>
      <c r="G40" s="97" t="s">
        <v>452</v>
      </c>
      <c r="H40" s="98"/>
      <c r="I40" s="7"/>
      <c r="J40" s="5"/>
      <c r="K40" s="7">
        <f xml:space="preserve"> ROUNDUP((Y40/50)*3, 0)</f>
        <v>3</v>
      </c>
      <c r="L40" s="7"/>
      <c r="M40" s="7">
        <f xml:space="preserve"> ROUNDUP((Y40/50), 0)</f>
        <v>1</v>
      </c>
      <c r="N40" s="6"/>
      <c r="O40" s="6"/>
      <c r="P40" s="6"/>
      <c r="Q40" s="7"/>
      <c r="R40" s="7"/>
      <c r="S40" s="6"/>
      <c r="T40" s="6"/>
      <c r="U40" s="6"/>
      <c r="V40" s="6"/>
      <c r="W40" s="6"/>
      <c r="X40" s="6"/>
      <c r="Y40" s="7">
        <f xml:space="preserve"> E40-D40</f>
        <v>39</v>
      </c>
      <c r="Z40" s="5"/>
      <c r="AA40" s="5"/>
    </row>
    <row r="41" spans="1:27" ht="15" customHeight="1" x14ac:dyDescent="0.25">
      <c r="A41" s="48"/>
      <c r="B41" s="42"/>
      <c r="C41" s="5"/>
      <c r="D41" s="107"/>
      <c r="E41" s="108"/>
      <c r="F41" s="5"/>
      <c r="G41" s="97"/>
      <c r="H41" s="98"/>
      <c r="I41" s="5"/>
      <c r="J41" s="5"/>
      <c r="K41" s="5"/>
      <c r="L41" s="5"/>
      <c r="M41" s="5"/>
      <c r="N41" s="5"/>
      <c r="O41" s="6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" customHeight="1" x14ac:dyDescent="0.25">
      <c r="A42" s="48" t="s">
        <v>353</v>
      </c>
      <c r="B42" s="42" t="s">
        <v>360</v>
      </c>
      <c r="C42" s="5" t="s">
        <v>48</v>
      </c>
      <c r="D42" s="12">
        <v>96379</v>
      </c>
      <c r="E42" s="12">
        <v>96998</v>
      </c>
      <c r="F42" s="5" t="s">
        <v>8</v>
      </c>
      <c r="G42" s="97" t="s">
        <v>452</v>
      </c>
      <c r="H42" s="98"/>
      <c r="I42" s="5"/>
      <c r="J42" s="5"/>
      <c r="K42" s="5"/>
      <c r="L42" s="5">
        <f xml:space="preserve"> ROUNDUP((Q42/40), 0)</f>
        <v>16</v>
      </c>
      <c r="M42" s="5"/>
      <c r="N42" s="5"/>
      <c r="O42" s="5"/>
      <c r="P42" s="5"/>
      <c r="Q42" s="7">
        <f xml:space="preserve"> E42-D42</f>
        <v>619</v>
      </c>
      <c r="R42" s="7"/>
      <c r="S42" s="5"/>
      <c r="T42" s="5"/>
      <c r="U42" s="5"/>
      <c r="V42" s="5"/>
      <c r="W42" s="5"/>
      <c r="X42" s="5"/>
      <c r="Y42" s="5"/>
      <c r="Z42" s="5"/>
      <c r="AA42" s="5"/>
    </row>
    <row r="43" spans="1:27" ht="15" customHeight="1" x14ac:dyDescent="0.25">
      <c r="A43" s="48" t="s">
        <v>353</v>
      </c>
      <c r="B43" s="16" t="s">
        <v>373</v>
      </c>
      <c r="C43" s="16" t="s">
        <v>352</v>
      </c>
      <c r="D43" s="12">
        <v>3285</v>
      </c>
      <c r="E43" s="12">
        <v>3998</v>
      </c>
      <c r="F43" s="5" t="s">
        <v>431</v>
      </c>
      <c r="G43" s="97" t="s">
        <v>452</v>
      </c>
      <c r="H43" s="98"/>
      <c r="I43" s="5"/>
      <c r="J43" s="5"/>
      <c r="K43" s="5"/>
      <c r="L43" s="5"/>
      <c r="M43" s="5"/>
      <c r="N43" s="5"/>
      <c r="O43" s="5"/>
      <c r="P43" s="6">
        <f xml:space="preserve"> (E43-D43)/5280</f>
        <v>0.13503787878787879</v>
      </c>
      <c r="Q43" s="7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" customHeight="1" x14ac:dyDescent="0.25">
      <c r="A44" s="73"/>
      <c r="B44" s="73"/>
      <c r="C44" s="73"/>
      <c r="D44" s="73"/>
      <c r="E44" s="73"/>
      <c r="F44" s="73"/>
      <c r="G44" s="97"/>
      <c r="H44" s="98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</row>
    <row r="45" spans="1:27" ht="15" customHeight="1" x14ac:dyDescent="0.25">
      <c r="A45" s="48" t="s">
        <v>355</v>
      </c>
      <c r="B45" s="16" t="s">
        <v>346</v>
      </c>
      <c r="C45" s="16" t="s">
        <v>48</v>
      </c>
      <c r="D45" s="12">
        <v>92769</v>
      </c>
      <c r="E45" s="12">
        <v>93550</v>
      </c>
      <c r="F45" s="5" t="s">
        <v>8</v>
      </c>
      <c r="G45" s="97" t="s">
        <v>452</v>
      </c>
      <c r="H45" s="98"/>
      <c r="I45" s="5"/>
      <c r="J45" s="5"/>
      <c r="K45" s="5"/>
      <c r="L45" s="5">
        <f xml:space="preserve"> ROUNDUP((Q45/40), 0)</f>
        <v>20</v>
      </c>
      <c r="M45" s="5"/>
      <c r="N45" s="5"/>
      <c r="O45" s="5"/>
      <c r="P45" s="5"/>
      <c r="Q45" s="7">
        <f xml:space="preserve"> E45-D45</f>
        <v>781</v>
      </c>
      <c r="R45" s="5"/>
      <c r="S45" s="5"/>
      <c r="T45" s="5"/>
      <c r="U45" s="6"/>
      <c r="V45" s="6"/>
      <c r="W45" s="7"/>
      <c r="X45" s="6"/>
      <c r="Y45" s="7"/>
      <c r="Z45" s="7"/>
      <c r="AA45" s="7"/>
    </row>
    <row r="46" spans="1:27" ht="15" customHeight="1" x14ac:dyDescent="0.25">
      <c r="A46" s="48" t="s">
        <v>355</v>
      </c>
      <c r="B46" s="42" t="s">
        <v>364</v>
      </c>
      <c r="C46" s="5" t="s">
        <v>48</v>
      </c>
      <c r="D46" s="12">
        <v>92948</v>
      </c>
      <c r="E46" s="12">
        <v>93550</v>
      </c>
      <c r="F46" s="5" t="s">
        <v>7</v>
      </c>
      <c r="G46" s="97" t="s">
        <v>452</v>
      </c>
      <c r="H46" s="98"/>
      <c r="I46" s="5"/>
      <c r="J46" s="5"/>
      <c r="K46" s="5"/>
      <c r="L46" s="5"/>
      <c r="M46" s="5"/>
      <c r="N46" s="6"/>
      <c r="O46" s="5"/>
      <c r="P46" s="6">
        <f xml:space="preserve"> (E46-D46)/5280</f>
        <v>0.11401515151515151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" customHeight="1" x14ac:dyDescent="0.25">
      <c r="A47" s="48" t="s">
        <v>355</v>
      </c>
      <c r="B47" s="42" t="s">
        <v>361</v>
      </c>
      <c r="C47" s="5" t="s">
        <v>48</v>
      </c>
      <c r="D47" s="12">
        <v>92950</v>
      </c>
      <c r="E47" s="12">
        <v>93550</v>
      </c>
      <c r="F47" s="5" t="s">
        <v>7</v>
      </c>
      <c r="G47" s="97" t="s">
        <v>452</v>
      </c>
      <c r="H47" s="98"/>
      <c r="I47" s="5"/>
      <c r="J47" s="5"/>
      <c r="K47" s="5"/>
      <c r="L47" s="5">
        <f xml:space="preserve"> ROUNDUP( (N47*5280)/80, 0)</f>
        <v>8</v>
      </c>
      <c r="M47" s="5"/>
      <c r="N47" s="6">
        <f xml:space="preserve"> (E47-D47)/5280</f>
        <v>0.11363636363636363</v>
      </c>
      <c r="O47" s="6"/>
      <c r="P47" s="6"/>
      <c r="Q47" s="5"/>
      <c r="R47" s="7"/>
      <c r="S47" s="5"/>
      <c r="T47" s="5"/>
      <c r="U47" s="5"/>
      <c r="V47" s="5"/>
      <c r="W47" s="5"/>
      <c r="X47" s="5"/>
      <c r="Y47" s="5"/>
      <c r="Z47" s="5"/>
      <c r="AA47" s="5"/>
    </row>
    <row r="48" spans="1:27" ht="15" customHeight="1" x14ac:dyDescent="0.25">
      <c r="A48" s="48" t="s">
        <v>355</v>
      </c>
      <c r="B48" s="42" t="s">
        <v>346</v>
      </c>
      <c r="C48" s="5" t="s">
        <v>48</v>
      </c>
      <c r="D48" s="12">
        <v>92769</v>
      </c>
      <c r="E48" s="12">
        <v>93550</v>
      </c>
      <c r="F48" s="5" t="s">
        <v>8</v>
      </c>
      <c r="G48" s="97" t="s">
        <v>452</v>
      </c>
      <c r="H48" s="98"/>
      <c r="I48" s="5"/>
      <c r="J48" s="5"/>
      <c r="K48" s="5"/>
      <c r="L48" s="5">
        <f xml:space="preserve"> ROUNDUP((Q48/40), 0)</f>
        <v>20</v>
      </c>
      <c r="M48" s="5"/>
      <c r="N48" s="5"/>
      <c r="O48" s="5"/>
      <c r="P48" s="6"/>
      <c r="Q48" s="7">
        <f xml:space="preserve"> E48-D48</f>
        <v>781</v>
      </c>
      <c r="R48" s="5"/>
      <c r="S48" s="16"/>
      <c r="T48" s="16"/>
      <c r="U48" s="16"/>
      <c r="V48" s="16"/>
      <c r="W48" s="16"/>
      <c r="X48" s="16"/>
      <c r="Y48" s="16"/>
      <c r="Z48" s="16"/>
      <c r="AA48" s="16"/>
    </row>
    <row r="49" spans="1:27" ht="15" customHeight="1" x14ac:dyDescent="0.25">
      <c r="A49" s="48" t="s">
        <v>355</v>
      </c>
      <c r="B49" s="16" t="s">
        <v>382</v>
      </c>
      <c r="C49" s="5" t="s">
        <v>48</v>
      </c>
      <c r="D49" s="12">
        <v>93069</v>
      </c>
      <c r="E49" s="12">
        <v>93550</v>
      </c>
      <c r="F49" s="5" t="s">
        <v>8</v>
      </c>
      <c r="G49" s="97" t="s">
        <v>452</v>
      </c>
      <c r="H49" s="98"/>
      <c r="I49" s="5"/>
      <c r="J49" s="5"/>
      <c r="K49" s="5"/>
      <c r="L49" s="5"/>
      <c r="M49" s="5"/>
      <c r="N49" s="5"/>
      <c r="O49" s="5"/>
      <c r="P49" s="6">
        <f xml:space="preserve"> (E49-D49)/5280</f>
        <v>9.1098484848484845E-2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" customHeight="1" x14ac:dyDescent="0.25">
      <c r="A50" s="49"/>
      <c r="B50" s="16"/>
      <c r="C50" s="16"/>
      <c r="D50" s="68"/>
      <c r="E50" s="51"/>
      <c r="F50" s="16"/>
      <c r="G50" s="97"/>
      <c r="H50" s="98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ht="15" customHeight="1" x14ac:dyDescent="0.25">
      <c r="A51" s="48" t="s">
        <v>355</v>
      </c>
      <c r="B51" s="42" t="s">
        <v>377</v>
      </c>
      <c r="C51" s="5" t="s">
        <v>48</v>
      </c>
      <c r="D51" s="12">
        <v>93069</v>
      </c>
      <c r="E51" s="12">
        <v>93550</v>
      </c>
      <c r="F51" s="5" t="s">
        <v>8</v>
      </c>
      <c r="G51" s="97" t="s">
        <v>452</v>
      </c>
      <c r="H51" s="98"/>
      <c r="I51" s="5"/>
      <c r="J51" s="5"/>
      <c r="K51" s="5"/>
      <c r="L51" s="5">
        <f xml:space="preserve"> ROUNDUP((P51*5280)/80, 0)</f>
        <v>7</v>
      </c>
      <c r="M51" s="5"/>
      <c r="N51" s="5"/>
      <c r="O51" s="5"/>
      <c r="P51" s="6">
        <f xml:space="preserve"> (E51-D51)/5280</f>
        <v>9.1098484848484845E-2</v>
      </c>
      <c r="Q51" s="7"/>
      <c r="R51" s="5"/>
      <c r="S51" s="42"/>
      <c r="T51" s="42"/>
      <c r="U51" s="42"/>
      <c r="V51" s="42"/>
      <c r="W51" s="42"/>
      <c r="X51" s="42"/>
      <c r="Y51" s="42"/>
      <c r="Z51" s="5"/>
      <c r="AA51" s="5"/>
    </row>
    <row r="52" spans="1:27" ht="15" customHeight="1" x14ac:dyDescent="0.25">
      <c r="A52" s="48" t="s">
        <v>355</v>
      </c>
      <c r="B52" s="16" t="s">
        <v>347</v>
      </c>
      <c r="C52" s="5" t="s">
        <v>48</v>
      </c>
      <c r="D52" s="12">
        <v>93488</v>
      </c>
      <c r="E52" s="12">
        <v>93550</v>
      </c>
      <c r="F52" s="5" t="s">
        <v>8</v>
      </c>
      <c r="G52" s="97" t="s">
        <v>452</v>
      </c>
      <c r="H52" s="98"/>
      <c r="I52" s="5"/>
      <c r="J52" s="5"/>
      <c r="K52" s="5"/>
      <c r="L52" s="5"/>
      <c r="M52" s="5"/>
      <c r="N52" s="5"/>
      <c r="O52" s="6"/>
      <c r="P52" s="6"/>
      <c r="Q52" s="5"/>
      <c r="R52" s="7">
        <f xml:space="preserve"> E52-D52</f>
        <v>62</v>
      </c>
      <c r="S52" s="6"/>
      <c r="T52" s="6"/>
      <c r="U52" s="6"/>
      <c r="V52" s="6"/>
      <c r="W52" s="6"/>
      <c r="X52" s="6"/>
      <c r="Y52" s="7"/>
      <c r="Z52" s="5"/>
      <c r="AA52" s="5"/>
    </row>
    <row r="53" spans="1:27" ht="15" customHeight="1" x14ac:dyDescent="0.25">
      <c r="A53" s="162" t="s">
        <v>383</v>
      </c>
      <c r="B53" s="163"/>
      <c r="C53" s="163"/>
      <c r="D53" s="163"/>
      <c r="E53" s="163"/>
      <c r="F53" s="163"/>
      <c r="G53" s="163"/>
      <c r="H53" s="164"/>
      <c r="I53" s="5"/>
      <c r="J53" s="5"/>
      <c r="K53" s="5"/>
      <c r="L53" s="5"/>
      <c r="M53" s="5"/>
      <c r="N53" s="5"/>
      <c r="O53" s="5"/>
      <c r="P53" s="6"/>
      <c r="Q53" s="5"/>
      <c r="R53" s="5"/>
      <c r="S53" s="5"/>
      <c r="T53" s="5"/>
      <c r="U53" s="5"/>
      <c r="V53" s="5"/>
      <c r="W53" s="7"/>
      <c r="X53" s="5"/>
      <c r="Y53" s="5"/>
      <c r="Z53" s="5"/>
      <c r="AA53" s="5"/>
    </row>
    <row r="54" spans="1:27" ht="15" customHeight="1" x14ac:dyDescent="0.25">
      <c r="A54" s="48" t="s">
        <v>390</v>
      </c>
      <c r="B54" s="42" t="s">
        <v>442</v>
      </c>
      <c r="C54" s="5" t="s">
        <v>30</v>
      </c>
      <c r="D54" s="12">
        <v>17133</v>
      </c>
      <c r="E54" s="12">
        <v>17573</v>
      </c>
      <c r="F54" s="5" t="s">
        <v>7</v>
      </c>
      <c r="G54" s="109" t="s">
        <v>453</v>
      </c>
      <c r="H54" s="110"/>
      <c r="I54" s="5"/>
      <c r="J54" s="5"/>
      <c r="K54" s="5"/>
      <c r="L54" s="5"/>
      <c r="M54" s="5"/>
      <c r="N54" s="5"/>
      <c r="O54" s="5"/>
      <c r="P54" s="6">
        <f>500/5280</f>
        <v>9.4696969696969696E-2</v>
      </c>
      <c r="Q54" s="5"/>
      <c r="R54" s="5"/>
      <c r="S54" s="5"/>
      <c r="T54" s="5"/>
      <c r="U54" s="5"/>
      <c r="V54" s="5"/>
      <c r="W54" s="7"/>
      <c r="X54" s="5"/>
      <c r="Y54" s="5"/>
      <c r="Z54" s="5"/>
      <c r="AA54" s="5"/>
    </row>
    <row r="55" spans="1:27" ht="15" customHeight="1" x14ac:dyDescent="0.25">
      <c r="A55" s="48" t="s">
        <v>390</v>
      </c>
      <c r="B55" s="42" t="s">
        <v>384</v>
      </c>
      <c r="C55" s="5" t="s">
        <v>31</v>
      </c>
      <c r="D55" s="107" t="s">
        <v>385</v>
      </c>
      <c r="E55" s="108"/>
      <c r="F55" s="5" t="s">
        <v>7</v>
      </c>
      <c r="G55" s="97" t="s">
        <v>452</v>
      </c>
      <c r="H55" s="98"/>
      <c r="I55" s="7"/>
      <c r="J55" s="5"/>
      <c r="K55" s="7"/>
      <c r="L55" s="7"/>
      <c r="M55" s="7"/>
      <c r="N55" s="6"/>
      <c r="O55" s="6"/>
      <c r="P55" s="6"/>
      <c r="Q55" s="7"/>
      <c r="R55" s="7"/>
      <c r="S55" s="6"/>
      <c r="T55" s="6"/>
      <c r="U55" s="6"/>
      <c r="V55" s="6"/>
      <c r="W55" s="7"/>
      <c r="X55" s="6"/>
      <c r="Y55" s="7"/>
      <c r="Z55" s="5"/>
      <c r="AA55" s="5"/>
    </row>
    <row r="56" spans="1:27" ht="15" customHeight="1" x14ac:dyDescent="0.25">
      <c r="A56" s="48" t="s">
        <v>390</v>
      </c>
      <c r="B56" s="42" t="s">
        <v>379</v>
      </c>
      <c r="C56" s="5" t="s">
        <v>31</v>
      </c>
      <c r="D56" s="12">
        <v>1084</v>
      </c>
      <c r="E56" s="12">
        <v>1550</v>
      </c>
      <c r="F56" s="5" t="s">
        <v>7</v>
      </c>
      <c r="G56" s="97" t="s">
        <v>452</v>
      </c>
      <c r="H56" s="98"/>
      <c r="I56" s="5"/>
      <c r="J56" s="5"/>
      <c r="K56" s="5"/>
      <c r="L56" s="5">
        <f xml:space="preserve"> ROUNDUP((Q56/40), 0)</f>
        <v>12</v>
      </c>
      <c r="M56" s="5"/>
      <c r="N56" s="5"/>
      <c r="O56" s="5"/>
      <c r="P56" s="6"/>
      <c r="Q56" s="7">
        <f xml:space="preserve"> E56-D56</f>
        <v>466</v>
      </c>
      <c r="R56" s="5"/>
      <c r="S56" s="5"/>
      <c r="T56" s="5">
        <v>24</v>
      </c>
      <c r="U56" s="5"/>
      <c r="V56" s="5"/>
      <c r="W56" s="7"/>
      <c r="X56" s="5"/>
      <c r="Y56" s="5"/>
      <c r="Z56" s="5"/>
      <c r="AA56" s="5"/>
    </row>
    <row r="57" spans="1:27" ht="15" customHeight="1" x14ac:dyDescent="0.25">
      <c r="A57" s="48" t="s">
        <v>390</v>
      </c>
      <c r="B57" s="42" t="s">
        <v>386</v>
      </c>
      <c r="C57" s="5" t="s">
        <v>31</v>
      </c>
      <c r="D57" s="107">
        <v>1092</v>
      </c>
      <c r="E57" s="108"/>
      <c r="F57" s="5" t="s">
        <v>7</v>
      </c>
      <c r="G57" s="97" t="s">
        <v>452</v>
      </c>
      <c r="H57" s="98"/>
      <c r="I57" s="5"/>
      <c r="J57" s="5"/>
      <c r="K57" s="5"/>
      <c r="L57" s="5"/>
      <c r="M57" s="5"/>
      <c r="N57" s="6"/>
      <c r="O57" s="5"/>
      <c r="P57" s="6"/>
      <c r="Q57" s="5"/>
      <c r="R57" s="5"/>
      <c r="S57" s="5"/>
      <c r="T57" s="5"/>
      <c r="U57" s="5"/>
      <c r="V57" s="5"/>
      <c r="W57" s="7">
        <v>1</v>
      </c>
      <c r="X57" s="5"/>
      <c r="Y57" s="5"/>
      <c r="Z57" s="5"/>
      <c r="AA57" s="5"/>
    </row>
    <row r="58" spans="1:27" ht="15" customHeight="1" x14ac:dyDescent="0.25">
      <c r="A58" s="48" t="s">
        <v>390</v>
      </c>
      <c r="B58" s="42" t="s">
        <v>387</v>
      </c>
      <c r="C58" s="5" t="s">
        <v>31</v>
      </c>
      <c r="D58" s="107">
        <v>1092</v>
      </c>
      <c r="E58" s="108"/>
      <c r="F58" s="5" t="s">
        <v>7</v>
      </c>
      <c r="G58" s="97" t="s">
        <v>452</v>
      </c>
      <c r="H58" s="98"/>
      <c r="I58" s="5"/>
      <c r="J58" s="5"/>
      <c r="K58" s="5"/>
      <c r="L58" s="5"/>
      <c r="M58" s="5"/>
      <c r="N58" s="5"/>
      <c r="O58" s="5"/>
      <c r="P58" s="6"/>
      <c r="Q58" s="5"/>
      <c r="R58" s="5"/>
      <c r="S58" s="5"/>
      <c r="T58" s="5"/>
      <c r="U58" s="5"/>
      <c r="V58" s="5"/>
      <c r="W58" s="7">
        <v>1</v>
      </c>
      <c r="X58" s="5"/>
      <c r="Y58" s="5"/>
      <c r="Z58" s="5"/>
      <c r="AA58" s="5"/>
    </row>
    <row r="59" spans="1:27" ht="15" customHeight="1" x14ac:dyDescent="0.25">
      <c r="A59" s="48"/>
      <c r="B59" s="42"/>
      <c r="C59" s="5"/>
      <c r="D59" s="107"/>
      <c r="E59" s="108"/>
      <c r="F59" s="5"/>
      <c r="G59" s="97"/>
      <c r="H59" s="98"/>
      <c r="I59" s="5"/>
      <c r="J59" s="5"/>
      <c r="K59" s="5"/>
      <c r="L59" s="5"/>
      <c r="M59" s="5"/>
      <c r="N59" s="5"/>
      <c r="O59" s="5"/>
      <c r="P59" s="6"/>
      <c r="Q59" s="5"/>
      <c r="R59" s="5"/>
      <c r="S59" s="5"/>
      <c r="T59" s="5"/>
      <c r="U59" s="5"/>
      <c r="V59" s="5"/>
      <c r="W59" s="7"/>
      <c r="X59" s="5"/>
      <c r="Y59" s="5"/>
      <c r="Z59" s="5"/>
      <c r="AA59" s="5"/>
    </row>
    <row r="60" spans="1:27" ht="15" customHeight="1" x14ac:dyDescent="0.25">
      <c r="A60" s="48" t="s">
        <v>390</v>
      </c>
      <c r="B60" s="42" t="s">
        <v>388</v>
      </c>
      <c r="C60" s="5" t="s">
        <v>31</v>
      </c>
      <c r="D60" s="107">
        <v>1189</v>
      </c>
      <c r="E60" s="108"/>
      <c r="F60" s="5" t="s">
        <v>7</v>
      </c>
      <c r="G60" s="97" t="s">
        <v>452</v>
      </c>
      <c r="H60" s="98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5"/>
      <c r="T60" s="5"/>
      <c r="U60" s="5"/>
      <c r="V60" s="5"/>
      <c r="W60" s="5">
        <v>1</v>
      </c>
      <c r="X60" s="5"/>
      <c r="Y60" s="5"/>
      <c r="Z60" s="5"/>
      <c r="AA60" s="5"/>
    </row>
    <row r="61" spans="1:27" ht="15" customHeight="1" x14ac:dyDescent="0.25">
      <c r="A61" s="48" t="s">
        <v>390</v>
      </c>
      <c r="B61" s="42" t="s">
        <v>389</v>
      </c>
      <c r="C61" s="5" t="s">
        <v>31</v>
      </c>
      <c r="D61" s="107">
        <v>1189</v>
      </c>
      <c r="E61" s="108"/>
      <c r="F61" s="5" t="s">
        <v>7</v>
      </c>
      <c r="G61" s="97" t="s">
        <v>452</v>
      </c>
      <c r="H61" s="98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5"/>
      <c r="T61" s="5"/>
      <c r="U61" s="5"/>
      <c r="V61" s="5"/>
      <c r="W61" s="5">
        <v>1</v>
      </c>
      <c r="X61" s="5"/>
      <c r="Y61" s="5"/>
      <c r="Z61" s="5"/>
      <c r="AA61" s="5"/>
    </row>
    <row r="62" spans="1:27" x14ac:dyDescent="0.25">
      <c r="A62" s="101" t="s">
        <v>432</v>
      </c>
      <c r="B62" s="102"/>
      <c r="C62" s="102"/>
      <c r="D62" s="102"/>
      <c r="E62" s="102"/>
      <c r="F62" s="103"/>
      <c r="G62" s="99" t="s">
        <v>452</v>
      </c>
      <c r="H62" s="99"/>
      <c r="I62" s="72">
        <f>SUM(Sheet10!I13:I14,I60:I61,I55:I58,I13:I52)</f>
        <v>810</v>
      </c>
      <c r="J62" s="72">
        <f>SUM(Sheet10!J13:J14,J60:J61,J55:J58,J13:J52)</f>
        <v>1</v>
      </c>
      <c r="K62" s="72">
        <f>SUM(Sheet10!K13:K14,K60:K61,K55:K58,K13:K52)</f>
        <v>108</v>
      </c>
      <c r="L62" s="72">
        <f>SUM(Sheet10!L13:L14,L60:L61,L55:L58,L13:L52)</f>
        <v>194</v>
      </c>
      <c r="M62" s="72">
        <f>SUM(Sheet10!M13:M14,M60:M61,M55:M58,M13:M52)</f>
        <v>37</v>
      </c>
      <c r="N62" s="75">
        <f>SUM(Sheet10!N13:N14,N60:N61,N55:N58,N13:N52)</f>
        <v>0.56553030303030294</v>
      </c>
      <c r="O62" s="75">
        <f>SUM(Sheet10!O13:O14,O60:O61,O55:O58,O13:O52)</f>
        <v>0</v>
      </c>
      <c r="P62" s="75">
        <f>SUM(Sheet10!P13:P14,P60:P61,P55:P58,P13:P52)</f>
        <v>1.7581439393939393</v>
      </c>
      <c r="Q62" s="72">
        <f>SUM(Sheet10!Q13:Q14,Q60:Q61,Q55:Q58,Q13:Q52)</f>
        <v>4436</v>
      </c>
      <c r="R62" s="72">
        <f>SUM(Sheet10!R13:R14,R60:R61,R55:R58,R13:R52)</f>
        <v>430</v>
      </c>
      <c r="S62" s="72">
        <f>SUM(Sheet10!S13:S14,S60:S61,S55:S58,S13:S52)</f>
        <v>0</v>
      </c>
      <c r="T62" s="72">
        <f>SUM(Sheet10!T13:T14,T60:T61,T55:T58,T13:T52)</f>
        <v>24</v>
      </c>
      <c r="U62" s="72">
        <f>SUM(Sheet10!U13:U14,U60:U61,U55:U58,U13:U52)</f>
        <v>0</v>
      </c>
      <c r="V62" s="72">
        <f>SUM(Sheet10!V13:V14,V60:V61,V55:V58,V13:V52)</f>
        <v>0</v>
      </c>
      <c r="W62" s="72">
        <f>SUM(Sheet10!W13:W14,W60:W61,W55:W58,W13:W52)</f>
        <v>4</v>
      </c>
      <c r="X62" s="72">
        <f>SUM(Sheet10!X13:X14,X60:X61,X55:X58,X13:X52)</f>
        <v>0</v>
      </c>
      <c r="Y62" s="72">
        <f>SUM(Sheet10!Y13:Y14,Y60:Y61,Y55:Y58,Y13:Y52)</f>
        <v>1775</v>
      </c>
      <c r="Z62" s="72">
        <f>SUM(Sheet10!Z13:Z14,Z60:Z61,Z55:Z58,Z13:Z52)</f>
        <v>0</v>
      </c>
      <c r="AA62" s="72">
        <f>SUM(Sheet10!AA13:AA14,AA60:AA61,AA55:AA58,AA13:AA52)</f>
        <v>0</v>
      </c>
    </row>
    <row r="63" spans="1:27" ht="15.75" thickBot="1" x14ac:dyDescent="0.3">
      <c r="A63" s="104"/>
      <c r="B63" s="105"/>
      <c r="C63" s="105"/>
      <c r="D63" s="105"/>
      <c r="E63" s="105"/>
      <c r="F63" s="106"/>
      <c r="G63" s="100" t="s">
        <v>453</v>
      </c>
      <c r="H63" s="100"/>
      <c r="I63" s="69">
        <f>SUM(I54)</f>
        <v>0</v>
      </c>
      <c r="J63" s="69">
        <f t="shared" ref="J63:AA63" si="0">SUM(J54)</f>
        <v>0</v>
      </c>
      <c r="K63" s="69">
        <f t="shared" si="0"/>
        <v>0</v>
      </c>
      <c r="L63" s="69">
        <f t="shared" ref="L63" si="1">SUM(L54)</f>
        <v>0</v>
      </c>
      <c r="M63" s="69">
        <f t="shared" si="0"/>
        <v>0</v>
      </c>
      <c r="N63" s="70">
        <f t="shared" si="0"/>
        <v>0</v>
      </c>
      <c r="O63" s="70">
        <f t="shared" si="0"/>
        <v>0</v>
      </c>
      <c r="P63" s="70">
        <f t="shared" si="0"/>
        <v>9.4696969696969696E-2</v>
      </c>
      <c r="Q63" s="69">
        <f t="shared" si="0"/>
        <v>0</v>
      </c>
      <c r="R63" s="69">
        <f t="shared" si="0"/>
        <v>0</v>
      </c>
      <c r="S63" s="69">
        <f t="shared" si="0"/>
        <v>0</v>
      </c>
      <c r="T63" s="69">
        <f t="shared" si="0"/>
        <v>0</v>
      </c>
      <c r="U63" s="69">
        <f t="shared" si="0"/>
        <v>0</v>
      </c>
      <c r="V63" s="69">
        <f t="shared" si="0"/>
        <v>0</v>
      </c>
      <c r="W63" s="69">
        <f t="shared" si="0"/>
        <v>0</v>
      </c>
      <c r="X63" s="69">
        <f t="shared" si="0"/>
        <v>0</v>
      </c>
      <c r="Y63" s="69">
        <f t="shared" si="0"/>
        <v>0</v>
      </c>
      <c r="Z63" s="69">
        <f t="shared" si="0"/>
        <v>0</v>
      </c>
      <c r="AA63" s="69">
        <f t="shared" si="0"/>
        <v>0</v>
      </c>
    </row>
  </sheetData>
  <mergeCells count="89">
    <mergeCell ref="L2:L10"/>
    <mergeCell ref="G47:H47"/>
    <mergeCell ref="G48:H48"/>
    <mergeCell ref="G49:H49"/>
    <mergeCell ref="G52:H52"/>
    <mergeCell ref="G42:H42"/>
    <mergeCell ref="G43:H43"/>
    <mergeCell ref="G44:H44"/>
    <mergeCell ref="G45:H45"/>
    <mergeCell ref="G46:H46"/>
    <mergeCell ref="J2:J10"/>
    <mergeCell ref="G14:H14"/>
    <mergeCell ref="G15:H15"/>
    <mergeCell ref="G26:H26"/>
    <mergeCell ref="G27:H27"/>
    <mergeCell ref="G28:H28"/>
    <mergeCell ref="A53:H53"/>
    <mergeCell ref="G54:H54"/>
    <mergeCell ref="G55:H55"/>
    <mergeCell ref="G56:H56"/>
    <mergeCell ref="G62:H62"/>
    <mergeCell ref="A62:F63"/>
    <mergeCell ref="D58:E58"/>
    <mergeCell ref="D59:E59"/>
    <mergeCell ref="D61:E61"/>
    <mergeCell ref="G63:H63"/>
    <mergeCell ref="G61:H61"/>
    <mergeCell ref="G57:H57"/>
    <mergeCell ref="G58:H58"/>
    <mergeCell ref="G59:H59"/>
    <mergeCell ref="G60:H60"/>
    <mergeCell ref="N2:N10"/>
    <mergeCell ref="O2:O10"/>
    <mergeCell ref="P2:P10"/>
    <mergeCell ref="G21:H21"/>
    <mergeCell ref="G1:H11"/>
    <mergeCell ref="A12:H12"/>
    <mergeCell ref="G19:H19"/>
    <mergeCell ref="G20:H20"/>
    <mergeCell ref="K2:K10"/>
    <mergeCell ref="A1:A11"/>
    <mergeCell ref="B1:B11"/>
    <mergeCell ref="C1:C11"/>
    <mergeCell ref="D1:E10"/>
    <mergeCell ref="F1:F11"/>
    <mergeCell ref="G17:H17"/>
    <mergeCell ref="G18:H18"/>
    <mergeCell ref="AA2:AA10"/>
    <mergeCell ref="X2:X10"/>
    <mergeCell ref="Y2:Y10"/>
    <mergeCell ref="Z2:Z10"/>
    <mergeCell ref="W2:W10"/>
    <mergeCell ref="V2:V10"/>
    <mergeCell ref="D55:E55"/>
    <mergeCell ref="D57:E57"/>
    <mergeCell ref="Q2:Q10"/>
    <mergeCell ref="R2:R10"/>
    <mergeCell ref="S2:S10"/>
    <mergeCell ref="T2:T10"/>
    <mergeCell ref="U2:U10"/>
    <mergeCell ref="D41:E41"/>
    <mergeCell ref="D35:E35"/>
    <mergeCell ref="I2:I10"/>
    <mergeCell ref="D30:E30"/>
    <mergeCell ref="D25:E25"/>
    <mergeCell ref="M2:M10"/>
    <mergeCell ref="D14:E14"/>
    <mergeCell ref="G13:H13"/>
    <mergeCell ref="D22:E22"/>
    <mergeCell ref="G22:H22"/>
    <mergeCell ref="G23:H23"/>
    <mergeCell ref="G24:H24"/>
    <mergeCell ref="G25:H25"/>
    <mergeCell ref="G32:H32"/>
    <mergeCell ref="G29:H29"/>
    <mergeCell ref="G30:H30"/>
    <mergeCell ref="G31:H31"/>
    <mergeCell ref="D60:E60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50:H50"/>
    <mergeCell ref="G51:H51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Breininger, Thomas</dc:creator>
  <cp:lastModifiedBy>Theller, Eric</cp:lastModifiedBy>
  <dcterms:created xsi:type="dcterms:W3CDTF">2022-06-17T15:33:40Z</dcterms:created>
  <dcterms:modified xsi:type="dcterms:W3CDTF">2024-09-11T14:10:37Z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