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philip1\appdata\local\bentley\projectwise\workingdir\ohiodot-pw.bentley.com_ohiodot-pw-02\matthew.philips@dot.ohio.gov\d1212271\"/>
    </mc:Choice>
  </mc:AlternateContent>
  <xr:revisionPtr revIDLastSave="0" documentId="8_{624393AD-DE51-4AF6-B53E-B548A11496CC}" xr6:coauthVersionLast="47" xr6:coauthVersionMax="47" xr10:uidLastSave="{00000000-0000-0000-0000-000000000000}"/>
  <bookViews>
    <workbookView xWindow="28680" yWindow="-120" windowWidth="29040" windowHeight="15720" tabRatio="306" xr2:uid="{00000000-000D-0000-FFFF-FFFF00000000}"/>
  </bookViews>
  <sheets>
    <sheet name="OfficeCalcs" sheetId="3" r:id="rId1"/>
  </sheets>
  <externalReferences>
    <externalReference r:id="rId2"/>
  </externalReferences>
  <definedNames>
    <definedName name="_xlnm.Print_Area" localSheetId="0">OfficeCalcs!$C$3:$Y$330</definedName>
    <definedName name="Spanner_Auto_File">"J:\1617800\DATA\EXCEL\DRIVES.x2a"</definedName>
    <definedName name="Spanner_Auto_Select" localSheetId="0">OfficeCalcs!$C$4:$T$330</definedName>
    <definedName name="Spanner_Auto_Selec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13" i="3" l="1"/>
  <c r="F313" i="3" s="1"/>
  <c r="C315" i="3"/>
  <c r="F315" i="3" s="1"/>
  <c r="C314" i="3"/>
  <c r="F314" i="3" s="1"/>
  <c r="U315" i="3"/>
  <c r="T314" i="3"/>
  <c r="R314" i="3"/>
  <c r="N314" i="3"/>
  <c r="N313" i="3"/>
  <c r="M313" i="3"/>
  <c r="K313" i="3"/>
  <c r="D264" i="3"/>
  <c r="F264" i="3" s="1"/>
  <c r="D266" i="3"/>
  <c r="F266" i="3" s="1"/>
  <c r="D265" i="3"/>
  <c r="F265" i="3" s="1"/>
  <c r="U266" i="3"/>
  <c r="T265" i="3"/>
  <c r="R265" i="3"/>
  <c r="N265" i="3"/>
  <c r="N264" i="3"/>
  <c r="M264" i="3"/>
  <c r="K264" i="3"/>
  <c r="D213" i="3"/>
  <c r="F213" i="3" s="1"/>
  <c r="C219" i="3"/>
  <c r="F219" i="3" s="1"/>
  <c r="C221" i="3"/>
  <c r="F221" i="3" s="1"/>
  <c r="C220" i="3"/>
  <c r="F220" i="3" s="1"/>
  <c r="D215" i="3"/>
  <c r="F215" i="3" s="1"/>
  <c r="D214" i="3"/>
  <c r="F214" i="3" s="1"/>
  <c r="U221" i="3"/>
  <c r="T220" i="3"/>
  <c r="R220" i="3"/>
  <c r="N220" i="3"/>
  <c r="N219" i="3"/>
  <c r="M219" i="3"/>
  <c r="K219" i="3"/>
  <c r="U215" i="3"/>
  <c r="T214" i="3"/>
  <c r="R214" i="3"/>
  <c r="N214" i="3"/>
  <c r="N213" i="3"/>
  <c r="M213" i="3"/>
  <c r="K213" i="3"/>
  <c r="C200" i="3"/>
  <c r="F200" i="3" s="1"/>
  <c r="C202" i="3"/>
  <c r="F202" i="3" s="1"/>
  <c r="C201" i="3"/>
  <c r="F201" i="3" s="1"/>
  <c r="D194" i="3"/>
  <c r="F194" i="3" s="1"/>
  <c r="D196" i="3"/>
  <c r="F196" i="3" s="1"/>
  <c r="D195" i="3"/>
  <c r="F195" i="3" s="1"/>
  <c r="U202" i="3"/>
  <c r="T201" i="3"/>
  <c r="R201" i="3"/>
  <c r="N201" i="3"/>
  <c r="N200" i="3"/>
  <c r="M200" i="3"/>
  <c r="K200" i="3"/>
  <c r="U196" i="3"/>
  <c r="T195" i="3"/>
  <c r="R195" i="3"/>
  <c r="N195" i="3"/>
  <c r="N194" i="3"/>
  <c r="M194" i="3"/>
  <c r="K194" i="3"/>
  <c r="C187" i="3"/>
  <c r="F187" i="3" s="1"/>
  <c r="H187" i="3" s="1"/>
  <c r="C189" i="3"/>
  <c r="F189" i="3" s="1"/>
  <c r="C188" i="3"/>
  <c r="F188" i="3" s="1"/>
  <c r="H188" i="3" s="1"/>
  <c r="D181" i="3"/>
  <c r="F181" i="3" s="1"/>
  <c r="H181" i="3" s="1"/>
  <c r="D183" i="3"/>
  <c r="F183" i="3" s="1"/>
  <c r="D182" i="3"/>
  <c r="F182" i="3" s="1"/>
  <c r="H182" i="3" s="1"/>
  <c r="U189" i="3"/>
  <c r="U183" i="3"/>
  <c r="C174" i="3"/>
  <c r="F174" i="3" s="1"/>
  <c r="C176" i="3"/>
  <c r="F176" i="3" s="1"/>
  <c r="C175" i="3"/>
  <c r="F175" i="3" s="1"/>
  <c r="U176" i="3"/>
  <c r="T175" i="3"/>
  <c r="R175" i="3"/>
  <c r="N175" i="3"/>
  <c r="N174" i="3"/>
  <c r="M174" i="3"/>
  <c r="K174" i="3"/>
  <c r="D168" i="3"/>
  <c r="F168" i="3" s="1"/>
  <c r="D170" i="3"/>
  <c r="F170" i="3" s="1"/>
  <c r="D169" i="3"/>
  <c r="F169" i="3" s="1"/>
  <c r="U170" i="3"/>
  <c r="T169" i="3"/>
  <c r="R169" i="3"/>
  <c r="N169" i="3"/>
  <c r="N168" i="3"/>
  <c r="M168" i="3"/>
  <c r="K168" i="3"/>
  <c r="C99" i="3"/>
  <c r="F99" i="3" s="1"/>
  <c r="C101" i="3"/>
  <c r="F101" i="3" s="1"/>
  <c r="C100" i="3"/>
  <c r="F100" i="3" s="1"/>
  <c r="U101" i="3"/>
  <c r="T100" i="3"/>
  <c r="R100" i="3"/>
  <c r="N100" i="3"/>
  <c r="N99" i="3"/>
  <c r="M99" i="3"/>
  <c r="K99" i="3"/>
  <c r="D93" i="3"/>
  <c r="F93" i="3" s="1"/>
  <c r="D95" i="3"/>
  <c r="F95" i="3" s="1"/>
  <c r="D94" i="3"/>
  <c r="F94" i="3" s="1"/>
  <c r="U95" i="3"/>
  <c r="T94" i="3"/>
  <c r="R94" i="3"/>
  <c r="N94" i="3"/>
  <c r="N93" i="3"/>
  <c r="M93" i="3"/>
  <c r="K93" i="3"/>
  <c r="N86" i="3"/>
  <c r="M86" i="3"/>
  <c r="K86" i="3"/>
  <c r="C86" i="3"/>
  <c r="F86" i="3" s="1"/>
  <c r="C88" i="3"/>
  <c r="F88" i="3" s="1"/>
  <c r="C87" i="3"/>
  <c r="F87" i="3" s="1"/>
  <c r="U88" i="3"/>
  <c r="T87" i="3"/>
  <c r="R87" i="3"/>
  <c r="N87" i="3"/>
  <c r="U82" i="3"/>
  <c r="T81" i="3"/>
  <c r="R81" i="3"/>
  <c r="K80" i="3"/>
  <c r="D80" i="3"/>
  <c r="F80" i="3" s="1"/>
  <c r="D82" i="3"/>
  <c r="F82" i="3" s="1"/>
  <c r="D81" i="3"/>
  <c r="F81" i="3" s="1"/>
  <c r="N81" i="3"/>
  <c r="N80" i="3"/>
  <c r="M80" i="3"/>
  <c r="C67" i="3"/>
  <c r="F67" i="3" s="1"/>
  <c r="H67" i="3" s="1"/>
  <c r="U69" i="3"/>
  <c r="U63" i="3"/>
  <c r="D61" i="3"/>
  <c r="F61" i="3" s="1"/>
  <c r="H61" i="3" s="1"/>
  <c r="U50" i="3"/>
  <c r="T49" i="3"/>
  <c r="R49" i="3"/>
  <c r="N49" i="3"/>
  <c r="N48" i="3"/>
  <c r="M48" i="3"/>
  <c r="K48" i="3"/>
  <c r="G49" i="3"/>
  <c r="G48" i="3"/>
  <c r="C48" i="3"/>
  <c r="T43" i="3"/>
  <c r="R43" i="3"/>
  <c r="N43" i="3"/>
  <c r="N42" i="3"/>
  <c r="M42" i="3"/>
  <c r="K42" i="3"/>
  <c r="G42" i="3"/>
  <c r="D42" i="3"/>
  <c r="F42" i="3" s="1"/>
  <c r="G43" i="3"/>
  <c r="G44" i="3"/>
  <c r="U44" i="3" s="1"/>
  <c r="Q314" i="3" l="1"/>
  <c r="Q214" i="3"/>
  <c r="Q265" i="3"/>
  <c r="Q220" i="3"/>
  <c r="Q195" i="3"/>
  <c r="Q201" i="3"/>
  <c r="Q169" i="3"/>
  <c r="M181" i="3"/>
  <c r="K181" i="3"/>
  <c r="M187" i="3"/>
  <c r="K187" i="3"/>
  <c r="N182" i="3"/>
  <c r="N181" i="3"/>
  <c r="T182" i="3"/>
  <c r="R182" i="3"/>
  <c r="T188" i="3"/>
  <c r="R188" i="3"/>
  <c r="N188" i="3"/>
  <c r="N187" i="3"/>
  <c r="Q175" i="3"/>
  <c r="Q100" i="3"/>
  <c r="Q94" i="3"/>
  <c r="Q87" i="3"/>
  <c r="Q81" i="3"/>
  <c r="K67" i="3"/>
  <c r="M67" i="3"/>
  <c r="K61" i="3"/>
  <c r="M61" i="3"/>
  <c r="Q49" i="3"/>
  <c r="Q43" i="3"/>
  <c r="Q188" i="3" l="1"/>
  <c r="Q182" i="3"/>
  <c r="F271" i="3" l="1"/>
  <c r="W271" i="3" s="1"/>
  <c r="F270" i="3"/>
  <c r="W270" i="3" s="1"/>
  <c r="F269" i="3"/>
  <c r="W269" i="3" s="1"/>
  <c r="F268" i="3"/>
  <c r="W268" i="3" s="1"/>
  <c r="F272" i="3"/>
  <c r="W272" i="3" s="1"/>
  <c r="F132" i="3"/>
  <c r="W132" i="3" s="1"/>
  <c r="F131" i="3"/>
  <c r="W131" i="3" s="1"/>
  <c r="F130" i="3"/>
  <c r="W130" i="3" s="1"/>
  <c r="F129" i="3"/>
  <c r="W129" i="3" s="1"/>
  <c r="F128" i="3"/>
  <c r="W128" i="3" s="1"/>
  <c r="F127" i="3"/>
  <c r="W127" i="3" s="1"/>
  <c r="W6" i="3"/>
  <c r="W5" i="3"/>
  <c r="W4" i="3"/>
  <c r="F12" i="3"/>
  <c r="H12" i="3" s="1"/>
  <c r="F15" i="3"/>
  <c r="H15" i="3" s="1"/>
  <c r="H328" i="3"/>
  <c r="T327" i="3"/>
  <c r="S327" i="3"/>
  <c r="R327" i="3"/>
  <c r="P327" i="3"/>
  <c r="M327" i="3"/>
  <c r="L327" i="3"/>
  <c r="H327" i="3"/>
  <c r="W330" i="3" l="1"/>
  <c r="W331" i="3" s="1"/>
  <c r="H325" i="3"/>
  <c r="T324" i="3"/>
  <c r="S324" i="3"/>
  <c r="R324" i="3"/>
  <c r="P324" i="3"/>
  <c r="M324" i="3"/>
  <c r="L324" i="3"/>
  <c r="H324" i="3"/>
  <c r="T321" i="3"/>
  <c r="S321" i="3"/>
  <c r="R321" i="3"/>
  <c r="P321" i="3"/>
  <c r="M321" i="3"/>
  <c r="L321" i="3"/>
  <c r="H322" i="3"/>
  <c r="H321" i="3"/>
  <c r="G261" i="3"/>
  <c r="F262" i="3"/>
  <c r="F261" i="3"/>
  <c r="V261" i="3" s="1"/>
  <c r="G258" i="3"/>
  <c r="H261" i="3" l="1"/>
  <c r="H262" i="3"/>
  <c r="T261" i="3" l="1"/>
  <c r="S261" i="3"/>
  <c r="P261" i="3"/>
  <c r="M261" i="3"/>
  <c r="L261" i="3"/>
  <c r="R261" i="3"/>
  <c r="Q261" i="3" l="1"/>
  <c r="F259" i="3" l="1"/>
  <c r="F258" i="3"/>
  <c r="H258" i="3" s="1"/>
  <c r="H318" i="3"/>
  <c r="V317" i="3"/>
  <c r="H317" i="3"/>
  <c r="M317" i="3" s="1"/>
  <c r="G255" i="3"/>
  <c r="F256" i="3"/>
  <c r="F255" i="3"/>
  <c r="V255" i="3" s="1"/>
  <c r="H310" i="3"/>
  <c r="H309" i="3"/>
  <c r="G252" i="3"/>
  <c r="F253" i="3"/>
  <c r="F252" i="3"/>
  <c r="H306" i="3"/>
  <c r="V305" i="3"/>
  <c r="H305" i="3"/>
  <c r="T305" i="3" s="1"/>
  <c r="F303" i="3"/>
  <c r="F302" i="3"/>
  <c r="V302" i="3" s="1"/>
  <c r="G249" i="3"/>
  <c r="F250" i="3"/>
  <c r="H250" i="3" s="1"/>
  <c r="F249" i="3"/>
  <c r="V249" i="3" s="1"/>
  <c r="F244" i="3"/>
  <c r="H244" i="3" s="1"/>
  <c r="F243" i="3"/>
  <c r="V243" i="3" s="1"/>
  <c r="G240" i="3"/>
  <c r="F241" i="3"/>
  <c r="F240" i="3"/>
  <c r="V240" i="3" s="1"/>
  <c r="F238" i="3"/>
  <c r="F237" i="3"/>
  <c r="H237" i="3" s="1"/>
  <c r="P258" i="3" l="1"/>
  <c r="S258" i="3"/>
  <c r="L258" i="3"/>
  <c r="R258" i="3"/>
  <c r="T258" i="3"/>
  <c r="M258" i="3"/>
  <c r="V258" i="3"/>
  <c r="H259" i="3"/>
  <c r="P317" i="3"/>
  <c r="S317" i="3"/>
  <c r="T317" i="3"/>
  <c r="R317" i="3"/>
  <c r="L317" i="3"/>
  <c r="H256" i="3"/>
  <c r="H255" i="3"/>
  <c r="S309" i="3"/>
  <c r="P309" i="3"/>
  <c r="M309" i="3"/>
  <c r="L309" i="3"/>
  <c r="T309" i="3"/>
  <c r="R309" i="3"/>
  <c r="V309" i="3"/>
  <c r="H252" i="3"/>
  <c r="L252" i="3" s="1"/>
  <c r="V252" i="3"/>
  <c r="H253" i="3"/>
  <c r="S305" i="3"/>
  <c r="O305" i="3"/>
  <c r="P305" i="3"/>
  <c r="R305" i="3"/>
  <c r="H302" i="3"/>
  <c r="H303" i="3"/>
  <c r="H249" i="3"/>
  <c r="H243" i="3"/>
  <c r="H240" i="3"/>
  <c r="H241" i="3"/>
  <c r="R237" i="3"/>
  <c r="L237" i="3"/>
  <c r="T237" i="3"/>
  <c r="S237" i="3"/>
  <c r="P237" i="3"/>
  <c r="M237" i="3"/>
  <c r="V237" i="3"/>
  <c r="H238" i="3"/>
  <c r="G235" i="3"/>
  <c r="F235" i="3"/>
  <c r="V235" i="3" s="1"/>
  <c r="G232" i="3"/>
  <c r="F233" i="3"/>
  <c r="F232" i="3"/>
  <c r="V232" i="3" s="1"/>
  <c r="F299" i="3"/>
  <c r="H299" i="3" s="1"/>
  <c r="F298" i="3"/>
  <c r="H298" i="3" s="1"/>
  <c r="F230" i="3"/>
  <c r="H230" i="3" s="1"/>
  <c r="F229" i="3"/>
  <c r="H229" i="3" s="1"/>
  <c r="H294" i="3"/>
  <c r="F292" i="3"/>
  <c r="F291" i="3"/>
  <c r="V291" i="3" s="1"/>
  <c r="G226" i="3"/>
  <c r="F227" i="3"/>
  <c r="F226" i="3"/>
  <c r="V226" i="3" s="1"/>
  <c r="F224" i="3"/>
  <c r="F223" i="3"/>
  <c r="V223" i="3" s="1"/>
  <c r="F211" i="3"/>
  <c r="F210" i="3"/>
  <c r="V210" i="3" s="1"/>
  <c r="F208" i="3"/>
  <c r="H208" i="3" s="1"/>
  <c r="F207" i="3"/>
  <c r="H207" i="3" s="1"/>
  <c r="F205" i="3"/>
  <c r="F204" i="3"/>
  <c r="V204" i="3" s="1"/>
  <c r="F192" i="3"/>
  <c r="H192" i="3" s="1"/>
  <c r="F191" i="3"/>
  <c r="V191" i="3" s="1"/>
  <c r="F179" i="3"/>
  <c r="F178" i="3"/>
  <c r="V178" i="3" s="1"/>
  <c r="F166" i="3"/>
  <c r="F165" i="3"/>
  <c r="V165" i="3" s="1"/>
  <c r="F163" i="3"/>
  <c r="F162" i="3"/>
  <c r="F160" i="3"/>
  <c r="H160" i="3" s="1"/>
  <c r="F159" i="3"/>
  <c r="H159" i="3" s="1"/>
  <c r="G156" i="3"/>
  <c r="F157" i="3"/>
  <c r="H157" i="3" s="1"/>
  <c r="F156" i="3"/>
  <c r="G287" i="3"/>
  <c r="H287" i="3" s="1"/>
  <c r="S287" i="3" s="1"/>
  <c r="H288" i="3"/>
  <c r="V287" i="3"/>
  <c r="F154" i="3"/>
  <c r="G153" i="3"/>
  <c r="F153" i="3"/>
  <c r="G150" i="3"/>
  <c r="F151" i="3"/>
  <c r="F150" i="3"/>
  <c r="G147" i="3"/>
  <c r="F148" i="3"/>
  <c r="F147" i="3"/>
  <c r="V147" i="3" s="1"/>
  <c r="H284" i="3"/>
  <c r="V283" i="3"/>
  <c r="H283" i="3"/>
  <c r="S283" i="3" s="1"/>
  <c r="G144" i="3"/>
  <c r="F145" i="3"/>
  <c r="F144" i="3"/>
  <c r="V144" i="3" s="1"/>
  <c r="G141" i="3"/>
  <c r="F142" i="3"/>
  <c r="H142" i="3" s="1"/>
  <c r="F141" i="3"/>
  <c r="G138" i="3"/>
  <c r="F139" i="3"/>
  <c r="F138" i="3"/>
  <c r="G135" i="3"/>
  <c r="F136" i="3"/>
  <c r="F135" i="3"/>
  <c r="P112" i="3"/>
  <c r="F125" i="3"/>
  <c r="F124" i="3"/>
  <c r="V124" i="3" s="1"/>
  <c r="Q258" i="3" l="1"/>
  <c r="S252" i="3"/>
  <c r="P252" i="3"/>
  <c r="R252" i="3"/>
  <c r="M252" i="3"/>
  <c r="T252" i="3"/>
  <c r="Q317" i="3"/>
  <c r="Q305" i="3"/>
  <c r="P255" i="3"/>
  <c r="S255" i="3"/>
  <c r="R255" i="3"/>
  <c r="M255" i="3"/>
  <c r="L255" i="3"/>
  <c r="T255" i="3"/>
  <c r="Q309" i="3"/>
  <c r="Q252" i="3"/>
  <c r="T302" i="3"/>
  <c r="S302" i="3"/>
  <c r="R302" i="3"/>
  <c r="P302" i="3"/>
  <c r="M302" i="3"/>
  <c r="L302" i="3"/>
  <c r="S249" i="3"/>
  <c r="P249" i="3"/>
  <c r="L249" i="3"/>
  <c r="T249" i="3"/>
  <c r="R249" i="3"/>
  <c r="M249" i="3"/>
  <c r="S243" i="3"/>
  <c r="R243" i="3"/>
  <c r="L243" i="3"/>
  <c r="T243" i="3"/>
  <c r="P243" i="3"/>
  <c r="M243" i="3"/>
  <c r="Q237" i="3"/>
  <c r="T240" i="3"/>
  <c r="S240" i="3"/>
  <c r="R240" i="3"/>
  <c r="P240" i="3"/>
  <c r="M240" i="3"/>
  <c r="L240" i="3"/>
  <c r="H235" i="3"/>
  <c r="H292" i="3"/>
  <c r="H232" i="3"/>
  <c r="H233" i="3"/>
  <c r="T298" i="3"/>
  <c r="S298" i="3"/>
  <c r="P298" i="3"/>
  <c r="L298" i="3"/>
  <c r="R298" i="3"/>
  <c r="M298" i="3"/>
  <c r="V298" i="3"/>
  <c r="M229" i="3"/>
  <c r="R229" i="3"/>
  <c r="L229" i="3"/>
  <c r="T229" i="3"/>
  <c r="S229" i="3"/>
  <c r="P229" i="3"/>
  <c r="V229" i="3"/>
  <c r="H295" i="3"/>
  <c r="V294" i="3"/>
  <c r="T294" i="3"/>
  <c r="O294" i="3"/>
  <c r="S294" i="3"/>
  <c r="R294" i="3"/>
  <c r="P294" i="3"/>
  <c r="H291" i="3"/>
  <c r="T291" i="3" s="1"/>
  <c r="H226" i="3"/>
  <c r="H227" i="3"/>
  <c r="H223" i="3"/>
  <c r="H224" i="3"/>
  <c r="H210" i="3"/>
  <c r="R210" i="3" s="1"/>
  <c r="H211" i="3"/>
  <c r="S207" i="3"/>
  <c r="M207" i="3"/>
  <c r="L207" i="3"/>
  <c r="T207" i="3"/>
  <c r="R207" i="3"/>
  <c r="P207" i="3"/>
  <c r="V207" i="3"/>
  <c r="H205" i="3"/>
  <c r="H204" i="3"/>
  <c r="H191" i="3"/>
  <c r="H178" i="3"/>
  <c r="T178" i="3" s="1"/>
  <c r="H179" i="3"/>
  <c r="H162" i="3"/>
  <c r="P162" i="3" s="1"/>
  <c r="H166" i="3"/>
  <c r="H165" i="3"/>
  <c r="V162" i="3"/>
  <c r="H163" i="3"/>
  <c r="V159" i="3"/>
  <c r="P159" i="3"/>
  <c r="M159" i="3"/>
  <c r="S159" i="3"/>
  <c r="R159" i="3"/>
  <c r="L159" i="3"/>
  <c r="T159" i="3"/>
  <c r="H153" i="3"/>
  <c r="L153" i="3" s="1"/>
  <c r="H156" i="3"/>
  <c r="T156" i="3" s="1"/>
  <c r="V156" i="3"/>
  <c r="H150" i="3"/>
  <c r="R150" i="3" s="1"/>
  <c r="T287" i="3"/>
  <c r="L287" i="3"/>
  <c r="M287" i="3"/>
  <c r="P287" i="3"/>
  <c r="R287" i="3"/>
  <c r="V153" i="3"/>
  <c r="H154" i="3"/>
  <c r="V150" i="3"/>
  <c r="H151" i="3"/>
  <c r="H147" i="3"/>
  <c r="H148" i="3"/>
  <c r="T283" i="3"/>
  <c r="L283" i="3"/>
  <c r="M283" i="3"/>
  <c r="P283" i="3"/>
  <c r="R283" i="3"/>
  <c r="H145" i="3"/>
  <c r="H141" i="3"/>
  <c r="K141" i="3" s="1"/>
  <c r="H144" i="3"/>
  <c r="V141" i="3"/>
  <c r="H138" i="3"/>
  <c r="R138" i="3" s="1"/>
  <c r="V138" i="3"/>
  <c r="H139" i="3"/>
  <c r="H135" i="3"/>
  <c r="R135" i="3" s="1"/>
  <c r="V135" i="3"/>
  <c r="H136" i="3"/>
  <c r="H125" i="3"/>
  <c r="H124" i="3"/>
  <c r="F122" i="3"/>
  <c r="H122" i="3" s="1"/>
  <c r="F121" i="3"/>
  <c r="H121" i="3" s="1"/>
  <c r="P121" i="3" s="1"/>
  <c r="Q255" i="3" l="1"/>
  <c r="Q249" i="3"/>
  <c r="Q302" i="3"/>
  <c r="Q243" i="3"/>
  <c r="Q240" i="3"/>
  <c r="M235" i="3"/>
  <c r="R235" i="3"/>
  <c r="L235" i="3"/>
  <c r="T235" i="3"/>
  <c r="N235" i="3"/>
  <c r="K235" i="3"/>
  <c r="Q294" i="3"/>
  <c r="T232" i="3"/>
  <c r="S232" i="3"/>
  <c r="L232" i="3"/>
  <c r="R232" i="3"/>
  <c r="M232" i="3"/>
  <c r="P232" i="3"/>
  <c r="Q298" i="3"/>
  <c r="Q229" i="3"/>
  <c r="S178" i="3"/>
  <c r="L291" i="3"/>
  <c r="M291" i="3"/>
  <c r="P291" i="3"/>
  <c r="R291" i="3"/>
  <c r="S291" i="3"/>
  <c r="Q207" i="3"/>
  <c r="T226" i="3"/>
  <c r="S226" i="3"/>
  <c r="P226" i="3"/>
  <c r="R226" i="3"/>
  <c r="M226" i="3"/>
  <c r="L226" i="3"/>
  <c r="R223" i="3"/>
  <c r="P223" i="3"/>
  <c r="M223" i="3"/>
  <c r="T223" i="3"/>
  <c r="S223" i="3"/>
  <c r="L223" i="3"/>
  <c r="P178" i="3"/>
  <c r="M210" i="3"/>
  <c r="L210" i="3"/>
  <c r="S210" i="3"/>
  <c r="P210" i="3"/>
  <c r="T210" i="3"/>
  <c r="R156" i="3"/>
  <c r="S156" i="3"/>
  <c r="S204" i="3"/>
  <c r="P204" i="3"/>
  <c r="T204" i="3"/>
  <c r="R204" i="3"/>
  <c r="M204" i="3"/>
  <c r="L204" i="3"/>
  <c r="P191" i="3"/>
  <c r="M191" i="3"/>
  <c r="T191" i="3"/>
  <c r="S191" i="3"/>
  <c r="R191" i="3"/>
  <c r="L191" i="3"/>
  <c r="L178" i="3"/>
  <c r="R178" i="3"/>
  <c r="M178" i="3"/>
  <c r="P156" i="3"/>
  <c r="Q287" i="3"/>
  <c r="T162" i="3"/>
  <c r="S162" i="3"/>
  <c r="L162" i="3"/>
  <c r="M162" i="3"/>
  <c r="R162" i="3"/>
  <c r="M156" i="3"/>
  <c r="R165" i="3"/>
  <c r="T165" i="3"/>
  <c r="S165" i="3"/>
  <c r="M165" i="3"/>
  <c r="L165" i="3"/>
  <c r="P165" i="3"/>
  <c r="L156" i="3"/>
  <c r="Q159" i="3"/>
  <c r="N141" i="3"/>
  <c r="R141" i="3"/>
  <c r="N150" i="3"/>
  <c r="S153" i="3"/>
  <c r="M150" i="3"/>
  <c r="R153" i="3"/>
  <c r="M153" i="3"/>
  <c r="L141" i="3"/>
  <c r="T153" i="3"/>
  <c r="L150" i="3"/>
  <c r="P153" i="3"/>
  <c r="M141" i="3"/>
  <c r="T150" i="3"/>
  <c r="Q150" i="3" s="1"/>
  <c r="K150" i="3"/>
  <c r="Q283" i="3"/>
  <c r="T141" i="3"/>
  <c r="T147" i="3"/>
  <c r="S147" i="3"/>
  <c r="R147" i="3"/>
  <c r="P147" i="3"/>
  <c r="M147" i="3"/>
  <c r="L147" i="3"/>
  <c r="P138" i="3"/>
  <c r="S138" i="3"/>
  <c r="M144" i="3"/>
  <c r="T144" i="3"/>
  <c r="L144" i="3"/>
  <c r="P144" i="3"/>
  <c r="S144" i="3"/>
  <c r="R144" i="3"/>
  <c r="T138" i="3"/>
  <c r="L138" i="3"/>
  <c r="M138" i="3"/>
  <c r="T135" i="3"/>
  <c r="S135" i="3"/>
  <c r="L135" i="3"/>
  <c r="P135" i="3"/>
  <c r="M135" i="3"/>
  <c r="O124" i="3"/>
  <c r="T124" i="3"/>
  <c r="S124" i="3"/>
  <c r="P124" i="3"/>
  <c r="R124" i="3"/>
  <c r="S121" i="3"/>
  <c r="M121" i="3"/>
  <c r="T121" i="3"/>
  <c r="R121" i="3"/>
  <c r="L121" i="3"/>
  <c r="V121" i="3"/>
  <c r="F119" i="3"/>
  <c r="F118" i="3"/>
  <c r="V118" i="3" s="1"/>
  <c r="F116" i="3"/>
  <c r="F115" i="3"/>
  <c r="H115" i="3" s="1"/>
  <c r="P115" i="3" s="1"/>
  <c r="V279" i="3"/>
  <c r="T112" i="3"/>
  <c r="S112" i="3"/>
  <c r="R112" i="3"/>
  <c r="M112" i="3"/>
  <c r="L112" i="3"/>
  <c r="F113" i="3"/>
  <c r="F112" i="3"/>
  <c r="F110" i="3"/>
  <c r="H110" i="3" s="1"/>
  <c r="F109" i="3"/>
  <c r="V109" i="3" s="1"/>
  <c r="G106" i="3"/>
  <c r="F107" i="3"/>
  <c r="F106" i="3"/>
  <c r="F104" i="3"/>
  <c r="F103" i="3"/>
  <c r="V103" i="3" s="1"/>
  <c r="F91" i="3"/>
  <c r="H91" i="3" s="1"/>
  <c r="F90" i="3"/>
  <c r="V90" i="3" s="1"/>
  <c r="F78" i="3"/>
  <c r="F77" i="3"/>
  <c r="V77" i="3" s="1"/>
  <c r="F72" i="3"/>
  <c r="F71" i="3"/>
  <c r="V71" i="3" s="1"/>
  <c r="C68" i="3"/>
  <c r="F68" i="3" s="1"/>
  <c r="H68" i="3" s="1"/>
  <c r="C69" i="3"/>
  <c r="F69" i="3" s="1"/>
  <c r="D62" i="3"/>
  <c r="F62" i="3" s="1"/>
  <c r="H62" i="3" s="1"/>
  <c r="D63" i="3"/>
  <c r="F63" i="3" s="1"/>
  <c r="F59" i="3"/>
  <c r="F58" i="3"/>
  <c r="V58" i="3" s="1"/>
  <c r="G56" i="3"/>
  <c r="G55" i="3"/>
  <c r="F56" i="3"/>
  <c r="F55" i="3"/>
  <c r="V55" i="3" s="1"/>
  <c r="C49" i="3"/>
  <c r="F49" i="3" s="1"/>
  <c r="C50" i="3"/>
  <c r="F50" i="3" s="1"/>
  <c r="D43" i="3"/>
  <c r="F43" i="3" s="1"/>
  <c r="D44" i="3"/>
  <c r="F44" i="3" s="1"/>
  <c r="G39" i="3"/>
  <c r="F40" i="3"/>
  <c r="F39" i="3"/>
  <c r="V39" i="3" s="1"/>
  <c r="F276" i="3"/>
  <c r="F275" i="3"/>
  <c r="V275" i="3" s="1"/>
  <c r="G36" i="3"/>
  <c r="F37" i="3"/>
  <c r="F36" i="3"/>
  <c r="G32" i="3"/>
  <c r="G29" i="3"/>
  <c r="F33" i="3"/>
  <c r="F34" i="3"/>
  <c r="F32" i="3"/>
  <c r="V32" i="3" s="1"/>
  <c r="F30" i="3"/>
  <c r="F29" i="3"/>
  <c r="V29" i="3" s="1"/>
  <c r="F27" i="3"/>
  <c r="H27" i="3" s="1"/>
  <c r="F26" i="3"/>
  <c r="V26" i="3" s="1"/>
  <c r="G23" i="3"/>
  <c r="F24" i="3"/>
  <c r="F23" i="3"/>
  <c r="V23" i="3" s="1"/>
  <c r="G20" i="3"/>
  <c r="N6" i="3"/>
  <c r="N5" i="3"/>
  <c r="N4" i="3"/>
  <c r="G14" i="3"/>
  <c r="F11" i="3"/>
  <c r="V11" i="3" s="1"/>
  <c r="G11" i="3"/>
  <c r="U6" i="3"/>
  <c r="V6" i="3"/>
  <c r="V5" i="3"/>
  <c r="V4" i="3"/>
  <c r="R6" i="3"/>
  <c r="Q6" i="3"/>
  <c r="R5" i="3"/>
  <c r="Q5" i="3"/>
  <c r="R4" i="3"/>
  <c r="Q4" i="3"/>
  <c r="S6" i="3"/>
  <c r="S5" i="3"/>
  <c r="S4" i="3"/>
  <c r="M6" i="3"/>
  <c r="M5" i="3"/>
  <c r="M4" i="3"/>
  <c r="L6" i="3"/>
  <c r="L5" i="3"/>
  <c r="L4" i="3"/>
  <c r="T6" i="3"/>
  <c r="K6" i="3"/>
  <c r="T5" i="3"/>
  <c r="K5" i="3"/>
  <c r="T68" i="3" l="1"/>
  <c r="R68" i="3"/>
  <c r="Q68" i="3" s="1"/>
  <c r="N68" i="3"/>
  <c r="N67" i="3"/>
  <c r="T62" i="3"/>
  <c r="R62" i="3"/>
  <c r="N61" i="3"/>
  <c r="N62" i="3"/>
  <c r="Q232" i="3"/>
  <c r="Q235" i="3"/>
  <c r="Q178" i="3"/>
  <c r="Q226" i="3"/>
  <c r="Q291" i="3"/>
  <c r="Q210" i="3"/>
  <c r="Q223" i="3"/>
  <c r="Q156" i="3"/>
  <c r="Q204" i="3"/>
  <c r="Q191" i="3"/>
  <c r="Q162" i="3"/>
  <c r="Q153" i="3"/>
  <c r="Q141" i="3"/>
  <c r="Q165" i="3"/>
  <c r="Q138" i="3"/>
  <c r="Q147" i="3"/>
  <c r="Q135" i="3"/>
  <c r="Q144" i="3"/>
  <c r="O330" i="3"/>
  <c r="Q124" i="3"/>
  <c r="Q121" i="3"/>
  <c r="H119" i="3"/>
  <c r="H118" i="3"/>
  <c r="Q112" i="3"/>
  <c r="H116" i="3"/>
  <c r="V115" i="3"/>
  <c r="T115" i="3"/>
  <c r="R115" i="3"/>
  <c r="S115" i="3"/>
  <c r="M115" i="3"/>
  <c r="L115" i="3"/>
  <c r="H113" i="3"/>
  <c r="H279" i="3"/>
  <c r="P279" i="3" s="1"/>
  <c r="H280" i="3"/>
  <c r="V112" i="3"/>
  <c r="H107" i="3"/>
  <c r="H109" i="3"/>
  <c r="P109" i="3" s="1"/>
  <c r="H106" i="3"/>
  <c r="P106" i="3" s="1"/>
  <c r="V106" i="3"/>
  <c r="H104" i="3"/>
  <c r="H103" i="3"/>
  <c r="P103" i="3" s="1"/>
  <c r="H90" i="3"/>
  <c r="P90" i="3" s="1"/>
  <c r="H77" i="3"/>
  <c r="P77" i="3" s="1"/>
  <c r="H78" i="3"/>
  <c r="H71" i="3"/>
  <c r="P71" i="3" s="1"/>
  <c r="H72" i="3"/>
  <c r="U330" i="3"/>
  <c r="U331" i="3" s="1"/>
  <c r="H58" i="3"/>
  <c r="P58" i="3" s="1"/>
  <c r="H59" i="3"/>
  <c r="H55" i="3"/>
  <c r="P55" i="3" s="1"/>
  <c r="H56" i="3"/>
  <c r="H39" i="3"/>
  <c r="P39" i="3" s="1"/>
  <c r="H40" i="3"/>
  <c r="H276" i="3"/>
  <c r="H275" i="3"/>
  <c r="P275" i="3" s="1"/>
  <c r="H36" i="3"/>
  <c r="P36" i="3" s="1"/>
  <c r="V36" i="3"/>
  <c r="H37" i="3"/>
  <c r="H33" i="3"/>
  <c r="T33" i="3" s="1"/>
  <c r="H32" i="3"/>
  <c r="P32" i="3" s="1"/>
  <c r="H34" i="3"/>
  <c r="H29" i="3"/>
  <c r="P29" i="3" s="1"/>
  <c r="H30" i="3"/>
  <c r="H26" i="3"/>
  <c r="P26" i="3" s="1"/>
  <c r="H23" i="3"/>
  <c r="H24" i="3"/>
  <c r="F21" i="3"/>
  <c r="F20" i="3"/>
  <c r="V20" i="3" s="1"/>
  <c r="F19" i="3"/>
  <c r="F18" i="3"/>
  <c r="F17" i="3"/>
  <c r="V17" i="3" s="1"/>
  <c r="F14" i="3"/>
  <c r="V14" i="3" s="1"/>
  <c r="Q62" i="3" l="1"/>
  <c r="T55" i="3"/>
  <c r="L32" i="3"/>
  <c r="T26" i="3"/>
  <c r="T90" i="3"/>
  <c r="S36" i="3"/>
  <c r="M106" i="3"/>
  <c r="T118" i="3"/>
  <c r="R118" i="3"/>
  <c r="M118" i="3"/>
  <c r="L118" i="3"/>
  <c r="K118" i="3"/>
  <c r="Q115" i="3"/>
  <c r="N118" i="3"/>
  <c r="R279" i="3"/>
  <c r="T279" i="3"/>
  <c r="S279" i="3"/>
  <c r="M279" i="3"/>
  <c r="L279" i="3"/>
  <c r="T109" i="3"/>
  <c r="R109" i="3"/>
  <c r="S109" i="3"/>
  <c r="M109" i="3"/>
  <c r="L109" i="3"/>
  <c r="S106" i="3"/>
  <c r="T106" i="3"/>
  <c r="R106" i="3"/>
  <c r="L106" i="3"/>
  <c r="T103" i="3"/>
  <c r="S103" i="3"/>
  <c r="R103" i="3"/>
  <c r="M103" i="3"/>
  <c r="L103" i="3"/>
  <c r="M90" i="3"/>
  <c r="L90" i="3"/>
  <c r="S90" i="3"/>
  <c r="R90" i="3"/>
  <c r="T77" i="3"/>
  <c r="S77" i="3"/>
  <c r="R77" i="3"/>
  <c r="M77" i="3"/>
  <c r="L77" i="3"/>
  <c r="L71" i="3"/>
  <c r="T71" i="3"/>
  <c r="S71" i="3"/>
  <c r="R71" i="3"/>
  <c r="M71" i="3"/>
  <c r="S55" i="3"/>
  <c r="R55" i="3"/>
  <c r="T58" i="3"/>
  <c r="R58" i="3"/>
  <c r="S58" i="3"/>
  <c r="M58" i="3"/>
  <c r="L58" i="3"/>
  <c r="L55" i="3"/>
  <c r="M55" i="3"/>
  <c r="T39" i="3"/>
  <c r="S39" i="3"/>
  <c r="R39" i="3"/>
  <c r="M39" i="3"/>
  <c r="L39" i="3"/>
  <c r="T275" i="3"/>
  <c r="S275" i="3"/>
  <c r="R275" i="3"/>
  <c r="M275" i="3"/>
  <c r="L275" i="3"/>
  <c r="T36" i="3"/>
  <c r="L36" i="3"/>
  <c r="M36" i="3"/>
  <c r="R36" i="3"/>
  <c r="V330" i="3"/>
  <c r="V331" i="3" s="1"/>
  <c r="M33" i="3"/>
  <c r="R33" i="3"/>
  <c r="Q33" i="3" s="1"/>
  <c r="K33" i="3"/>
  <c r="L33" i="3"/>
  <c r="N33" i="3"/>
  <c r="T32" i="3"/>
  <c r="S32" i="3"/>
  <c r="R32" i="3"/>
  <c r="M32" i="3"/>
  <c r="S29" i="3"/>
  <c r="R29" i="3"/>
  <c r="T29" i="3"/>
  <c r="M29" i="3"/>
  <c r="L29" i="3"/>
  <c r="L26" i="3"/>
  <c r="M26" i="3"/>
  <c r="S26" i="3"/>
  <c r="R26" i="3"/>
  <c r="T23" i="3"/>
  <c r="R23" i="3"/>
  <c r="N23" i="3"/>
  <c r="K23" i="3"/>
  <c r="L23" i="3"/>
  <c r="M23" i="3"/>
  <c r="H20" i="3"/>
  <c r="P20" i="3" s="1"/>
  <c r="H21" i="3"/>
  <c r="H19" i="3"/>
  <c r="H17" i="3"/>
  <c r="P17" i="3" s="1"/>
  <c r="H18" i="3"/>
  <c r="H14" i="3"/>
  <c r="H11" i="3"/>
  <c r="P11" i="3" s="1"/>
  <c r="T4" i="3"/>
  <c r="K4" i="3"/>
  <c r="Q90" i="3" l="1"/>
  <c r="Q275" i="3"/>
  <c r="Q106" i="3"/>
  <c r="Q55" i="3"/>
  <c r="Q118" i="3"/>
  <c r="Q279" i="3"/>
  <c r="Q109" i="3"/>
  <c r="Q103" i="3"/>
  <c r="Q77" i="3"/>
  <c r="Q71" i="3"/>
  <c r="Q58" i="3"/>
  <c r="Q39" i="3"/>
  <c r="Q36" i="3"/>
  <c r="Q32" i="3"/>
  <c r="Q29" i="3"/>
  <c r="Q26" i="3"/>
  <c r="Q23" i="3"/>
  <c r="R14" i="3"/>
  <c r="T14" i="3"/>
  <c r="N14" i="3"/>
  <c r="N330" i="3" s="1"/>
  <c r="T20" i="3"/>
  <c r="R20" i="3"/>
  <c r="M20" i="3"/>
  <c r="L20" i="3"/>
  <c r="S20" i="3"/>
  <c r="T17" i="3"/>
  <c r="S17" i="3"/>
  <c r="R17" i="3"/>
  <c r="M17" i="3"/>
  <c r="L17" i="3"/>
  <c r="M14" i="3"/>
  <c r="L14" i="3"/>
  <c r="K14" i="3"/>
  <c r="K330" i="3" s="1"/>
  <c r="K331" i="3" s="1"/>
  <c r="T11" i="3"/>
  <c r="S11" i="3"/>
  <c r="R11" i="3"/>
  <c r="M11" i="3"/>
  <c r="L11" i="3"/>
  <c r="P330" i="3" l="1"/>
  <c r="N331" i="3" s="1"/>
  <c r="S330" i="3"/>
  <c r="S331" i="3" s="1"/>
  <c r="M330" i="3"/>
  <c r="M331" i="3" s="1"/>
  <c r="L330" i="3"/>
  <c r="L331" i="3" s="1"/>
  <c r="Q14" i="3"/>
  <c r="Q20" i="3"/>
  <c r="T330" i="3"/>
  <c r="T331" i="3" s="1"/>
  <c r="Q17" i="3"/>
  <c r="R330" i="3"/>
  <c r="R331" i="3" s="1"/>
  <c r="Q11" i="3"/>
  <c r="Q330" i="3" l="1"/>
  <c r="Q331" i="3" s="1"/>
  <c r="F48" i="3" l="1"/>
</calcChain>
</file>

<file path=xl/sharedStrings.xml><?xml version="1.0" encoding="utf-8"?>
<sst xmlns="http://schemas.openxmlformats.org/spreadsheetml/2006/main" count="275" uniqueCount="76">
  <si>
    <t>STATION</t>
  </si>
  <si>
    <t>TO</t>
  </si>
  <si>
    <t>FROM</t>
  </si>
  <si>
    <t>SIDE</t>
  </si>
  <si>
    <t>LENGTH (L)</t>
  </si>
  <si>
    <t>AVERAGE WIDTH (W)</t>
  </si>
  <si>
    <t>TOTALS CARRIED TO GENERAL SUMMARY</t>
  </si>
  <si>
    <t>FOR INFORMATION ONLY</t>
  </si>
  <si>
    <t>NOTES:</t>
  </si>
  <si>
    <t>FT</t>
  </si>
  <si>
    <t>SF</t>
  </si>
  <si>
    <t>SURFACE AREA (A)</t>
  </si>
  <si>
    <t>CADD AREA (A)</t>
  </si>
  <si>
    <t>SUBTOTALS</t>
  </si>
  <si>
    <t>A</t>
  </si>
  <si>
    <t>12*27</t>
  </si>
  <si>
    <t>407e20000</t>
  </si>
  <si>
    <t>A*1.50</t>
  </si>
  <si>
    <t>SPECIAL</t>
  </si>
  <si>
    <t>Supplemental Description --&gt;</t>
  </si>
  <si>
    <t>LINEAR GRADING</t>
  </si>
  <si>
    <t xml:space="preserve"> [T = 3.25"]</t>
  </si>
  <si>
    <t>321E17501</t>
  </si>
  <si>
    <t>407E13900</t>
  </si>
  <si>
    <t>442E00100</t>
  </si>
  <si>
    <t>442E10080</t>
  </si>
  <si>
    <t>442E10100</t>
  </si>
  <si>
    <t>442E10300</t>
  </si>
  <si>
    <t>A*3</t>
  </si>
  <si>
    <t>LANE</t>
  </si>
  <si>
    <t>A*1.75</t>
  </si>
  <si>
    <t>605E31100</t>
  </si>
  <si>
    <t>451E34000</t>
  </si>
  <si>
    <t>W</t>
  </si>
  <si>
    <t>PRESSURE RELIEF JOINT</t>
  </si>
  <si>
    <t>PRESSURE RELIEF JOINT, TYPE A, AS PER PLAN</t>
  </si>
  <si>
    <t>LINEAR GRADING AND BORROW</t>
  </si>
  <si>
    <t>L*15</t>
  </si>
  <si>
    <t>CRACKING/SEATING AND PAVEMENT OVERLAY</t>
  </si>
  <si>
    <t>CRACKING/SEATING AND PAVEMENT RESURFACING</t>
  </si>
  <si>
    <t>I.R. 76 / I.R. 80 EASTBOUND</t>
  </si>
  <si>
    <t>OTIC TO I.R. 80 EASTBOUND RAMP</t>
  </si>
  <si>
    <t>PAVEMENT OVERLAY</t>
  </si>
  <si>
    <t>MEDIAN TURNAROUNDS</t>
  </si>
  <si>
    <t>STATION EQUATION:</t>
  </si>
  <si>
    <t>STA. 497+00 I.R. 80 = STA. 497+00 I.R. 80 EASTBOUND</t>
  </si>
  <si>
    <t>STA. 567+00 I.R. 80 = STA. 567+46.67 I.R. 80 EASTBOUND</t>
  </si>
  <si>
    <t>SUSPEND WORK FOR BRIDGE OVER LIPKEY ROAD</t>
  </si>
  <si>
    <t>SUSPEND WORK FOR BRIDGE OVER MEANDER RESERVOIR</t>
  </si>
  <si>
    <t>SUSPEND WORK FOR BRIDGE OVER TURNER ROAD</t>
  </si>
  <si>
    <t>SUSPEND WORK FOR BRIDGE OVER OHLTOWN ROAD</t>
  </si>
  <si>
    <t>I.R. 80 EASTBOUND TO S.R. 46 RAMP</t>
  </si>
  <si>
    <t>BUTT JOINT AND PAVEMENT OVERLAY</t>
  </si>
  <si>
    <t>I.R. 76 / I.R. 80 WESTBOUND</t>
  </si>
  <si>
    <t>OTIC TO I.R. 80 WESTBOUND RAMP</t>
  </si>
  <si>
    <t>I.R. 80 WESTBOUND TO OTIC RAMP</t>
  </si>
  <si>
    <t>S.R. 46 TO I.R. 80 WESTBOUND RAMP</t>
  </si>
  <si>
    <t>I.R. 80 WESTBOUND TO S.R. 46 RAMP</t>
  </si>
  <si>
    <t>STA. 672+07 I.R. 80 = STA. 672+07 I.R. 80 WESTBOUND</t>
  </si>
  <si>
    <t>S.R 11 NORTHBOUND TO I.R. 80 WESTBOUND RAMP</t>
  </si>
  <si>
    <t>I.R. 680 NORTHBOUND TO I.R. 80 WESTBOUND RAMP</t>
  </si>
  <si>
    <t>I.R. 80 WESTBOUND TO S.R. 11 SOUTHBOUND RAMP</t>
  </si>
  <si>
    <t>L*W</t>
  </si>
  <si>
    <t>RUMBLE STRIPS</t>
  </si>
  <si>
    <t>618E40600</t>
  </si>
  <si>
    <t>L*2</t>
  </si>
  <si>
    <t>254e01010</t>
  </si>
  <si>
    <t>PAVEMENT PLANING</t>
  </si>
  <si>
    <t>A*0.055</t>
  </si>
  <si>
    <t>A*0.085</t>
  </si>
  <si>
    <t>A*2*0.055</t>
  </si>
  <si>
    <t>Calc'd by:
MEP 250915</t>
  </si>
  <si>
    <t>Revised by: MEP 251008</t>
  </si>
  <si>
    <t>A*0.09</t>
  </si>
  <si>
    <t>Revised by: MEP 251024</t>
  </si>
  <si>
    <t>Checked by: MC 250919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</si>
</sst>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"/>
    <numFmt numFmtId="165" formatCode="0\+00.00\ "/>
    <numFmt numFmtId="166" formatCode="0.0"/>
    <numFmt numFmtId="167" formatCode="0.00;;;"/>
    <numFmt numFmtId="168" formatCode="0\+00.00;;;"/>
    <numFmt numFmtId="169" formatCode="00\+00.00"/>
    <numFmt numFmtId="170" formatCode="0.00;;"/>
    <numFmt numFmtId="171" formatCode="0\+0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b/>
      <sz val="12"/>
      <name val="Arial Narrow"/>
      <family val="2"/>
    </font>
    <font>
      <sz val="9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12"/>
      <name val="Verdana"/>
      <family val="2"/>
    </font>
    <font>
      <sz val="10"/>
      <color rgb="FF0000FF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10"/>
      <name val="Verdana"/>
      <family val="2"/>
    </font>
    <font>
      <b/>
      <sz val="12"/>
      <name val="Verdana"/>
      <family val="2"/>
    </font>
    <font>
      <sz val="11"/>
      <name val="Calibri"/>
      <family val="2"/>
    </font>
    <font>
      <u/>
      <sz val="14"/>
      <name val="Arial"/>
      <family val="2"/>
    </font>
    <font>
      <sz val="5"/>
      <name val="Arial"/>
      <family val="2"/>
    </font>
    <font>
      <b/>
      <sz val="5"/>
      <name val="Arial"/>
      <family val="2"/>
    </font>
    <font>
      <sz val="5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rgb="FFD0D7E5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</cellStyleXfs>
  <cellXfs count="148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textRotation="90"/>
    </xf>
    <xf numFmtId="0" fontId="7" fillId="0" borderId="0" xfId="0" applyFont="1" applyAlignment="1">
      <alignment horizontal="centerContinuous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1" fontId="0" fillId="0" borderId="0" xfId="0" applyNumberFormat="1" applyAlignment="1">
      <alignment vertical="center"/>
    </xf>
    <xf numFmtId="165" fontId="2" fillId="0" borderId="0" xfId="0" applyNumberFormat="1" applyFont="1" applyAlignment="1">
      <alignment vertical="center" wrapText="1"/>
    </xf>
    <xf numFmtId="2" fontId="9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 textRotation="90" wrapText="1"/>
    </xf>
    <xf numFmtId="0" fontId="2" fillId="0" borderId="0" xfId="0" applyFont="1" applyAlignment="1">
      <alignment vertical="center"/>
    </xf>
    <xf numFmtId="0" fontId="11" fillId="0" borderId="0" xfId="1" applyFont="1" applyFill="1" applyAlignment="1" applyProtection="1">
      <alignment horizontal="center" vertical="center"/>
    </xf>
    <xf numFmtId="165" fontId="3" fillId="0" borderId="0" xfId="0" applyNumberFormat="1" applyFont="1" applyAlignment="1">
      <alignment vertical="center" wrapText="1"/>
    </xf>
    <xf numFmtId="1" fontId="0" fillId="0" borderId="0" xfId="0" applyNumberFormat="1" applyAlignment="1">
      <alignment horizontal="center" vertical="center"/>
    </xf>
    <xf numFmtId="11" fontId="8" fillId="0" borderId="0" xfId="0" applyNumberFormat="1" applyFont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1" fontId="9" fillId="2" borderId="11" xfId="0" applyNumberFormat="1" applyFont="1" applyFill="1" applyBorder="1" applyAlignment="1">
      <alignment horizontal="center" vertical="center"/>
    </xf>
    <xf numFmtId="1" fontId="9" fillId="2" borderId="15" xfId="0" applyNumberFormat="1" applyFont="1" applyFill="1" applyBorder="1" applyAlignment="1">
      <alignment horizontal="center" vertical="center"/>
    </xf>
    <xf numFmtId="1" fontId="9" fillId="2" borderId="5" xfId="0" applyNumberFormat="1" applyFont="1" applyFill="1" applyBorder="1" applyAlignment="1">
      <alignment horizontal="center" vertical="center" textRotation="90" wrapText="1"/>
    </xf>
    <xf numFmtId="1" fontId="9" fillId="2" borderId="17" xfId="0" applyNumberFormat="1" applyFont="1" applyFill="1" applyBorder="1" applyAlignment="1">
      <alignment horizontal="center" vertical="center" textRotation="90" wrapText="1"/>
    </xf>
    <xf numFmtId="1" fontId="9" fillId="2" borderId="6" xfId="0" applyNumberFormat="1" applyFont="1" applyFill="1" applyBorder="1" applyAlignment="1">
      <alignment horizontal="center" vertical="center"/>
    </xf>
    <xf numFmtId="1" fontId="9" fillId="2" borderId="18" xfId="0" applyNumberFormat="1" applyFont="1" applyFill="1" applyBorder="1" applyAlignment="1">
      <alignment horizontal="center" vertical="center"/>
    </xf>
    <xf numFmtId="1" fontId="9" fillId="2" borderId="13" xfId="0" applyNumberFormat="1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/>
    </xf>
    <xf numFmtId="168" fontId="2" fillId="0" borderId="8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7" fontId="13" fillId="0" borderId="2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1" fontId="9" fillId="2" borderId="7" xfId="0" applyNumberFormat="1" applyFont="1" applyFill="1" applyBorder="1" applyAlignment="1">
      <alignment horizontal="center" vertical="center"/>
    </xf>
    <xf numFmtId="2" fontId="2" fillId="0" borderId="22" xfId="0" applyNumberFormat="1" applyFont="1" applyBorder="1" applyAlignment="1">
      <alignment horizontal="center" vertical="center"/>
    </xf>
    <xf numFmtId="1" fontId="2" fillId="0" borderId="21" xfId="0" applyNumberFormat="1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 wrapText="1"/>
    </xf>
    <xf numFmtId="165" fontId="2" fillId="0" borderId="24" xfId="0" applyNumberFormat="1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center" vertical="center" wrapText="1"/>
    </xf>
    <xf numFmtId="165" fontId="2" fillId="0" borderId="26" xfId="0" applyNumberFormat="1" applyFont="1" applyBorder="1" applyAlignment="1">
      <alignment horizontal="center" vertical="center" wrapText="1"/>
    </xf>
    <xf numFmtId="165" fontId="2" fillId="0" borderId="27" xfId="0" applyNumberFormat="1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165" fontId="2" fillId="0" borderId="28" xfId="0" applyNumberFormat="1" applyFont="1" applyBorder="1" applyAlignment="1">
      <alignment horizontal="center" vertical="center" wrapText="1"/>
    </xf>
    <xf numFmtId="11" fontId="8" fillId="0" borderId="0" xfId="0" quotePrefix="1" applyNumberFormat="1" applyFont="1" applyAlignment="1">
      <alignment horizontal="center" vertical="center"/>
    </xf>
    <xf numFmtId="2" fontId="2" fillId="0" borderId="27" xfId="0" applyNumberFormat="1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167" fontId="13" fillId="0" borderId="21" xfId="0" applyNumberFormat="1" applyFont="1" applyBorder="1" applyAlignment="1">
      <alignment horizontal="center" vertical="center" wrapText="1"/>
    </xf>
    <xf numFmtId="170" fontId="2" fillId="2" borderId="7" xfId="0" applyNumberFormat="1" applyFont="1" applyFill="1" applyBorder="1" applyAlignment="1">
      <alignment horizontal="center" vertical="center"/>
    </xf>
    <xf numFmtId="170" fontId="16" fillId="2" borderId="7" xfId="0" applyNumberFormat="1" applyFont="1" applyFill="1" applyBorder="1" applyAlignment="1">
      <alignment horizontal="center" vertical="center"/>
    </xf>
    <xf numFmtId="1" fontId="14" fillId="2" borderId="7" xfId="0" applyNumberFormat="1" applyFont="1" applyFill="1" applyBorder="1" applyAlignment="1">
      <alignment horizontal="center" vertical="center"/>
    </xf>
    <xf numFmtId="2" fontId="16" fillId="0" borderId="9" xfId="0" applyNumberFormat="1" applyFont="1" applyBorder="1" applyAlignment="1">
      <alignment horizontal="center" vertical="center"/>
    </xf>
    <xf numFmtId="2" fontId="16" fillId="0" borderId="13" xfId="0" applyNumberFormat="1" applyFont="1" applyBorder="1" applyAlignment="1">
      <alignment horizontal="left" vertical="center"/>
    </xf>
    <xf numFmtId="166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2" fontId="16" fillId="0" borderId="8" xfId="0" applyNumberFormat="1" applyFont="1" applyBorder="1" applyAlignment="1">
      <alignment horizontal="center" vertical="center"/>
    </xf>
    <xf numFmtId="168" fontId="16" fillId="0" borderId="8" xfId="0" applyNumberFormat="1" applyFont="1" applyBorder="1" applyAlignment="1">
      <alignment horizontal="center" vertical="center" wrapText="1"/>
    </xf>
    <xf numFmtId="165" fontId="16" fillId="0" borderId="2" xfId="0" applyNumberFormat="1" applyFont="1" applyBorder="1" applyAlignment="1">
      <alignment horizontal="center" vertical="center" wrapText="1"/>
    </xf>
    <xf numFmtId="167" fontId="16" fillId="0" borderId="16" xfId="0" applyNumberFormat="1" applyFont="1" applyBorder="1" applyAlignment="1">
      <alignment horizontal="center" vertical="center" wrapText="1"/>
    </xf>
    <xf numFmtId="165" fontId="16" fillId="0" borderId="21" xfId="0" applyNumberFormat="1" applyFont="1" applyBorder="1" applyAlignment="1">
      <alignment horizontal="center" vertical="center" wrapText="1"/>
    </xf>
    <xf numFmtId="167" fontId="16" fillId="0" borderId="21" xfId="0" applyNumberFormat="1" applyFont="1" applyBorder="1" applyAlignment="1">
      <alignment horizontal="center" vertical="center" wrapText="1"/>
    </xf>
    <xf numFmtId="167" fontId="16" fillId="0" borderId="33" xfId="0" applyNumberFormat="1" applyFont="1" applyBorder="1" applyAlignment="1">
      <alignment horizontal="center" vertical="center" wrapText="1"/>
    </xf>
    <xf numFmtId="2" fontId="16" fillId="0" borderId="32" xfId="0" applyNumberFormat="1" applyFont="1" applyBorder="1" applyAlignment="1">
      <alignment horizontal="center" vertical="center"/>
    </xf>
    <xf numFmtId="0" fontId="17" fillId="0" borderId="14" xfId="0" applyFont="1" applyBorder="1" applyAlignment="1">
      <alignment horizontal="left" vertical="center"/>
    </xf>
    <xf numFmtId="0" fontId="18" fillId="0" borderId="0" xfId="0" applyFont="1" applyProtection="1">
      <protection locked="0"/>
    </xf>
    <xf numFmtId="0" fontId="17" fillId="0" borderId="0" xfId="0" applyFont="1"/>
    <xf numFmtId="0" fontId="20" fillId="0" borderId="0" xfId="0" applyFont="1" applyProtection="1">
      <protection locked="0"/>
    </xf>
    <xf numFmtId="0" fontId="19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2" fontId="2" fillId="0" borderId="0" xfId="0" applyNumberFormat="1" applyFont="1" applyAlignment="1">
      <alignment vertical="center"/>
    </xf>
    <xf numFmtId="0" fontId="24" fillId="0" borderId="0" xfId="1" applyFont="1" applyAlignment="1" applyProtection="1">
      <alignment vertical="center"/>
    </xf>
    <xf numFmtId="2" fontId="2" fillId="0" borderId="24" xfId="0" applyNumberFormat="1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165" fontId="25" fillId="0" borderId="0" xfId="0" applyNumberFormat="1" applyFont="1" applyAlignment="1">
      <alignment vertical="center" wrapText="1"/>
    </xf>
    <xf numFmtId="165" fontId="26" fillId="0" borderId="0" xfId="0" applyNumberFormat="1" applyFont="1" applyAlignment="1">
      <alignment horizontal="center" vertical="center" wrapText="1"/>
    </xf>
    <xf numFmtId="11" fontId="25" fillId="0" borderId="0" xfId="0" quotePrefix="1" applyNumberFormat="1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11" fontId="25" fillId="0" borderId="0" xfId="0" applyNumberFormat="1" applyFont="1" applyAlignment="1">
      <alignment horizontal="center" vertical="center" wrapText="1"/>
    </xf>
    <xf numFmtId="11" fontId="27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 textRotation="90" wrapText="1"/>
    </xf>
    <xf numFmtId="165" fontId="14" fillId="3" borderId="0" xfId="0" applyNumberFormat="1" applyFont="1" applyFill="1" applyAlignment="1">
      <alignment horizontal="right" vertical="center"/>
    </xf>
    <xf numFmtId="165" fontId="26" fillId="3" borderId="0" xfId="0" applyNumberFormat="1" applyFont="1" applyFill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/>
    </xf>
    <xf numFmtId="2" fontId="2" fillId="0" borderId="33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1" fontId="9" fillId="2" borderId="35" xfId="0" applyNumberFormat="1" applyFont="1" applyFill="1" applyBorder="1" applyAlignment="1">
      <alignment horizontal="center" vertical="center"/>
    </xf>
    <xf numFmtId="1" fontId="9" fillId="2" borderId="39" xfId="0" applyNumberFormat="1" applyFont="1" applyFill="1" applyBorder="1" applyAlignment="1">
      <alignment horizontal="center" vertical="center" textRotation="90" wrapText="1"/>
    </xf>
    <xf numFmtId="1" fontId="9" fillId="2" borderId="34" xfId="0" applyNumberFormat="1" applyFont="1" applyFill="1" applyBorder="1" applyAlignment="1">
      <alignment horizontal="center" vertical="center"/>
    </xf>
    <xf numFmtId="11" fontId="23" fillId="0" borderId="29" xfId="0" quotePrefix="1" applyNumberFormat="1" applyFont="1" applyBorder="1" applyAlignment="1">
      <alignment horizontal="center" vertical="center"/>
    </xf>
    <xf numFmtId="2" fontId="2" fillId="0" borderId="42" xfId="0" applyNumberFormat="1" applyFont="1" applyBorder="1" applyAlignment="1">
      <alignment horizontal="center" vertical="center"/>
    </xf>
    <xf numFmtId="2" fontId="2" fillId="0" borderId="43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2" fontId="16" fillId="0" borderId="45" xfId="0" applyNumberFormat="1" applyFont="1" applyBorder="1" applyAlignment="1">
      <alignment horizontal="left" vertical="center"/>
    </xf>
    <xf numFmtId="2" fontId="16" fillId="0" borderId="46" xfId="0" applyNumberFormat="1" applyFont="1" applyBorder="1" applyAlignment="1">
      <alignment horizontal="center" vertical="center"/>
    </xf>
    <xf numFmtId="2" fontId="2" fillId="0" borderId="47" xfId="0" applyNumberFormat="1" applyFont="1" applyBorder="1" applyAlignment="1">
      <alignment horizontal="center" vertical="center"/>
    </xf>
    <xf numFmtId="2" fontId="2" fillId="0" borderId="48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67" fontId="16" fillId="0" borderId="2" xfId="0" applyNumberFormat="1" applyFont="1" applyBorder="1" applyAlignment="1">
      <alignment horizontal="center" vertical="center" wrapText="1"/>
    </xf>
    <xf numFmtId="1" fontId="14" fillId="2" borderId="35" xfId="0" quotePrefix="1" applyNumberFormat="1" applyFont="1" applyFill="1" applyBorder="1" applyAlignment="1">
      <alignment horizontal="center" vertical="center"/>
    </xf>
    <xf numFmtId="1" fontId="14" fillId="2" borderId="39" xfId="0" applyNumberFormat="1" applyFont="1" applyFill="1" applyBorder="1" applyAlignment="1">
      <alignment horizontal="center" vertical="center" textRotation="90" wrapText="1"/>
    </xf>
    <xf numFmtId="164" fontId="9" fillId="0" borderId="0" xfId="0" applyNumberFormat="1" applyFont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9" fillId="2" borderId="7" xfId="0" applyNumberFormat="1" applyFont="1" applyFill="1" applyBorder="1" applyAlignment="1">
      <alignment horizontal="center" vertical="center"/>
    </xf>
    <xf numFmtId="171" fontId="2" fillId="0" borderId="8" xfId="0" applyNumberFormat="1" applyFont="1" applyBorder="1" applyAlignment="1">
      <alignment horizontal="center" vertical="center" wrapText="1"/>
    </xf>
    <xf numFmtId="171" fontId="2" fillId="0" borderId="2" xfId="0" applyNumberFormat="1" applyFont="1" applyBorder="1" applyAlignment="1">
      <alignment horizontal="center" vertical="center" wrapText="1"/>
    </xf>
    <xf numFmtId="169" fontId="21" fillId="0" borderId="40" xfId="0" applyNumberFormat="1" applyFont="1" applyBorder="1" applyAlignment="1" applyProtection="1">
      <alignment horizontal="center" vertical="center"/>
      <protection locked="0"/>
    </xf>
    <xf numFmtId="169" fontId="21" fillId="0" borderId="36" xfId="0" applyNumberFormat="1" applyFont="1" applyBorder="1" applyAlignment="1" applyProtection="1">
      <alignment horizontal="center" vertical="center"/>
      <protection locked="0"/>
    </xf>
    <xf numFmtId="169" fontId="21" fillId="0" borderId="41" xfId="0" applyNumberFormat="1" applyFont="1" applyBorder="1" applyAlignment="1" applyProtection="1">
      <alignment horizontal="center" vertical="center"/>
      <protection locked="0"/>
    </xf>
    <xf numFmtId="169" fontId="22" fillId="0" borderId="40" xfId="0" applyNumberFormat="1" applyFont="1" applyBorder="1" applyAlignment="1" applyProtection="1">
      <alignment horizontal="center" vertical="center"/>
      <protection locked="0"/>
    </xf>
    <xf numFmtId="169" fontId="22" fillId="0" borderId="36" xfId="0" applyNumberFormat="1" applyFont="1" applyBorder="1" applyAlignment="1" applyProtection="1">
      <alignment horizontal="center" vertical="center"/>
      <protection locked="0"/>
    </xf>
    <xf numFmtId="169" fontId="22" fillId="0" borderId="41" xfId="0" applyNumberFormat="1" applyFont="1" applyBorder="1" applyAlignment="1" applyProtection="1">
      <alignment horizontal="center" vertical="center"/>
      <protection locked="0"/>
    </xf>
    <xf numFmtId="1" fontId="9" fillId="2" borderId="14" xfId="0" applyNumberFormat="1" applyFont="1" applyFill="1" applyBorder="1" applyAlignment="1">
      <alignment horizontal="center" vertical="center"/>
    </xf>
    <xf numFmtId="1" fontId="9" fillId="2" borderId="19" xfId="0" applyNumberFormat="1" applyFont="1" applyFill="1" applyBorder="1" applyAlignment="1">
      <alignment horizontal="center" vertical="center"/>
    </xf>
    <xf numFmtId="1" fontId="9" fillId="2" borderId="40" xfId="0" applyNumberFormat="1" applyFont="1" applyFill="1" applyBorder="1" applyAlignment="1">
      <alignment horizontal="center" vertical="center"/>
    </xf>
    <xf numFmtId="1" fontId="9" fillId="2" borderId="36" xfId="0" applyNumberFormat="1" applyFont="1" applyFill="1" applyBorder="1" applyAlignment="1">
      <alignment horizontal="center" vertical="center"/>
    </xf>
    <xf numFmtId="1" fontId="9" fillId="2" borderId="41" xfId="0" applyNumberFormat="1" applyFont="1" applyFill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12" fillId="0" borderId="15" xfId="0" applyFont="1" applyBorder="1" applyAlignment="1">
      <alignment horizontal="center" vertical="center" textRotation="90" wrapText="1"/>
    </xf>
    <xf numFmtId="0" fontId="12" fillId="0" borderId="17" xfId="0" applyFont="1" applyBorder="1" applyAlignment="1">
      <alignment horizontal="center" vertical="center" textRotation="90" wrapText="1"/>
    </xf>
    <xf numFmtId="0" fontId="9" fillId="0" borderId="30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11" fontId="8" fillId="0" borderId="0" xfId="0" quotePrefix="1" applyNumberFormat="1" applyFont="1" applyAlignment="1">
      <alignment horizontal="center" vertical="center"/>
    </xf>
    <xf numFmtId="11" fontId="8" fillId="0" borderId="44" xfId="0" quotePrefix="1" applyNumberFormat="1" applyFont="1" applyBorder="1" applyAlignment="1">
      <alignment horizontal="center" vertical="center"/>
    </xf>
    <xf numFmtId="1" fontId="9" fillId="2" borderId="34" xfId="0" applyNumberFormat="1" applyFont="1" applyFill="1" applyBorder="1" applyAlignment="1">
      <alignment horizontal="center" vertical="center"/>
    </xf>
    <xf numFmtId="1" fontId="9" fillId="2" borderId="6" xfId="0" applyNumberFormat="1" applyFont="1" applyFill="1" applyBorder="1" applyAlignment="1">
      <alignment horizontal="center" vertical="center"/>
    </xf>
    <xf numFmtId="1" fontId="9" fillId="2" borderId="39" xfId="0" applyNumberFormat="1" applyFont="1" applyFill="1" applyBorder="1" applyAlignment="1">
      <alignment horizontal="center" vertical="center" textRotation="90" wrapText="1"/>
    </xf>
    <xf numFmtId="1" fontId="9" fillId="2" borderId="50" xfId="0" applyNumberFormat="1" applyFont="1" applyFill="1" applyBorder="1" applyAlignment="1">
      <alignment horizontal="center" vertical="center" textRotation="90" wrapText="1"/>
    </xf>
    <xf numFmtId="1" fontId="9" fillId="2" borderId="5" xfId="0" applyNumberFormat="1" applyFont="1" applyFill="1" applyBorder="1" applyAlignment="1">
      <alignment horizontal="center" vertical="center" textRotation="90" wrapText="1"/>
    </xf>
    <xf numFmtId="1" fontId="9" fillId="2" borderId="35" xfId="0" applyNumberFormat="1" applyFont="1" applyFill="1" applyBorder="1" applyAlignment="1">
      <alignment horizontal="center" vertical="center"/>
    </xf>
    <xf numFmtId="1" fontId="9" fillId="2" borderId="49" xfId="0" applyNumberFormat="1" applyFont="1" applyFill="1" applyBorder="1" applyAlignment="1">
      <alignment horizontal="center" vertical="center"/>
    </xf>
    <xf numFmtId="1" fontId="9" fillId="2" borderId="11" xfId="0" applyNumberFormat="1" applyFont="1" applyFill="1" applyBorder="1" applyAlignment="1">
      <alignment horizontal="center" vertical="center"/>
    </xf>
  </cellXfs>
  <cellStyles count="4">
    <cellStyle name="Hyperlink" xfId="1" builtinId="8"/>
    <cellStyle name="Normal" xfId="0" builtinId="0"/>
    <cellStyle name="Normal 2" xfId="2" xr:uid="{3AC0D7B6-CA3D-4E02-B5FC-C79982754A2A}"/>
    <cellStyle name="Normal 2 2" xfId="3" xr:uid="{12C9DD7B-5DCF-4D51-94CB-21C73A272A86}"/>
  </cellStyles>
  <dxfs count="0"/>
  <tableStyles count="0" defaultTableStyle="TableStyleMedium2" defaultPivotStyle="PivotStyleLight16"/>
  <colors>
    <mruColors>
      <color rgb="FF0000FF"/>
      <color rgb="FFC0C0C0"/>
      <color rgb="FFCCFFFF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philip1\appdata\local\bentley\projectwise\workingdir\ohiodot-pw.bentley.com_ohiodot-pw-02\matthew.philips@dot.ohio.gov\d1212240\MAH-122947-GENSUM.xlsm" TargetMode="External"/><Relationship Id="rId1" Type="http://schemas.openxmlformats.org/officeDocument/2006/relationships/externalLinkPath" Target="/users/mphilip1/appdata/local/bentley/projectwise/workingdir/ohiodot-pw.bentley.com_ohiodot-pw-02/matthew.philips@dot.ohio.gov/d1212240/MAH-122947-GENSU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jectInfo"/>
      <sheetName val="General Summary"/>
      <sheetName val="DGNClip"/>
      <sheetName val="SimpleForm"/>
      <sheetName val="Data"/>
      <sheetName val="Info"/>
      <sheetName val="XMLschema"/>
      <sheetName val="QryItem"/>
      <sheetName val="Estimate"/>
      <sheetName val="Lists"/>
      <sheetName val="Store"/>
      <sheetName val="StoreProject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CurrentJobs/ODOT/J20180414.000%20-%20MED-252-3.95/home/matt_philips/_Excel/17076%20Table%20of%20Contents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00"/>
  <sheetViews>
    <sheetView tabSelected="1" zoomScaleNormal="100" workbookViewId="0">
      <pane xSplit="9" ySplit="8" topLeftCell="J9" activePane="bottomRight" state="frozen"/>
      <selection pane="topRight" activeCell="J1" sqref="J1"/>
      <selection pane="bottomLeft" activeCell="A9" sqref="A9"/>
      <selection pane="bottomRight" activeCell="C1" sqref="C1"/>
    </sheetView>
  </sheetViews>
  <sheetFormatPr defaultColWidth="9.140625" defaultRowHeight="12.75" x14ac:dyDescent="0.2"/>
  <cols>
    <col min="1" max="1" width="9.140625" style="6"/>
    <col min="2" max="2" width="67.28515625" style="6" bestFit="1" customWidth="1"/>
    <col min="3" max="4" width="13.28515625" style="10" customWidth="1"/>
    <col min="5" max="5" width="10.28515625" style="10" hidden="1" customWidth="1"/>
    <col min="6" max="7" width="10.28515625" style="10" customWidth="1"/>
    <col min="8" max="8" width="11.7109375" style="17" customWidth="1"/>
    <col min="9" max="9" width="11.7109375" style="10" customWidth="1"/>
    <col min="10" max="10" width="2.7109375" style="6" customWidth="1"/>
    <col min="11" max="12" width="12.7109375" style="6" customWidth="1"/>
    <col min="13" max="13" width="12.7109375" style="9" customWidth="1"/>
    <col min="14" max="16" width="12.7109375" style="6" customWidth="1"/>
    <col min="17" max="23" width="12.7109375" style="9" customWidth="1"/>
    <col min="24" max="25" width="2.7109375" style="6" customWidth="1"/>
    <col min="26" max="16384" width="9.140625" style="6"/>
  </cols>
  <sheetData>
    <row r="1" spans="1:25" s="15" customFormat="1" ht="30" customHeight="1" x14ac:dyDescent="0.2">
      <c r="B1" s="10" t="s">
        <v>71</v>
      </c>
      <c r="C1" s="10" t="s">
        <v>75</v>
      </c>
      <c r="D1" s="10" t="s">
        <v>72</v>
      </c>
      <c r="F1" s="126"/>
      <c r="G1" s="126"/>
      <c r="H1" s="126"/>
      <c r="I1" s="126"/>
      <c r="J1" s="19"/>
      <c r="K1" s="50" t="s">
        <v>66</v>
      </c>
      <c r="L1" s="50" t="s">
        <v>22</v>
      </c>
      <c r="M1" s="50" t="s">
        <v>23</v>
      </c>
      <c r="N1" s="138" t="s">
        <v>16</v>
      </c>
      <c r="O1" s="138"/>
      <c r="P1" s="139"/>
      <c r="Q1" s="98" t="s">
        <v>24</v>
      </c>
      <c r="R1" s="98" t="s">
        <v>25</v>
      </c>
      <c r="S1" s="98" t="s">
        <v>26</v>
      </c>
      <c r="T1" s="98" t="s">
        <v>27</v>
      </c>
      <c r="U1" s="50" t="s">
        <v>32</v>
      </c>
      <c r="V1" s="50" t="s">
        <v>31</v>
      </c>
      <c r="W1" s="50" t="s">
        <v>64</v>
      </c>
      <c r="X1" s="19"/>
      <c r="Y1" s="3"/>
    </row>
    <row r="2" spans="1:25" s="85" customFormat="1" ht="30" customHeight="1" x14ac:dyDescent="0.2">
      <c r="B2" s="86"/>
      <c r="C2" s="82"/>
      <c r="D2" s="10" t="s">
        <v>74</v>
      </c>
      <c r="E2" s="82"/>
      <c r="F2" s="83"/>
      <c r="G2" s="91"/>
      <c r="H2" s="91"/>
      <c r="I2" s="90" t="s">
        <v>19</v>
      </c>
      <c r="J2" s="87"/>
      <c r="K2" s="84" t="s">
        <v>21</v>
      </c>
      <c r="L2" s="84"/>
      <c r="M2" s="84"/>
      <c r="N2" s="84"/>
      <c r="O2" s="84"/>
      <c r="P2" s="84"/>
      <c r="Q2" s="88"/>
      <c r="R2" s="88"/>
      <c r="S2" s="88"/>
      <c r="T2" s="88"/>
      <c r="U2" s="84"/>
      <c r="V2" s="84"/>
      <c r="W2" s="84"/>
      <c r="X2" s="87"/>
      <c r="Y2" s="89"/>
    </row>
    <row r="3" spans="1:25" s="15" customFormat="1" ht="28.5" customHeight="1" thickBot="1" x14ac:dyDescent="0.25">
      <c r="B3" s="12"/>
      <c r="C3" s="79"/>
      <c r="D3" s="16"/>
      <c r="E3" s="16"/>
      <c r="F3" s="16"/>
      <c r="G3" s="16"/>
      <c r="H3" s="16"/>
      <c r="I3" s="16"/>
      <c r="J3" s="78"/>
      <c r="K3" s="78"/>
      <c r="L3" s="11"/>
      <c r="M3" s="11">
        <v>0.09</v>
      </c>
      <c r="N3" s="110">
        <v>5.5E-2</v>
      </c>
      <c r="O3" s="110">
        <v>8.5000000000000006E-2</v>
      </c>
      <c r="P3" s="110">
        <v>5.5E-2</v>
      </c>
      <c r="Q3" s="11"/>
      <c r="R3" s="11">
        <v>1.75</v>
      </c>
      <c r="S3" s="11">
        <v>3</v>
      </c>
      <c r="T3" s="11">
        <v>1.5</v>
      </c>
      <c r="U3" s="11"/>
      <c r="V3" s="11"/>
      <c r="W3" s="11"/>
      <c r="X3" s="11"/>
    </row>
    <row r="4" spans="1:25" s="2" customFormat="1" ht="17.45" customHeight="1" x14ac:dyDescent="0.2">
      <c r="B4" s="29" t="s">
        <v>7</v>
      </c>
      <c r="C4" s="127" t="s">
        <v>0</v>
      </c>
      <c r="D4" s="128"/>
      <c r="E4" s="131" t="s">
        <v>3</v>
      </c>
      <c r="F4" s="131" t="s">
        <v>4</v>
      </c>
      <c r="G4" s="131" t="s">
        <v>5</v>
      </c>
      <c r="H4" s="131" t="s">
        <v>11</v>
      </c>
      <c r="I4" s="133" t="s">
        <v>12</v>
      </c>
      <c r="J4" s="23"/>
      <c r="K4" s="23" t="str">
        <f t="shared" ref="K4" si="0">LEFT(K1,3)</f>
        <v>254</v>
      </c>
      <c r="L4" s="95" t="str">
        <f t="shared" ref="L4:N4" si="1">LEFT(L1,3)</f>
        <v>321</v>
      </c>
      <c r="M4" s="95" t="str">
        <f t="shared" si="1"/>
        <v>407</v>
      </c>
      <c r="N4" s="145" t="str">
        <f t="shared" si="1"/>
        <v>407</v>
      </c>
      <c r="O4" s="146"/>
      <c r="P4" s="147"/>
      <c r="Q4" s="95" t="str">
        <f t="shared" ref="Q4:S4" si="2">LEFT(Q1,3)</f>
        <v>442</v>
      </c>
      <c r="R4" s="95" t="str">
        <f t="shared" si="2"/>
        <v>442</v>
      </c>
      <c r="S4" s="95" t="str">
        <f t="shared" si="2"/>
        <v>442</v>
      </c>
      <c r="T4" s="95" t="str">
        <f t="shared" ref="T4" si="3">LEFT(T1,3)</f>
        <v>442</v>
      </c>
      <c r="U4" s="108" t="s">
        <v>18</v>
      </c>
      <c r="V4" s="95" t="str">
        <f t="shared" ref="V4" si="4">LEFT(V1,3)</f>
        <v>605</v>
      </c>
      <c r="W4" s="95" t="str">
        <f>LEFT(W1,3)</f>
        <v>618</v>
      </c>
      <c r="X4" s="24"/>
      <c r="Y4" s="1"/>
    </row>
    <row r="5" spans="1:25" s="13" customFormat="1" ht="186.75" customHeight="1" thickBot="1" x14ac:dyDescent="0.25">
      <c r="A5" s="2"/>
      <c r="B5" s="121" t="s">
        <v>8</v>
      </c>
      <c r="C5" s="129"/>
      <c r="D5" s="130"/>
      <c r="E5" s="132"/>
      <c r="F5" s="132"/>
      <c r="G5" s="132"/>
      <c r="H5" s="132"/>
      <c r="I5" s="134"/>
      <c r="J5" s="25"/>
      <c r="K5" s="25" t="str">
        <f>IF(ISNA(INDEX([1]!QryItem[IDESCRL],MATCH(K$1,[1]!QryItem[ITEM],0))),"",INDEX([1]!QryItem[IDESCRL],MATCH(K$1,[1]!QryItem[ITEM],0)))&amp;K2</f>
        <v>PAVEMENT PLANING, PORTLAND CEMENT CONCRETE [T = 3.25"]</v>
      </c>
      <c r="L5" s="96" t="str">
        <f>IF(ISNA(INDEX([1]!QryItem[IDESCRL],MATCH(L$1,[1]!QryItem[ITEM],0))),"",INDEX([1]!QryItem[IDESCRL],MATCH(L$1,[1]!QryItem[ITEM],0)))&amp;L2</f>
        <v>CRACKING AND SEATING NON-REINFORCED CONCRETE PAVEMENT, AS PER PLAN</v>
      </c>
      <c r="M5" s="96" t="str">
        <f>IF(ISNA(INDEX([1]!QryItem[IDESCRL],MATCH(M$1,[1]!QryItem[ITEM],0))),"",INDEX([1]!QryItem[IDESCRL],MATCH(M$1,[1]!QryItem[ITEM],0)))&amp;M2</f>
        <v>TACK COAT, 702.13</v>
      </c>
      <c r="N5" s="142" t="str">
        <f>IF(ISNA(INDEX([1]!QryItem[IDESCRL],MATCH(N$1,[1]!QryItem[ITEM],0))),"",INDEX([1]!QryItem[IDESCRL],MATCH(N$1,[1]!QryItem[ITEM],0)))&amp;N2</f>
        <v>NON-TRACKING TACK COAT</v>
      </c>
      <c r="O5" s="143"/>
      <c r="P5" s="144"/>
      <c r="Q5" s="96" t="str">
        <f>IF(ISNA(INDEX([1]!QryItem[IDESCRL],MATCH(Q$1,[1]!QryItem[ITEM],0))),"",INDEX([1]!QryItem[IDESCRL],MATCH(Q$1,[1]!QryItem[ITEM],0)))&amp;Q2</f>
        <v>ANTI-SEGREGATION EQUIPMENT</v>
      </c>
      <c r="R5" s="96" t="str">
        <f>IF(ISNA(INDEX([1]!QryItem[IDESCRL],MATCH(R$1,[1]!QryItem[ITEM],0))),"",INDEX([1]!QryItem[IDESCRL],MATCH(R$1,[1]!QryItem[ITEM],0)))&amp;R2</f>
        <v>ASPHALT CONCRETE INTERMEDIATE COURSE, 12.5 MM, TYPE A (446)</v>
      </c>
      <c r="S5" s="96" t="str">
        <f>IF(ISNA(INDEX([1]!QryItem[IDESCRL],MATCH(S$1,[1]!QryItem[ITEM],0))),"",INDEX([1]!QryItem[IDESCRL],MATCH(S$1,[1]!QryItem[ITEM],0)))&amp;S2</f>
        <v>ASPHALT CONCRETE INTERMEDIATE COURSE, 19 MM, TYPE A (446)</v>
      </c>
      <c r="T5" s="96" t="str">
        <f>IF(ISNA(INDEX([1]!QryItem[IDESCRL],MATCH(T$1,[1]!QryItem[ITEM],0))),"",INDEX([1]!QryItem[IDESCRL],MATCH(T$1,[1]!QryItem[ITEM],0)))&amp;T2</f>
        <v>ASPHALT CONCRETE SURFACE COURSE, 12.5 MM, TYPE A (447)</v>
      </c>
      <c r="U5" s="109" t="s">
        <v>35</v>
      </c>
      <c r="V5" s="96" t="str">
        <f>IF(ISNA(INDEX([1]!QryItem[IDESCRL],MATCH(V$1,[1]!QryItem[ITEM],0))),"",INDEX([1]!QryItem[IDESCRL],MATCH(V$1,[1]!QryItem[ITEM],0)))&amp;V2</f>
        <v>AGGREGATE DRAINS</v>
      </c>
      <c r="W5" s="96" t="str">
        <f>IF(ISNA(INDEX([1]!QryItem[IDESCRL],MATCH(W$1,[1]!QryItem[ITEM],0))),"",INDEX([1]!QryItem[IDESCRL],MATCH(W$1,[1]!QryItem[ITEM],0)))&amp;W2</f>
        <v>RUMBLE STRIPS, SHOULDER (ASPHALT CONCRETE)</v>
      </c>
      <c r="X5" s="26"/>
      <c r="Y5" s="14"/>
    </row>
    <row r="6" spans="1:25" s="5" customFormat="1" ht="17.45" customHeight="1" thickBot="1" x14ac:dyDescent="0.25">
      <c r="B6" s="122"/>
      <c r="C6" s="20" t="s">
        <v>2</v>
      </c>
      <c r="D6" s="21" t="s">
        <v>1</v>
      </c>
      <c r="E6" s="21"/>
      <c r="F6" s="21" t="s">
        <v>9</v>
      </c>
      <c r="G6" s="21" t="s">
        <v>9</v>
      </c>
      <c r="H6" s="21" t="s">
        <v>10</v>
      </c>
      <c r="I6" s="22" t="s">
        <v>10</v>
      </c>
      <c r="J6" s="27"/>
      <c r="K6" s="27" t="str">
        <f>IF(ISNA(INDEX([1]!QryItem[CODEDESC],MATCH(K$1,[1]!QryItem[ITEM],0))),"",INDEX([1]!QryItem[CODEDESC],MATCH(K$1,[1]!QryItem[ITEM],0)))</f>
        <v>SY</v>
      </c>
      <c r="L6" s="97" t="str">
        <f>IF(ISNA(INDEX([1]!QryItem[CODEDESC],MATCH(L$1,[1]!QryItem[ITEM],0))),"",INDEX([1]!QryItem[CODEDESC],MATCH(L$1,[1]!QryItem[ITEM],0)))</f>
        <v>SY</v>
      </c>
      <c r="M6" s="97" t="str">
        <f>IF(ISNA(INDEX([1]!QryItem[CODEDESC],MATCH(M$1,[1]!QryItem[ITEM],0))),"",INDEX([1]!QryItem[CODEDESC],MATCH(M$1,[1]!QryItem[ITEM],0)))</f>
        <v>GAL</v>
      </c>
      <c r="N6" s="140" t="str">
        <f>IF(ISNA(INDEX([1]!QryItem[CODEDESC],MATCH(N$1,[1]!QryItem[ITEM],0))),"",INDEX([1]!QryItem[CODEDESC],MATCH(N$1,[1]!QryItem[ITEM],0)))</f>
        <v>GAL</v>
      </c>
      <c r="O6" s="124"/>
      <c r="P6" s="141"/>
      <c r="Q6" s="97" t="str">
        <f>IF(ISNA(INDEX([1]!QryItem[CODEDESC],MATCH(Q$1,[1]!QryItem[ITEM],0))),"",INDEX([1]!QryItem[CODEDESC],MATCH(Q$1,[1]!QryItem[ITEM],0)))</f>
        <v>CY</v>
      </c>
      <c r="R6" s="97" t="str">
        <f>IF(ISNA(INDEX([1]!QryItem[CODEDESC],MATCH(R$1,[1]!QryItem[ITEM],0))),"",INDEX([1]!QryItem[CODEDESC],MATCH(R$1,[1]!QryItem[ITEM],0)))</f>
        <v>CY</v>
      </c>
      <c r="S6" s="97" t="str">
        <f>IF(ISNA(INDEX([1]!QryItem[CODEDESC],MATCH(S$1,[1]!QryItem[ITEM],0))),"",INDEX([1]!QryItem[CODEDESC],MATCH(S$1,[1]!QryItem[ITEM],0)))</f>
        <v>CY</v>
      </c>
      <c r="T6" s="97" t="str">
        <f>IF(ISNA(INDEX([1]!QryItem[CODEDESC],MATCH(T$1,[1]!QryItem[ITEM],0))),"",INDEX([1]!QryItem[CODEDESC],MATCH(T$1,[1]!QryItem[ITEM],0)))</f>
        <v>CY</v>
      </c>
      <c r="U6" s="97" t="str">
        <f>IF(ISNA(INDEX([1]!QryItem[CODEDESC],MATCH(U$1,[1]!QryItem[ITEM],0))),"",INDEX([1]!QryItem[CODEDESC],MATCH(U$1,[1]!QryItem[ITEM],0)))</f>
        <v>FT</v>
      </c>
      <c r="V6" s="97" t="str">
        <f>IF(ISNA(INDEX([1]!QryItem[CODEDESC],MATCH(V$1,[1]!QryItem[ITEM],0))),"",INDEX([1]!QryItem[CODEDESC],MATCH(V$1,[1]!QryItem[ITEM],0)))</f>
        <v>FT</v>
      </c>
      <c r="W6" s="97" t="str">
        <f>IF(ISNA(INDEX([1]!QryItem[CODEDESC],MATCH(W$1,[1]!QryItem[ITEM],0))),"",INDEX([1]!QryItem[CODEDESC],MATCH(W$1,[1]!QryItem[ITEM],0)))</f>
        <v>MILE</v>
      </c>
      <c r="X6" s="28"/>
      <c r="Y6" s="4"/>
    </row>
    <row r="7" spans="1:25" s="8" customFormat="1" ht="17.45" customHeight="1" x14ac:dyDescent="0.2">
      <c r="B7" s="122"/>
      <c r="C7" s="42"/>
      <c r="D7" s="43"/>
      <c r="E7" s="43"/>
      <c r="F7" s="43"/>
      <c r="G7" s="43"/>
      <c r="H7" s="44" t="s">
        <v>62</v>
      </c>
      <c r="I7" s="45"/>
      <c r="J7" s="36"/>
      <c r="K7" s="37" t="s">
        <v>14</v>
      </c>
      <c r="L7" s="36" t="s">
        <v>14</v>
      </c>
      <c r="M7" s="36" t="s">
        <v>73</v>
      </c>
      <c r="N7" s="36" t="s">
        <v>68</v>
      </c>
      <c r="O7" s="36" t="s">
        <v>69</v>
      </c>
      <c r="P7" s="36" t="s">
        <v>70</v>
      </c>
      <c r="Q7" s="80" t="s">
        <v>29</v>
      </c>
      <c r="R7" s="36" t="s">
        <v>30</v>
      </c>
      <c r="S7" s="36" t="s">
        <v>28</v>
      </c>
      <c r="T7" s="36" t="s">
        <v>17</v>
      </c>
      <c r="U7" s="36" t="s">
        <v>33</v>
      </c>
      <c r="V7" s="36" t="s">
        <v>37</v>
      </c>
      <c r="W7" s="36" t="s">
        <v>65</v>
      </c>
      <c r="X7" s="99"/>
      <c r="Y7" s="7"/>
    </row>
    <row r="8" spans="1:25" s="8" customFormat="1" ht="17.45" customHeight="1" thickBot="1" x14ac:dyDescent="0.25">
      <c r="B8" s="122"/>
      <c r="C8" s="46"/>
      <c r="D8" s="47"/>
      <c r="E8" s="47"/>
      <c r="F8" s="47"/>
      <c r="G8" s="47"/>
      <c r="H8" s="48"/>
      <c r="I8" s="49"/>
      <c r="J8" s="39"/>
      <c r="K8" s="40">
        <v>9</v>
      </c>
      <c r="L8" s="40">
        <v>9</v>
      </c>
      <c r="M8" s="40">
        <v>9</v>
      </c>
      <c r="N8" s="40">
        <v>9</v>
      </c>
      <c r="O8" s="40">
        <v>9</v>
      </c>
      <c r="P8" s="40">
        <v>9</v>
      </c>
      <c r="Q8" s="81">
        <v>442</v>
      </c>
      <c r="R8" s="40" t="s">
        <v>15</v>
      </c>
      <c r="S8" s="40" t="s">
        <v>15</v>
      </c>
      <c r="T8" s="40" t="s">
        <v>15</v>
      </c>
      <c r="U8" s="51"/>
      <c r="V8" s="40">
        <v>25</v>
      </c>
      <c r="W8" s="40">
        <v>5280</v>
      </c>
      <c r="X8" s="100"/>
      <c r="Y8" s="7"/>
    </row>
    <row r="9" spans="1:25" s="60" customFormat="1" ht="17.45" customHeight="1" x14ac:dyDescent="0.2">
      <c r="B9" s="58"/>
      <c r="C9" s="32"/>
      <c r="D9" s="33"/>
      <c r="E9" s="33"/>
      <c r="F9" s="34"/>
      <c r="G9" s="35"/>
      <c r="H9" s="34"/>
      <c r="I9" s="64"/>
      <c r="J9" s="5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106"/>
      <c r="X9" s="92"/>
      <c r="Y9" s="59"/>
    </row>
    <row r="10" spans="1:25" s="60" customFormat="1" ht="17.45" customHeight="1" x14ac:dyDescent="0.2">
      <c r="B10" s="102"/>
      <c r="C10" s="135" t="s">
        <v>40</v>
      </c>
      <c r="D10" s="136"/>
      <c r="E10" s="136"/>
      <c r="F10" s="136"/>
      <c r="G10" s="136"/>
      <c r="H10" s="136"/>
      <c r="I10" s="137"/>
      <c r="J10" s="103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5"/>
      <c r="Y10" s="59"/>
    </row>
    <row r="11" spans="1:25" s="60" customFormat="1" ht="17.25" customHeight="1" x14ac:dyDescent="0.2">
      <c r="B11" s="52" t="s">
        <v>38</v>
      </c>
      <c r="C11" s="32">
        <v>44500</v>
      </c>
      <c r="D11" s="33">
        <v>45450</v>
      </c>
      <c r="E11" s="33"/>
      <c r="F11" s="34">
        <f>D11-C11</f>
        <v>950</v>
      </c>
      <c r="G11" s="35">
        <f>7+24+10</f>
        <v>41</v>
      </c>
      <c r="H11" s="34">
        <f>ROUND(F11*G11,2)</f>
        <v>38950</v>
      </c>
      <c r="I11" s="64"/>
      <c r="J11" s="61"/>
      <c r="K11" s="30"/>
      <c r="L11" s="30">
        <f>ROUND(H11/9,2)</f>
        <v>4327.78</v>
      </c>
      <c r="M11" s="30">
        <f>ROUND(H11*$M$3/9,2)</f>
        <v>389.5</v>
      </c>
      <c r="N11" s="30"/>
      <c r="O11" s="30"/>
      <c r="P11" s="30">
        <f>ROUND(H11*2*$P$3/9,2)</f>
        <v>476.06</v>
      </c>
      <c r="Q11" s="30">
        <f>ROUND((R11+S11+T11)*24/G11,2)</f>
        <v>439.81</v>
      </c>
      <c r="R11" s="30">
        <f>ROUND(H11*$R$3/12/27,2)</f>
        <v>210.38</v>
      </c>
      <c r="S11" s="30">
        <f>ROUND(H11*$S$3/12/27,2)</f>
        <v>360.65</v>
      </c>
      <c r="T11" s="30">
        <f>ROUND(H11*$T$3/12/27,2)</f>
        <v>180.32</v>
      </c>
      <c r="U11" s="30"/>
      <c r="V11" s="101">
        <f>(ROUND(F11/25,0)+1)*15</f>
        <v>585</v>
      </c>
      <c r="W11" s="30"/>
      <c r="X11" s="31"/>
      <c r="Y11" s="59"/>
    </row>
    <row r="12" spans="1:25" s="60" customFormat="1" ht="17.45" customHeight="1" x14ac:dyDescent="0.2">
      <c r="B12" s="52" t="s">
        <v>36</v>
      </c>
      <c r="C12" s="32">
        <v>44500</v>
      </c>
      <c r="D12" s="33">
        <v>45450</v>
      </c>
      <c r="E12" s="33"/>
      <c r="F12" s="34">
        <f>D12-C12</f>
        <v>950</v>
      </c>
      <c r="G12" s="35">
        <v>30</v>
      </c>
      <c r="H12" s="34">
        <f>ROUND(F12*G12,2)</f>
        <v>28500</v>
      </c>
      <c r="I12" s="64"/>
      <c r="J12" s="61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1"/>
      <c r="Y12" s="59"/>
    </row>
    <row r="13" spans="1:25" s="60" customFormat="1" ht="17.25" customHeight="1" x14ac:dyDescent="0.2">
      <c r="B13" s="52"/>
      <c r="C13" s="32"/>
      <c r="D13" s="33"/>
      <c r="E13" s="33"/>
      <c r="F13" s="34"/>
      <c r="G13" s="35"/>
      <c r="H13" s="34"/>
      <c r="I13" s="64"/>
      <c r="J13" s="61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1"/>
      <c r="Y13" s="59"/>
    </row>
    <row r="14" spans="1:25" s="60" customFormat="1" ht="17.25" customHeight="1" x14ac:dyDescent="0.2">
      <c r="B14" s="52" t="s">
        <v>39</v>
      </c>
      <c r="C14" s="32">
        <v>45450</v>
      </c>
      <c r="D14" s="33">
        <v>45650</v>
      </c>
      <c r="E14" s="33"/>
      <c r="F14" s="34">
        <f>D14-C14</f>
        <v>200</v>
      </c>
      <c r="G14" s="35">
        <f>7+24+10</f>
        <v>41</v>
      </c>
      <c r="H14" s="34">
        <f>ROUND(F14*G14,2)</f>
        <v>8200</v>
      </c>
      <c r="I14" s="64"/>
      <c r="J14" s="61"/>
      <c r="K14" s="30">
        <f>ROUND(H14/9,2)</f>
        <v>911.11</v>
      </c>
      <c r="L14" s="30">
        <f>ROUND(H14/9,2)</f>
        <v>911.11</v>
      </c>
      <c r="M14" s="30">
        <f>ROUND(H14*$M$3/9,2)</f>
        <v>82</v>
      </c>
      <c r="N14" s="30">
        <f>ROUND(H14*$N$3/9,2)</f>
        <v>50.11</v>
      </c>
      <c r="O14" s="30"/>
      <c r="P14" s="30"/>
      <c r="Q14" s="30">
        <f>ROUND((R14+S14+T14)*24/G14,2)</f>
        <v>48.15</v>
      </c>
      <c r="R14" s="30">
        <f>ROUND(H14*$R$3/12/27,2)</f>
        <v>44.29</v>
      </c>
      <c r="S14" s="30"/>
      <c r="T14" s="30">
        <f>ROUND(H14*$T$3/12/27,2)</f>
        <v>37.96</v>
      </c>
      <c r="U14" s="30"/>
      <c r="V14" s="101">
        <f>(ROUND(F14/25,0)+1)*15</f>
        <v>135</v>
      </c>
      <c r="W14" s="30"/>
      <c r="X14" s="31"/>
      <c r="Y14" s="59"/>
    </row>
    <row r="15" spans="1:25" s="60" customFormat="1" ht="17.45" customHeight="1" x14ac:dyDescent="0.2">
      <c r="B15" s="52" t="s">
        <v>20</v>
      </c>
      <c r="C15" s="32">
        <v>45450</v>
      </c>
      <c r="D15" s="33">
        <v>45650</v>
      </c>
      <c r="E15" s="33"/>
      <c r="F15" s="34">
        <f>D15-C15</f>
        <v>200</v>
      </c>
      <c r="G15" s="35">
        <v>10</v>
      </c>
      <c r="H15" s="34">
        <f>ROUND(F15*G15,2)</f>
        <v>2000</v>
      </c>
      <c r="I15" s="64"/>
      <c r="J15" s="61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1"/>
      <c r="Y15" s="59"/>
    </row>
    <row r="16" spans="1:25" s="60" customFormat="1" ht="17.25" customHeight="1" x14ac:dyDescent="0.2">
      <c r="B16" s="52"/>
      <c r="C16" s="32"/>
      <c r="D16" s="33"/>
      <c r="E16" s="33"/>
      <c r="F16" s="34"/>
      <c r="G16" s="35"/>
      <c r="H16" s="34"/>
      <c r="I16" s="64"/>
      <c r="J16" s="61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1"/>
      <c r="Y16" s="59"/>
    </row>
    <row r="17" spans="2:25" s="60" customFormat="1" ht="17.25" customHeight="1" x14ac:dyDescent="0.2">
      <c r="B17" s="52" t="s">
        <v>38</v>
      </c>
      <c r="C17" s="32">
        <v>45650</v>
      </c>
      <c r="D17" s="33">
        <v>46744</v>
      </c>
      <c r="E17" s="33"/>
      <c r="F17" s="34">
        <f>D17-C17</f>
        <v>1094</v>
      </c>
      <c r="G17" s="35">
        <v>41</v>
      </c>
      <c r="H17" s="34">
        <f>ROUND(F17*G17,2)</f>
        <v>44854</v>
      </c>
      <c r="I17" s="64"/>
      <c r="J17" s="61"/>
      <c r="K17" s="30"/>
      <c r="L17" s="30">
        <f>ROUND(H17/9,2)</f>
        <v>4983.78</v>
      </c>
      <c r="M17" s="30">
        <f>ROUND(H17*$M$3/9,2)</f>
        <v>448.54</v>
      </c>
      <c r="N17" s="30"/>
      <c r="O17" s="30"/>
      <c r="P17" s="30">
        <f>ROUND(H17*2*$P$3/9,2)</f>
        <v>548.22</v>
      </c>
      <c r="Q17" s="30">
        <f>ROUND((R17+S17+T17)*24/G17,2)</f>
        <v>506.48</v>
      </c>
      <c r="R17" s="30">
        <f>ROUND(H17*$R$3/12/27,2)</f>
        <v>242.27</v>
      </c>
      <c r="S17" s="30">
        <f>ROUND(H17*$S$3/12/27,2)</f>
        <v>415.31</v>
      </c>
      <c r="T17" s="30">
        <f>ROUND(H17*$T$3/12/27,2)</f>
        <v>207.66</v>
      </c>
      <c r="U17" s="30"/>
      <c r="V17" s="101">
        <f>(ROUND(F17/25,0)+1)*15</f>
        <v>675</v>
      </c>
      <c r="W17" s="30"/>
      <c r="X17" s="31"/>
      <c r="Y17" s="59"/>
    </row>
    <row r="18" spans="2:25" s="60" customFormat="1" ht="17.25" customHeight="1" x14ac:dyDescent="0.2">
      <c r="B18" s="52" t="s">
        <v>36</v>
      </c>
      <c r="C18" s="32">
        <v>45650</v>
      </c>
      <c r="D18" s="33">
        <v>46744</v>
      </c>
      <c r="E18" s="33"/>
      <c r="F18" s="34">
        <f t="shared" ref="F18:F21" si="5">D18-C18</f>
        <v>1094</v>
      </c>
      <c r="G18" s="35">
        <v>30</v>
      </c>
      <c r="H18" s="34">
        <f t="shared" ref="H18:H21" si="6">ROUND(F18*G18,2)</f>
        <v>32820</v>
      </c>
      <c r="I18" s="64"/>
      <c r="J18" s="61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1"/>
      <c r="Y18" s="59"/>
    </row>
    <row r="19" spans="2:25" s="60" customFormat="1" ht="17.25" customHeight="1" x14ac:dyDescent="0.2">
      <c r="B19" s="52"/>
      <c r="C19" s="32"/>
      <c r="D19" s="33"/>
      <c r="E19" s="33"/>
      <c r="F19" s="34">
        <f t="shared" si="5"/>
        <v>0</v>
      </c>
      <c r="G19" s="35"/>
      <c r="H19" s="34">
        <f t="shared" si="6"/>
        <v>0</v>
      </c>
      <c r="I19" s="64"/>
      <c r="J19" s="61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1"/>
      <c r="Y19" s="59"/>
    </row>
    <row r="20" spans="2:25" s="60" customFormat="1" ht="17.25" customHeight="1" x14ac:dyDescent="0.2">
      <c r="B20" s="52" t="s">
        <v>38</v>
      </c>
      <c r="C20" s="32">
        <v>46744</v>
      </c>
      <c r="D20" s="33">
        <v>46925</v>
      </c>
      <c r="E20" s="33"/>
      <c r="F20" s="34">
        <f t="shared" si="5"/>
        <v>181</v>
      </c>
      <c r="G20" s="35">
        <f>7+30+10</f>
        <v>47</v>
      </c>
      <c r="H20" s="34">
        <f t="shared" si="6"/>
        <v>8507</v>
      </c>
      <c r="I20" s="64"/>
      <c r="J20" s="61"/>
      <c r="K20" s="30"/>
      <c r="L20" s="30">
        <f>ROUND(H20/9,2)</f>
        <v>945.22</v>
      </c>
      <c r="M20" s="30">
        <f>ROUND(H20*$M$3/9,2)</f>
        <v>85.07</v>
      </c>
      <c r="N20" s="30"/>
      <c r="O20" s="30"/>
      <c r="P20" s="30">
        <f>ROUND(H20*2*$P$3/9,2)</f>
        <v>103.97</v>
      </c>
      <c r="Q20" s="30">
        <f>ROUND((R20+S20+T20)*24/G20,2)</f>
        <v>83.8</v>
      </c>
      <c r="R20" s="30">
        <f>ROUND(H20*$R$3/12/27,2)</f>
        <v>45.95</v>
      </c>
      <c r="S20" s="30">
        <f>ROUND(H20*$S$3/12/27,2)</f>
        <v>78.77</v>
      </c>
      <c r="T20" s="30">
        <f>ROUND(H20*$T$3/12/27,2)</f>
        <v>39.380000000000003</v>
      </c>
      <c r="U20" s="30"/>
      <c r="V20" s="101">
        <f>(ROUND(F20/25,0)+1)*15</f>
        <v>120</v>
      </c>
      <c r="W20" s="30"/>
      <c r="X20" s="31"/>
      <c r="Y20" s="59"/>
    </row>
    <row r="21" spans="2:25" s="60" customFormat="1" ht="17.25" customHeight="1" x14ac:dyDescent="0.2">
      <c r="B21" s="52" t="s">
        <v>36</v>
      </c>
      <c r="C21" s="32">
        <v>46744</v>
      </c>
      <c r="D21" s="33">
        <v>46925</v>
      </c>
      <c r="E21" s="33"/>
      <c r="F21" s="34">
        <f t="shared" si="5"/>
        <v>181</v>
      </c>
      <c r="G21" s="35">
        <v>15</v>
      </c>
      <c r="H21" s="34">
        <f t="shared" si="6"/>
        <v>2715</v>
      </c>
      <c r="I21" s="64"/>
      <c r="J21" s="61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1"/>
      <c r="Y21" s="59"/>
    </row>
    <row r="22" spans="2:25" s="60" customFormat="1" ht="17.45" customHeight="1" x14ac:dyDescent="0.2">
      <c r="B22" s="52"/>
      <c r="C22" s="32"/>
      <c r="D22" s="33"/>
      <c r="E22" s="33"/>
      <c r="F22" s="34"/>
      <c r="G22" s="35"/>
      <c r="H22" s="34"/>
      <c r="I22" s="64"/>
      <c r="J22" s="61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1"/>
      <c r="Y22" s="59"/>
    </row>
    <row r="23" spans="2:25" s="60" customFormat="1" ht="17.25" customHeight="1" x14ac:dyDescent="0.2">
      <c r="B23" s="52" t="s">
        <v>39</v>
      </c>
      <c r="C23" s="32">
        <v>46925</v>
      </c>
      <c r="D23" s="33">
        <v>47075</v>
      </c>
      <c r="E23" s="33"/>
      <c r="F23" s="34">
        <f>D23-C23</f>
        <v>150</v>
      </c>
      <c r="G23" s="35">
        <f>7+36+10</f>
        <v>53</v>
      </c>
      <c r="H23" s="34">
        <f>ROUND(F23*G23,2)</f>
        <v>7950</v>
      </c>
      <c r="I23" s="64"/>
      <c r="J23" s="61"/>
      <c r="K23" s="30">
        <f>ROUND(H23/9,2)</f>
        <v>883.33</v>
      </c>
      <c r="L23" s="30">
        <f>ROUND(H23/9,2)</f>
        <v>883.33</v>
      </c>
      <c r="M23" s="30">
        <f>ROUND(H23*$M$3/9,2)</f>
        <v>79.5</v>
      </c>
      <c r="N23" s="30">
        <f>ROUND(H23*$N$3/9,2)</f>
        <v>48.58</v>
      </c>
      <c r="O23" s="30"/>
      <c r="P23" s="30"/>
      <c r="Q23" s="30">
        <f>ROUND((R23+S23+T23)*24/G23,2)</f>
        <v>36.11</v>
      </c>
      <c r="R23" s="30">
        <f>ROUND(H23*$R$3/12/27,2)</f>
        <v>42.94</v>
      </c>
      <c r="S23" s="30"/>
      <c r="T23" s="30">
        <f>ROUND(H23*$T$3/12/27,2)</f>
        <v>36.81</v>
      </c>
      <c r="U23" s="30"/>
      <c r="V23" s="101">
        <f>(ROUND(F23/25,0)+1)*15</f>
        <v>105</v>
      </c>
      <c r="W23" s="30"/>
      <c r="X23" s="31"/>
      <c r="Y23" s="59"/>
    </row>
    <row r="24" spans="2:25" s="60" customFormat="1" ht="17.25" customHeight="1" x14ac:dyDescent="0.2">
      <c r="B24" s="52" t="s">
        <v>20</v>
      </c>
      <c r="C24" s="32">
        <v>46925</v>
      </c>
      <c r="D24" s="33">
        <v>47075</v>
      </c>
      <c r="E24" s="33"/>
      <c r="F24" s="34">
        <f>D24-C24</f>
        <v>150</v>
      </c>
      <c r="G24" s="35">
        <v>5</v>
      </c>
      <c r="H24" s="34">
        <f>ROUND(F24*G24,2)</f>
        <v>750</v>
      </c>
      <c r="I24" s="64"/>
      <c r="J24" s="61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1"/>
      <c r="Y24" s="59"/>
    </row>
    <row r="25" spans="2:25" s="60" customFormat="1" ht="17.25" customHeight="1" x14ac:dyDescent="0.2">
      <c r="B25" s="52"/>
      <c r="C25" s="32"/>
      <c r="D25" s="33"/>
      <c r="E25" s="33"/>
      <c r="F25" s="34"/>
      <c r="G25" s="35"/>
      <c r="H25" s="34"/>
      <c r="I25" s="64"/>
      <c r="J25" s="61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1"/>
      <c r="Y25" s="59"/>
    </row>
    <row r="26" spans="2:25" s="60" customFormat="1" ht="17.25" customHeight="1" x14ac:dyDescent="0.2">
      <c r="B26" s="52" t="s">
        <v>38</v>
      </c>
      <c r="C26" s="32">
        <v>47075</v>
      </c>
      <c r="D26" s="33">
        <v>47295</v>
      </c>
      <c r="E26" s="33"/>
      <c r="F26" s="34">
        <f t="shared" ref="F26:F27" si="7">D26-C26</f>
        <v>220</v>
      </c>
      <c r="G26" s="35">
        <v>55</v>
      </c>
      <c r="H26" s="34">
        <f t="shared" ref="H26:H27" si="8">ROUND(F26*G26,2)</f>
        <v>12100</v>
      </c>
      <c r="I26" s="64"/>
      <c r="J26" s="61"/>
      <c r="K26" s="30"/>
      <c r="L26" s="30">
        <f>ROUND(H26/9,2)</f>
        <v>1344.44</v>
      </c>
      <c r="M26" s="30">
        <f>ROUND(H26*$M$3/9,2)</f>
        <v>121</v>
      </c>
      <c r="N26" s="30"/>
      <c r="O26" s="30"/>
      <c r="P26" s="30">
        <f>ROUND(H26*2*$P$3/9,2)</f>
        <v>147.88999999999999</v>
      </c>
      <c r="Q26" s="30">
        <f>ROUND((R26+S26+T26)*24/G26,2)</f>
        <v>101.85</v>
      </c>
      <c r="R26" s="30">
        <f>ROUND(H26*$R$3/12/27,2)</f>
        <v>65.349999999999994</v>
      </c>
      <c r="S26" s="30">
        <f>ROUND(H26*$S$3/12/27,2)</f>
        <v>112.04</v>
      </c>
      <c r="T26" s="30">
        <f>ROUND(H26*$T$3/12/27,2)</f>
        <v>56.02</v>
      </c>
      <c r="U26" s="30"/>
      <c r="V26" s="101">
        <f>(ROUND(F26/25,0)+1)*15</f>
        <v>150</v>
      </c>
      <c r="W26" s="30"/>
      <c r="X26" s="31"/>
      <c r="Y26" s="59"/>
    </row>
    <row r="27" spans="2:25" s="60" customFormat="1" ht="17.25" customHeight="1" x14ac:dyDescent="0.2">
      <c r="B27" s="52" t="s">
        <v>36</v>
      </c>
      <c r="C27" s="32">
        <v>47075</v>
      </c>
      <c r="D27" s="33">
        <v>47295</v>
      </c>
      <c r="E27" s="33"/>
      <c r="F27" s="34">
        <f t="shared" si="7"/>
        <v>220</v>
      </c>
      <c r="G27" s="35">
        <v>15</v>
      </c>
      <c r="H27" s="34">
        <f t="shared" si="8"/>
        <v>3300</v>
      </c>
      <c r="I27" s="64"/>
      <c r="J27" s="61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1"/>
      <c r="Y27" s="59"/>
    </row>
    <row r="28" spans="2:25" s="60" customFormat="1" ht="17.25" customHeight="1" x14ac:dyDescent="0.2">
      <c r="B28" s="52"/>
      <c r="C28" s="32"/>
      <c r="D28" s="33"/>
      <c r="E28" s="33"/>
      <c r="F28" s="34"/>
      <c r="G28" s="35"/>
      <c r="H28" s="34"/>
      <c r="I28" s="64"/>
      <c r="J28" s="61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1"/>
      <c r="Y28" s="59"/>
    </row>
    <row r="29" spans="2:25" s="60" customFormat="1" ht="17.25" customHeight="1" x14ac:dyDescent="0.2">
      <c r="B29" s="52" t="s">
        <v>38</v>
      </c>
      <c r="C29" s="32">
        <v>47295</v>
      </c>
      <c r="D29" s="33">
        <v>47396</v>
      </c>
      <c r="E29" s="33"/>
      <c r="F29" s="34">
        <f t="shared" ref="F29:F30" si="9">D29-C29</f>
        <v>101</v>
      </c>
      <c r="G29" s="35">
        <f>AVERAGE(55,60)</f>
        <v>57.5</v>
      </c>
      <c r="H29" s="34">
        <f t="shared" ref="H29:H30" si="10">ROUND(F29*G29,2)</f>
        <v>5807.5</v>
      </c>
      <c r="I29" s="64"/>
      <c r="J29" s="61"/>
      <c r="K29" s="30"/>
      <c r="L29" s="30">
        <f>ROUND(H29/9,2)</f>
        <v>645.28</v>
      </c>
      <c r="M29" s="30">
        <f>ROUND(H29*$M$3/9,2)</f>
        <v>58.08</v>
      </c>
      <c r="N29" s="30"/>
      <c r="O29" s="30"/>
      <c r="P29" s="30">
        <f>ROUND(H29*2*$P$3/9,2)</f>
        <v>70.98</v>
      </c>
      <c r="Q29" s="30">
        <f>ROUND((R29+S29+T29)*24/G29,2)</f>
        <v>46.76</v>
      </c>
      <c r="R29" s="30">
        <f>ROUND(H29*$R$3/12/27,2)</f>
        <v>31.37</v>
      </c>
      <c r="S29" s="30">
        <f>ROUND(H29*$S$3/12/27,2)</f>
        <v>53.77</v>
      </c>
      <c r="T29" s="30">
        <f>ROUND(H29*$T$3/12/27,2)</f>
        <v>26.89</v>
      </c>
      <c r="U29" s="30"/>
      <c r="V29" s="101">
        <f>(ROUND(F29/25,0)+1)*15</f>
        <v>75</v>
      </c>
      <c r="W29" s="30"/>
      <c r="X29" s="31"/>
      <c r="Y29" s="59"/>
    </row>
    <row r="30" spans="2:25" s="60" customFormat="1" ht="17.25" customHeight="1" x14ac:dyDescent="0.2">
      <c r="B30" s="52" t="s">
        <v>36</v>
      </c>
      <c r="C30" s="32">
        <v>47295</v>
      </c>
      <c r="D30" s="33">
        <v>47396</v>
      </c>
      <c r="E30" s="33"/>
      <c r="F30" s="34">
        <f t="shared" si="9"/>
        <v>101</v>
      </c>
      <c r="G30" s="35">
        <v>15</v>
      </c>
      <c r="H30" s="34">
        <f t="shared" si="10"/>
        <v>1515</v>
      </c>
      <c r="I30" s="64"/>
      <c r="J30" s="61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1"/>
      <c r="Y30" s="59"/>
    </row>
    <row r="31" spans="2:25" s="60" customFormat="1" ht="17.25" customHeight="1" x14ac:dyDescent="0.2">
      <c r="B31" s="52"/>
      <c r="C31" s="32"/>
      <c r="D31" s="33"/>
      <c r="E31" s="33"/>
      <c r="F31" s="34"/>
      <c r="G31" s="35"/>
      <c r="H31" s="34"/>
      <c r="I31" s="64"/>
      <c r="J31" s="61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1"/>
      <c r="Y31" s="59"/>
    </row>
    <row r="32" spans="2:25" s="60" customFormat="1" ht="17.25" customHeight="1" x14ac:dyDescent="0.2">
      <c r="B32" s="52" t="s">
        <v>38</v>
      </c>
      <c r="C32" s="32">
        <v>47396</v>
      </c>
      <c r="D32" s="33">
        <v>47616</v>
      </c>
      <c r="E32" s="33"/>
      <c r="F32" s="34">
        <f t="shared" ref="F32:F34" si="11">D32-C32</f>
        <v>220</v>
      </c>
      <c r="G32" s="35">
        <f>AVERAGE(35,55)</f>
        <v>45</v>
      </c>
      <c r="H32" s="34">
        <f t="shared" ref="H32:H34" si="12">ROUND(F32*G32,2)</f>
        <v>9900</v>
      </c>
      <c r="I32" s="64"/>
      <c r="J32" s="61"/>
      <c r="K32" s="30"/>
      <c r="L32" s="30">
        <f>ROUND(H32/9,2)</f>
        <v>1100</v>
      </c>
      <c r="M32" s="30">
        <f>ROUND(H32*$M$3/9,2)</f>
        <v>99</v>
      </c>
      <c r="N32" s="30"/>
      <c r="O32" s="30"/>
      <c r="P32" s="30">
        <f>ROUND(H32*2*$P$3/9,2)</f>
        <v>121</v>
      </c>
      <c r="Q32" s="30">
        <f>ROUND((R32+S32+T32)*24/G32,2)</f>
        <v>101.85</v>
      </c>
      <c r="R32" s="30">
        <f>ROUND(H32*$R$3/12/27,2)</f>
        <v>53.47</v>
      </c>
      <c r="S32" s="30">
        <f>ROUND(H32*$S$3/12/27,2)</f>
        <v>91.67</v>
      </c>
      <c r="T32" s="30">
        <f>ROUND(H32*$T$3/12/27,2)</f>
        <v>45.83</v>
      </c>
      <c r="U32" s="30"/>
      <c r="V32" s="101">
        <f>(ROUND(F32/25,0)+1)*15</f>
        <v>150</v>
      </c>
      <c r="W32" s="30"/>
      <c r="X32" s="31"/>
      <c r="Y32" s="59"/>
    </row>
    <row r="33" spans="2:25" s="60" customFormat="1" ht="17.25" customHeight="1" x14ac:dyDescent="0.2">
      <c r="B33" s="52" t="s">
        <v>39</v>
      </c>
      <c r="C33" s="32">
        <v>47396</v>
      </c>
      <c r="D33" s="33">
        <v>47616</v>
      </c>
      <c r="E33" s="33"/>
      <c r="F33" s="34">
        <f>D33-C33</f>
        <v>220</v>
      </c>
      <c r="G33" s="35">
        <v>24</v>
      </c>
      <c r="H33" s="34">
        <f>ROUND(F33*G33,2)</f>
        <v>5280</v>
      </c>
      <c r="I33" s="64"/>
      <c r="J33" s="61"/>
      <c r="K33" s="30">
        <f>ROUND(H33/9,2)</f>
        <v>586.66999999999996</v>
      </c>
      <c r="L33" s="30">
        <f>ROUND(H33/9,2)</f>
        <v>586.66999999999996</v>
      </c>
      <c r="M33" s="30">
        <f>ROUND(H33*$M$3/9,2)</f>
        <v>52.8</v>
      </c>
      <c r="N33" s="30">
        <f>ROUND(H33*$N$3/9,2)</f>
        <v>32.270000000000003</v>
      </c>
      <c r="O33" s="30"/>
      <c r="P33" s="30"/>
      <c r="Q33" s="30">
        <f>ROUND((R33+S33+T33)*16/G33,2)</f>
        <v>35.31</v>
      </c>
      <c r="R33" s="30">
        <f>ROUND(H33*$R$3/12/27,2)</f>
        <v>28.52</v>
      </c>
      <c r="S33" s="30"/>
      <c r="T33" s="30">
        <f>ROUND(H33*$T$3/12/27,2)</f>
        <v>24.44</v>
      </c>
      <c r="U33" s="30"/>
      <c r="V33" s="101"/>
      <c r="W33" s="30"/>
      <c r="X33" s="31"/>
      <c r="Y33" s="59"/>
    </row>
    <row r="34" spans="2:25" s="60" customFormat="1" ht="17.25" customHeight="1" x14ac:dyDescent="0.2">
      <c r="B34" s="52" t="s">
        <v>36</v>
      </c>
      <c r="C34" s="32">
        <v>47396</v>
      </c>
      <c r="D34" s="33">
        <v>47616</v>
      </c>
      <c r="E34" s="33"/>
      <c r="F34" s="34">
        <f t="shared" si="11"/>
        <v>220</v>
      </c>
      <c r="G34" s="35">
        <v>15</v>
      </c>
      <c r="H34" s="34">
        <f t="shared" si="12"/>
        <v>3300</v>
      </c>
      <c r="I34" s="64"/>
      <c r="J34" s="61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1"/>
      <c r="Y34" s="59"/>
    </row>
    <row r="35" spans="2:25" s="60" customFormat="1" ht="17.25" customHeight="1" x14ac:dyDescent="0.2">
      <c r="B35" s="52"/>
      <c r="C35" s="32"/>
      <c r="D35" s="33"/>
      <c r="E35" s="33"/>
      <c r="F35" s="34"/>
      <c r="G35" s="35"/>
      <c r="H35" s="34"/>
      <c r="I35" s="64"/>
      <c r="J35" s="61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1"/>
      <c r="Y35" s="59"/>
    </row>
    <row r="36" spans="2:25" s="60" customFormat="1" ht="17.25" customHeight="1" x14ac:dyDescent="0.2">
      <c r="B36" s="52" t="s">
        <v>38</v>
      </c>
      <c r="C36" s="32">
        <v>47616</v>
      </c>
      <c r="D36" s="33">
        <v>48818</v>
      </c>
      <c r="E36" s="33"/>
      <c r="F36" s="34">
        <f t="shared" ref="F36:F37" si="13">D36-C36</f>
        <v>1202</v>
      </c>
      <c r="G36" s="35">
        <f>9.5+24+10</f>
        <v>43.5</v>
      </c>
      <c r="H36" s="34">
        <f t="shared" ref="H36:H37" si="14">ROUND(F36*G36,2)</f>
        <v>52287</v>
      </c>
      <c r="I36" s="64"/>
      <c r="J36" s="61"/>
      <c r="K36" s="30"/>
      <c r="L36" s="30">
        <f>ROUND(H36/9,2)</f>
        <v>5809.67</v>
      </c>
      <c r="M36" s="30">
        <f>ROUND(H36*$M$3/9,2)</f>
        <v>522.87</v>
      </c>
      <c r="N36" s="30"/>
      <c r="O36" s="30"/>
      <c r="P36" s="30">
        <f>ROUND(H36*2*$P$3/9,2)</f>
        <v>639.05999999999995</v>
      </c>
      <c r="Q36" s="30">
        <f>ROUND((R36+S36+T36)*24/G36,2)</f>
        <v>556.48</v>
      </c>
      <c r="R36" s="30">
        <f>ROUND(H36*$R$3/12/27,2)</f>
        <v>282.41000000000003</v>
      </c>
      <c r="S36" s="30">
        <f>ROUND(H36*$S$3/12/27,2)</f>
        <v>484.14</v>
      </c>
      <c r="T36" s="30">
        <f>ROUND(H36*$T$3/12/27,2)</f>
        <v>242.07</v>
      </c>
      <c r="U36" s="30"/>
      <c r="V36" s="101">
        <f>(ROUND(F36/25,0)+1)*15</f>
        <v>735</v>
      </c>
      <c r="W36" s="30"/>
      <c r="X36" s="31"/>
      <c r="Y36" s="59"/>
    </row>
    <row r="37" spans="2:25" s="60" customFormat="1" ht="17.25" customHeight="1" x14ac:dyDescent="0.2">
      <c r="B37" s="52" t="s">
        <v>36</v>
      </c>
      <c r="C37" s="32">
        <v>47616</v>
      </c>
      <c r="D37" s="33">
        <v>48818</v>
      </c>
      <c r="E37" s="33"/>
      <c r="F37" s="34">
        <f t="shared" si="13"/>
        <v>1202</v>
      </c>
      <c r="G37" s="35">
        <v>30</v>
      </c>
      <c r="H37" s="34">
        <f t="shared" si="14"/>
        <v>36060</v>
      </c>
      <c r="I37" s="64"/>
      <c r="J37" s="61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1"/>
      <c r="Y37" s="59"/>
    </row>
    <row r="38" spans="2:25" s="60" customFormat="1" ht="17.25" customHeight="1" x14ac:dyDescent="0.2">
      <c r="B38" s="52"/>
      <c r="C38" s="32"/>
      <c r="D38" s="33"/>
      <c r="E38" s="33"/>
      <c r="F38" s="34"/>
      <c r="G38" s="35"/>
      <c r="H38" s="34"/>
      <c r="I38" s="64"/>
      <c r="J38" s="61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1"/>
      <c r="Y38" s="59"/>
    </row>
    <row r="39" spans="2:25" s="60" customFormat="1" ht="17.25" customHeight="1" x14ac:dyDescent="0.2">
      <c r="B39" s="52" t="s">
        <v>38</v>
      </c>
      <c r="C39" s="32">
        <v>48818</v>
      </c>
      <c r="D39" s="33">
        <v>49468</v>
      </c>
      <c r="E39" s="33"/>
      <c r="F39" s="34">
        <f t="shared" ref="F39:F40" si="15">D39-C39</f>
        <v>650</v>
      </c>
      <c r="G39" s="35">
        <f>AVERAGE(87,75)</f>
        <v>81</v>
      </c>
      <c r="H39" s="34">
        <f t="shared" ref="H39:H40" si="16">ROUND(F39*G39,2)</f>
        <v>52650</v>
      </c>
      <c r="I39" s="64"/>
      <c r="J39" s="61"/>
      <c r="K39" s="30"/>
      <c r="L39" s="30">
        <f>ROUND(H39/9,2)</f>
        <v>5850</v>
      </c>
      <c r="M39" s="30">
        <f>ROUND(H39*$M$3/9,2)</f>
        <v>526.5</v>
      </c>
      <c r="N39" s="30"/>
      <c r="O39" s="30"/>
      <c r="P39" s="30">
        <f>ROUND(H39*2*$P$3/9,2)</f>
        <v>643.5</v>
      </c>
      <c r="Q39" s="30">
        <f>ROUND((R39+S39+T39)*40/G39,2)</f>
        <v>501.55</v>
      </c>
      <c r="R39" s="30">
        <f>ROUND(H39*$R$3/12/27,2)</f>
        <v>284.38</v>
      </c>
      <c r="S39" s="30">
        <f>ROUND(H39*$S$3/12/27,2)</f>
        <v>487.5</v>
      </c>
      <c r="T39" s="30">
        <f>ROUND(H39*$T$3/12/27,2)</f>
        <v>243.75</v>
      </c>
      <c r="U39" s="30"/>
      <c r="V39" s="101">
        <f>(ROUND(F39/25,0)+1)*15</f>
        <v>405</v>
      </c>
      <c r="W39" s="30"/>
      <c r="X39" s="31"/>
      <c r="Y39" s="59"/>
    </row>
    <row r="40" spans="2:25" s="60" customFormat="1" ht="17.25" customHeight="1" x14ac:dyDescent="0.2">
      <c r="B40" s="52" t="s">
        <v>36</v>
      </c>
      <c r="C40" s="32">
        <v>48818</v>
      </c>
      <c r="D40" s="33">
        <v>49468</v>
      </c>
      <c r="E40" s="33"/>
      <c r="F40" s="34">
        <f t="shared" si="15"/>
        <v>650</v>
      </c>
      <c r="G40" s="35">
        <v>30</v>
      </c>
      <c r="H40" s="34">
        <f t="shared" si="16"/>
        <v>19500</v>
      </c>
      <c r="I40" s="64"/>
      <c r="J40" s="61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1"/>
      <c r="Y40" s="59"/>
    </row>
    <row r="41" spans="2:25" s="60" customFormat="1" ht="17.25" customHeight="1" x14ac:dyDescent="0.2">
      <c r="B41" s="52"/>
      <c r="C41" s="32"/>
      <c r="D41" s="33"/>
      <c r="E41" s="33"/>
      <c r="F41" s="34"/>
      <c r="G41" s="35"/>
      <c r="H41" s="34"/>
      <c r="I41" s="64"/>
      <c r="J41" s="61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1"/>
      <c r="Y41" s="59"/>
    </row>
    <row r="42" spans="2:25" s="60" customFormat="1" ht="17.25" customHeight="1" x14ac:dyDescent="0.2">
      <c r="B42" s="52" t="s">
        <v>67</v>
      </c>
      <c r="C42" s="32">
        <v>49468</v>
      </c>
      <c r="D42" s="33">
        <f>C42+17</f>
        <v>49485</v>
      </c>
      <c r="E42" s="33"/>
      <c r="F42" s="34">
        <f>D42-C42</f>
        <v>17</v>
      </c>
      <c r="G42" s="35">
        <f>AVERAGE(77,75)</f>
        <v>76</v>
      </c>
      <c r="H42" s="34"/>
      <c r="I42" s="64">
        <v>1597.54</v>
      </c>
      <c r="J42" s="61"/>
      <c r="K42" s="30">
        <f>ROUND(I42/9,2)</f>
        <v>177.5</v>
      </c>
      <c r="L42" s="30"/>
      <c r="M42" s="30">
        <f>ROUND(I42*$M$3/9,2)</f>
        <v>15.98</v>
      </c>
      <c r="N42" s="30">
        <f>ROUND((I43-I42)*$N$3/9,2)</f>
        <v>1.95</v>
      </c>
      <c r="O42" s="30"/>
      <c r="P42" s="30"/>
      <c r="Q42" s="30"/>
      <c r="R42" s="30"/>
      <c r="S42" s="30"/>
      <c r="T42" s="30"/>
      <c r="U42" s="30"/>
      <c r="V42" s="101"/>
      <c r="W42" s="30"/>
      <c r="X42" s="31"/>
      <c r="Y42" s="59"/>
    </row>
    <row r="43" spans="2:25" s="60" customFormat="1" ht="17.25" customHeight="1" x14ac:dyDescent="0.2">
      <c r="B43" s="52" t="s">
        <v>42</v>
      </c>
      <c r="C43" s="32">
        <v>49468</v>
      </c>
      <c r="D43" s="33">
        <f t="shared" ref="D43:D44" si="17">C43+21</f>
        <v>49489</v>
      </c>
      <c r="E43" s="33"/>
      <c r="F43" s="34">
        <f>D43-C43</f>
        <v>21</v>
      </c>
      <c r="G43" s="35">
        <f>AVERAGE(80,75)</f>
        <v>77.5</v>
      </c>
      <c r="H43" s="34"/>
      <c r="I43" s="64">
        <v>1916.1</v>
      </c>
      <c r="J43" s="61"/>
      <c r="K43" s="30"/>
      <c r="L43" s="30"/>
      <c r="M43" s="30"/>
      <c r="N43" s="30">
        <f>ROUND(I43*$N$3/9,2)</f>
        <v>11.71</v>
      </c>
      <c r="O43" s="30"/>
      <c r="P43" s="30"/>
      <c r="Q43" s="30">
        <f>ROUND((R43+S43+T43)*40/G43,2)</f>
        <v>9.92</v>
      </c>
      <c r="R43" s="30">
        <f>ROUND(I43*$R$3/12/27,2)</f>
        <v>10.35</v>
      </c>
      <c r="S43" s="30"/>
      <c r="T43" s="30">
        <f>ROUND(I43*$T$3/12/27,2)</f>
        <v>8.8699999999999992</v>
      </c>
      <c r="U43" s="30"/>
      <c r="V43" s="101"/>
      <c r="W43" s="30"/>
      <c r="X43" s="31"/>
      <c r="Y43" s="59"/>
    </row>
    <row r="44" spans="2:25" s="60" customFormat="1" ht="17.25" customHeight="1" x14ac:dyDescent="0.2">
      <c r="B44" s="52" t="s">
        <v>34</v>
      </c>
      <c r="C44" s="32">
        <v>49468</v>
      </c>
      <c r="D44" s="33">
        <f t="shared" si="17"/>
        <v>49489</v>
      </c>
      <c r="E44" s="33"/>
      <c r="F44" s="34">
        <f t="shared" ref="F44" si="18">D44-C44</f>
        <v>21</v>
      </c>
      <c r="G44" s="35">
        <f>157/2</f>
        <v>78.5</v>
      </c>
      <c r="H44" s="34"/>
      <c r="I44" s="64"/>
      <c r="J44" s="61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>
        <f>G44</f>
        <v>78.5</v>
      </c>
      <c r="V44" s="101"/>
      <c r="W44" s="30"/>
      <c r="X44" s="31"/>
      <c r="Y44" s="59"/>
    </row>
    <row r="45" spans="2:25" s="60" customFormat="1" ht="17.25" customHeight="1" x14ac:dyDescent="0.2">
      <c r="B45" s="52"/>
      <c r="C45" s="32"/>
      <c r="D45" s="33"/>
      <c r="E45" s="33"/>
      <c r="F45" s="34"/>
      <c r="G45" s="35"/>
      <c r="H45" s="34"/>
      <c r="I45" s="64"/>
      <c r="J45" s="61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1"/>
      <c r="Y45" s="59"/>
    </row>
    <row r="46" spans="2:25" s="60" customFormat="1" ht="17.25" customHeight="1" x14ac:dyDescent="0.2">
      <c r="B46" s="52" t="s">
        <v>47</v>
      </c>
      <c r="C46" s="32"/>
      <c r="D46" s="33"/>
      <c r="E46" s="33"/>
      <c r="F46" s="34"/>
      <c r="G46" s="35"/>
      <c r="H46" s="34"/>
      <c r="I46" s="64"/>
      <c r="J46" s="61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1"/>
      <c r="Y46" s="59"/>
    </row>
    <row r="47" spans="2:25" s="60" customFormat="1" ht="17.25" customHeight="1" x14ac:dyDescent="0.2">
      <c r="B47" s="52"/>
      <c r="C47" s="32"/>
      <c r="D47" s="33"/>
      <c r="E47" s="33"/>
      <c r="F47" s="34"/>
      <c r="G47" s="35"/>
      <c r="H47" s="34"/>
      <c r="I47" s="64"/>
      <c r="J47" s="61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1"/>
      <c r="Y47" s="59"/>
    </row>
    <row r="48" spans="2:25" s="60" customFormat="1" ht="17.25" customHeight="1" x14ac:dyDescent="0.2">
      <c r="B48" s="52" t="s">
        <v>67</v>
      </c>
      <c r="C48" s="32">
        <f>D48-17</f>
        <v>49695</v>
      </c>
      <c r="D48" s="33">
        <v>49712</v>
      </c>
      <c r="E48" s="33"/>
      <c r="F48" s="34">
        <f>D48-C48</f>
        <v>17</v>
      </c>
      <c r="G48" s="35">
        <f>AVERAGE(74,71.5)</f>
        <v>72.75</v>
      </c>
      <c r="H48" s="34"/>
      <c r="I48" s="64">
        <v>1495.72</v>
      </c>
      <c r="J48" s="61"/>
      <c r="K48" s="30">
        <f>ROUND(I48/9,2)</f>
        <v>166.19</v>
      </c>
      <c r="L48" s="30"/>
      <c r="M48" s="30">
        <f>ROUND(I48*$M$3/9,2)</f>
        <v>14.96</v>
      </c>
      <c r="N48" s="30">
        <f>ROUND((I49-I48)*$N$3/9,2)</f>
        <v>1.85</v>
      </c>
      <c r="O48" s="30"/>
      <c r="P48" s="30"/>
      <c r="Q48" s="30"/>
      <c r="R48" s="30"/>
      <c r="S48" s="30"/>
      <c r="T48" s="30"/>
      <c r="U48" s="30"/>
      <c r="V48" s="101"/>
      <c r="W48" s="30"/>
      <c r="X48" s="31"/>
      <c r="Y48" s="59"/>
    </row>
    <row r="49" spans="2:25" s="60" customFormat="1" ht="17.25" customHeight="1" x14ac:dyDescent="0.2">
      <c r="B49" s="52" t="s">
        <v>42</v>
      </c>
      <c r="C49" s="32">
        <f t="shared" ref="C49:C50" si="19">D49-21</f>
        <v>49691</v>
      </c>
      <c r="D49" s="33">
        <v>49712</v>
      </c>
      <c r="E49" s="33"/>
      <c r="F49" s="34">
        <f>D49-C49</f>
        <v>21</v>
      </c>
      <c r="G49" s="35">
        <f>AVERAGE(76,71.5)</f>
        <v>73.75</v>
      </c>
      <c r="H49" s="34"/>
      <c r="I49" s="64">
        <v>1798.21</v>
      </c>
      <c r="J49" s="61"/>
      <c r="K49" s="30"/>
      <c r="L49" s="30"/>
      <c r="M49" s="30"/>
      <c r="N49" s="30">
        <f>ROUND(I49*$N$3/9,2)</f>
        <v>10.99</v>
      </c>
      <c r="O49" s="30"/>
      <c r="P49" s="30"/>
      <c r="Q49" s="30">
        <f>ROUND((R49+S49+T49)*40/G49,2)</f>
        <v>9.7799999999999994</v>
      </c>
      <c r="R49" s="30">
        <f>ROUND(I49*$R$3/12/27,2)</f>
        <v>9.7100000000000009</v>
      </c>
      <c r="S49" s="30"/>
      <c r="T49" s="30">
        <f>ROUND(I49*$T$3/12/27,2)</f>
        <v>8.33</v>
      </c>
      <c r="U49" s="30"/>
      <c r="V49" s="101"/>
      <c r="W49" s="30"/>
      <c r="X49" s="31"/>
      <c r="Y49" s="59"/>
    </row>
    <row r="50" spans="2:25" s="60" customFormat="1" ht="17.25" customHeight="1" x14ac:dyDescent="0.2">
      <c r="B50" s="52" t="s">
        <v>34</v>
      </c>
      <c r="C50" s="32">
        <f t="shared" si="19"/>
        <v>49691</v>
      </c>
      <c r="D50" s="33">
        <v>49712</v>
      </c>
      <c r="E50" s="33"/>
      <c r="F50" s="34">
        <f t="shared" ref="F50" si="20">D50-C50</f>
        <v>21</v>
      </c>
      <c r="G50" s="35">
        <v>76</v>
      </c>
      <c r="H50" s="34"/>
      <c r="I50" s="64"/>
      <c r="J50" s="61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>
        <f>G50</f>
        <v>76</v>
      </c>
      <c r="V50" s="101"/>
      <c r="W50" s="30"/>
      <c r="X50" s="31"/>
      <c r="Y50" s="59"/>
    </row>
    <row r="51" spans="2:25" s="60" customFormat="1" ht="17.25" customHeight="1" x14ac:dyDescent="0.2">
      <c r="B51" s="52"/>
      <c r="C51" s="32"/>
      <c r="D51" s="33"/>
      <c r="E51" s="33"/>
      <c r="F51" s="34"/>
      <c r="G51" s="35"/>
      <c r="H51" s="34"/>
      <c r="I51" s="64"/>
      <c r="J51" s="61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1"/>
      <c r="Y51" s="59"/>
    </row>
    <row r="52" spans="2:25" s="60" customFormat="1" ht="17.25" customHeight="1" x14ac:dyDescent="0.2">
      <c r="B52" s="52" t="s">
        <v>44</v>
      </c>
      <c r="C52" s="32"/>
      <c r="D52" s="33"/>
      <c r="E52" s="33"/>
      <c r="F52" s="34"/>
      <c r="G52" s="35"/>
      <c r="H52" s="34"/>
      <c r="I52" s="64"/>
      <c r="J52" s="61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1"/>
      <c r="Y52" s="59"/>
    </row>
    <row r="53" spans="2:25" s="60" customFormat="1" ht="17.25" customHeight="1" x14ac:dyDescent="0.2">
      <c r="B53" s="52" t="s">
        <v>45</v>
      </c>
      <c r="C53" s="32"/>
      <c r="D53" s="33"/>
      <c r="E53" s="33"/>
      <c r="F53" s="34"/>
      <c r="G53" s="35"/>
      <c r="H53" s="34"/>
      <c r="I53" s="64"/>
      <c r="J53" s="61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1"/>
      <c r="Y53" s="59"/>
    </row>
    <row r="54" spans="2:25" s="60" customFormat="1" ht="17.25" customHeight="1" x14ac:dyDescent="0.2">
      <c r="B54" s="52"/>
      <c r="C54" s="32"/>
      <c r="D54" s="33"/>
      <c r="E54" s="33"/>
      <c r="F54" s="34"/>
      <c r="G54" s="35"/>
      <c r="H54" s="34"/>
      <c r="I54" s="64"/>
      <c r="J54" s="61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1"/>
      <c r="Y54" s="59"/>
    </row>
    <row r="55" spans="2:25" s="60" customFormat="1" ht="17.25" customHeight="1" x14ac:dyDescent="0.2">
      <c r="B55" s="52" t="s">
        <v>38</v>
      </c>
      <c r="C55" s="32">
        <v>49712</v>
      </c>
      <c r="D55" s="33">
        <v>50600</v>
      </c>
      <c r="E55" s="33"/>
      <c r="F55" s="34">
        <f t="shared" ref="F55:F56" si="21">D55-C55</f>
        <v>888</v>
      </c>
      <c r="G55" s="35">
        <f>AVERAGE(72,58)</f>
        <v>65</v>
      </c>
      <c r="H55" s="34">
        <f t="shared" ref="H55:H56" si="22">ROUND(F55*G55,2)</f>
        <v>57720</v>
      </c>
      <c r="I55" s="64"/>
      <c r="J55" s="61"/>
      <c r="K55" s="30"/>
      <c r="L55" s="30">
        <f>ROUND(H55/9,2)</f>
        <v>6413.33</v>
      </c>
      <c r="M55" s="30">
        <f>ROUND(H55*$M$3/9,2)</f>
        <v>577.20000000000005</v>
      </c>
      <c r="N55" s="30"/>
      <c r="O55" s="30"/>
      <c r="P55" s="30">
        <f>ROUND(H55*2*$P$3/9,2)</f>
        <v>705.47</v>
      </c>
      <c r="Q55" s="30">
        <f>ROUND((R55+S55+T55)*36/G55,2)</f>
        <v>616.66</v>
      </c>
      <c r="R55" s="30">
        <f>ROUND(H55*$R$3/12/27,2)</f>
        <v>311.76</v>
      </c>
      <c r="S55" s="30">
        <f>ROUND(H55*$S$3/12/27,2)</f>
        <v>534.44000000000005</v>
      </c>
      <c r="T55" s="30">
        <f>ROUND(H55*$T$3/12/27,2)</f>
        <v>267.22000000000003</v>
      </c>
      <c r="U55" s="30"/>
      <c r="V55" s="101">
        <f>(ROUND(F55/25,0)+1)*15</f>
        <v>555</v>
      </c>
      <c r="W55" s="30"/>
      <c r="X55" s="31"/>
      <c r="Y55" s="59"/>
    </row>
    <row r="56" spans="2:25" s="60" customFormat="1" ht="17.25" customHeight="1" x14ac:dyDescent="0.2">
      <c r="B56" s="52" t="s">
        <v>36</v>
      </c>
      <c r="C56" s="32">
        <v>49712</v>
      </c>
      <c r="D56" s="33">
        <v>50600</v>
      </c>
      <c r="E56" s="33"/>
      <c r="F56" s="34">
        <f t="shared" si="21"/>
        <v>888</v>
      </c>
      <c r="G56" s="35">
        <f>45/2</f>
        <v>22.5</v>
      </c>
      <c r="H56" s="34">
        <f t="shared" si="22"/>
        <v>19980</v>
      </c>
      <c r="I56" s="64"/>
      <c r="J56" s="61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1"/>
      <c r="Y56" s="59"/>
    </row>
    <row r="57" spans="2:25" s="60" customFormat="1" ht="17.25" customHeight="1" x14ac:dyDescent="0.2">
      <c r="B57" s="52"/>
      <c r="C57" s="32"/>
      <c r="D57" s="33"/>
      <c r="E57" s="33"/>
      <c r="F57" s="34"/>
      <c r="G57" s="35"/>
      <c r="H57" s="34"/>
      <c r="I57" s="64"/>
      <c r="J57" s="61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1"/>
      <c r="Y57" s="59"/>
    </row>
    <row r="58" spans="2:25" s="60" customFormat="1" ht="17.25" customHeight="1" x14ac:dyDescent="0.2">
      <c r="B58" s="52" t="s">
        <v>38</v>
      </c>
      <c r="C58" s="32">
        <v>50600</v>
      </c>
      <c r="D58" s="33">
        <v>52015</v>
      </c>
      <c r="E58" s="33"/>
      <c r="F58" s="34">
        <f t="shared" ref="F58:F59" si="23">D58-C58</f>
        <v>1415</v>
      </c>
      <c r="G58" s="35">
        <v>58</v>
      </c>
      <c r="H58" s="34">
        <f t="shared" ref="H58:H59" si="24">ROUND(F58*G58,2)</f>
        <v>82070</v>
      </c>
      <c r="I58" s="64"/>
      <c r="J58" s="61"/>
      <c r="K58" s="30"/>
      <c r="L58" s="30">
        <f>ROUND(H58/9,2)</f>
        <v>9118.89</v>
      </c>
      <c r="M58" s="30">
        <f>ROUND(H58*$M$3/9,2)</f>
        <v>820.7</v>
      </c>
      <c r="N58" s="30"/>
      <c r="O58" s="30"/>
      <c r="P58" s="30">
        <f>ROUND(H58*2*$P$3/9,2)</f>
        <v>1003.08</v>
      </c>
      <c r="Q58" s="30">
        <f>ROUND((R58+S58+T58)*36/G58,2)</f>
        <v>982.64</v>
      </c>
      <c r="R58" s="30">
        <f>ROUND(H58*$R$3/12/27,2)</f>
        <v>443.28</v>
      </c>
      <c r="S58" s="30">
        <f>ROUND(H58*$S$3/12/27,2)</f>
        <v>759.91</v>
      </c>
      <c r="T58" s="30">
        <f>ROUND(H58*$T$3/12/27,2)</f>
        <v>379.95</v>
      </c>
      <c r="U58" s="30"/>
      <c r="V58" s="101">
        <f>(ROUND(F58/25,0)+1)*15</f>
        <v>870</v>
      </c>
      <c r="W58" s="30"/>
      <c r="X58" s="31"/>
      <c r="Y58" s="59"/>
    </row>
    <row r="59" spans="2:25" s="60" customFormat="1" ht="17.25" customHeight="1" x14ac:dyDescent="0.2">
      <c r="B59" s="52" t="s">
        <v>36</v>
      </c>
      <c r="C59" s="32">
        <v>50600</v>
      </c>
      <c r="D59" s="33">
        <v>52015</v>
      </c>
      <c r="E59" s="33"/>
      <c r="F59" s="34">
        <f t="shared" si="23"/>
        <v>1415</v>
      </c>
      <c r="G59" s="35">
        <v>30</v>
      </c>
      <c r="H59" s="34">
        <f t="shared" si="24"/>
        <v>42450</v>
      </c>
      <c r="I59" s="64"/>
      <c r="J59" s="61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1"/>
      <c r="Y59" s="59"/>
    </row>
    <row r="60" spans="2:25" s="60" customFormat="1" ht="17.25" customHeight="1" x14ac:dyDescent="0.2">
      <c r="B60" s="52"/>
      <c r="C60" s="32"/>
      <c r="D60" s="33"/>
      <c r="E60" s="33"/>
      <c r="F60" s="34"/>
      <c r="G60" s="35"/>
      <c r="H60" s="34"/>
      <c r="I60" s="64"/>
      <c r="J60" s="61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1"/>
      <c r="Y60" s="59"/>
    </row>
    <row r="61" spans="2:25" s="60" customFormat="1" ht="17.25" customHeight="1" x14ac:dyDescent="0.2">
      <c r="B61" s="52" t="s">
        <v>67</v>
      </c>
      <c r="C61" s="32">
        <v>52015</v>
      </c>
      <c r="D61" s="33">
        <f>C61+17</f>
        <v>52032</v>
      </c>
      <c r="E61" s="33"/>
      <c r="F61" s="34">
        <f>D61-C61</f>
        <v>17</v>
      </c>
      <c r="G61" s="35">
        <v>58</v>
      </c>
      <c r="H61" s="34">
        <f t="shared" ref="H61:H62" si="25">ROUND(F61*G61,2)</f>
        <v>986</v>
      </c>
      <c r="I61" s="64"/>
      <c r="J61" s="61"/>
      <c r="K61" s="30">
        <f>ROUND(H61/9,2)</f>
        <v>109.56</v>
      </c>
      <c r="L61" s="30"/>
      <c r="M61" s="30">
        <f>ROUND(H61*$M$3/9,2)</f>
        <v>9.86</v>
      </c>
      <c r="N61" s="30">
        <f>ROUND((H62-H61)*$N$3/9,2)</f>
        <v>1.42</v>
      </c>
      <c r="O61" s="30"/>
      <c r="P61" s="30"/>
      <c r="Q61" s="30"/>
      <c r="R61" s="30"/>
      <c r="S61" s="30"/>
      <c r="T61" s="30"/>
      <c r="U61" s="30"/>
      <c r="V61" s="101"/>
      <c r="W61" s="30"/>
      <c r="X61" s="31"/>
      <c r="Y61" s="59"/>
    </row>
    <row r="62" spans="2:25" s="60" customFormat="1" ht="17.25" customHeight="1" x14ac:dyDescent="0.2">
      <c r="B62" s="52" t="s">
        <v>42</v>
      </c>
      <c r="C62" s="32">
        <v>52015</v>
      </c>
      <c r="D62" s="33">
        <f t="shared" ref="D62:D63" si="26">C62+21</f>
        <v>52036</v>
      </c>
      <c r="E62" s="33"/>
      <c r="F62" s="34">
        <f>D62-C62</f>
        <v>21</v>
      </c>
      <c r="G62" s="35">
        <v>58</v>
      </c>
      <c r="H62" s="34">
        <f t="shared" si="25"/>
        <v>1218</v>
      </c>
      <c r="I62" s="64"/>
      <c r="J62" s="61"/>
      <c r="K62" s="30"/>
      <c r="L62" s="30"/>
      <c r="M62" s="30"/>
      <c r="N62" s="30">
        <f>ROUND(H62*$N$3/9,2)</f>
        <v>7.44</v>
      </c>
      <c r="O62" s="30"/>
      <c r="P62" s="30"/>
      <c r="Q62" s="30">
        <f>ROUND((R62+S62+T62)*36/G62,2)</f>
        <v>7.58</v>
      </c>
      <c r="R62" s="30">
        <f>ROUND(H62*$R$3/12/27,2)</f>
        <v>6.58</v>
      </c>
      <c r="S62" s="30"/>
      <c r="T62" s="30">
        <f>ROUND(H62*$T$3/12/27,2)</f>
        <v>5.64</v>
      </c>
      <c r="U62" s="30"/>
      <c r="V62" s="101"/>
      <c r="W62" s="30"/>
      <c r="X62" s="31"/>
      <c r="Y62" s="59"/>
    </row>
    <row r="63" spans="2:25" s="60" customFormat="1" ht="17.25" customHeight="1" x14ac:dyDescent="0.2">
      <c r="B63" s="52" t="s">
        <v>34</v>
      </c>
      <c r="C63" s="32">
        <v>52015</v>
      </c>
      <c r="D63" s="33">
        <f t="shared" si="26"/>
        <v>52036</v>
      </c>
      <c r="E63" s="33"/>
      <c r="F63" s="34">
        <f t="shared" ref="F63" si="27">D63-C63</f>
        <v>21</v>
      </c>
      <c r="G63" s="35">
        <v>58</v>
      </c>
      <c r="H63" s="34"/>
      <c r="I63" s="64"/>
      <c r="J63" s="61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>
        <f>G63</f>
        <v>58</v>
      </c>
      <c r="V63" s="101"/>
      <c r="W63" s="30"/>
      <c r="X63" s="31"/>
      <c r="Y63" s="59"/>
    </row>
    <row r="64" spans="2:25" s="60" customFormat="1" ht="17.25" customHeight="1" x14ac:dyDescent="0.2">
      <c r="B64" s="52"/>
      <c r="C64" s="32"/>
      <c r="D64" s="33"/>
      <c r="E64" s="33"/>
      <c r="F64" s="34"/>
      <c r="G64" s="35"/>
      <c r="H64" s="34"/>
      <c r="I64" s="64"/>
      <c r="J64" s="61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1"/>
      <c r="Y64" s="59"/>
    </row>
    <row r="65" spans="2:25" s="60" customFormat="1" ht="17.25" customHeight="1" x14ac:dyDescent="0.2">
      <c r="B65" s="52" t="s">
        <v>48</v>
      </c>
      <c r="C65" s="32"/>
      <c r="D65" s="33"/>
      <c r="E65" s="33"/>
      <c r="F65" s="34"/>
      <c r="G65" s="35"/>
      <c r="H65" s="34"/>
      <c r="I65" s="64"/>
      <c r="J65" s="61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1"/>
      <c r="Y65" s="59"/>
    </row>
    <row r="66" spans="2:25" s="60" customFormat="1" ht="17.25" customHeight="1" x14ac:dyDescent="0.2">
      <c r="B66" s="52"/>
      <c r="C66" s="32"/>
      <c r="D66" s="33"/>
      <c r="E66" s="33"/>
      <c r="F66" s="34"/>
      <c r="G66" s="35"/>
      <c r="H66" s="34"/>
      <c r="I66" s="64"/>
      <c r="J66" s="61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1"/>
      <c r="Y66" s="59"/>
    </row>
    <row r="67" spans="2:25" s="60" customFormat="1" ht="17.25" customHeight="1" x14ac:dyDescent="0.2">
      <c r="B67" s="52" t="s">
        <v>67</v>
      </c>
      <c r="C67" s="32">
        <f>D67-17</f>
        <v>54618</v>
      </c>
      <c r="D67" s="33">
        <v>54635</v>
      </c>
      <c r="E67" s="33"/>
      <c r="F67" s="34">
        <f>D67-C67</f>
        <v>17</v>
      </c>
      <c r="G67" s="35">
        <v>58</v>
      </c>
      <c r="H67" s="34">
        <f t="shared" ref="H67" si="28">ROUND(F67*G67,2)</f>
        <v>986</v>
      </c>
      <c r="I67" s="64"/>
      <c r="J67" s="61"/>
      <c r="K67" s="30">
        <f>ROUND(H67/9,2)</f>
        <v>109.56</v>
      </c>
      <c r="L67" s="30"/>
      <c r="M67" s="30">
        <f>ROUND(H67*$M$3/9,2)</f>
        <v>9.86</v>
      </c>
      <c r="N67" s="30">
        <f>ROUND((H68-H67)*$N$3/9,2)</f>
        <v>1.42</v>
      </c>
      <c r="O67" s="30"/>
      <c r="P67" s="30"/>
      <c r="Q67" s="30"/>
      <c r="R67" s="30"/>
      <c r="S67" s="30"/>
      <c r="T67" s="30"/>
      <c r="U67" s="30"/>
      <c r="V67" s="101"/>
      <c r="W67" s="30"/>
      <c r="X67" s="31"/>
      <c r="Y67" s="59"/>
    </row>
    <row r="68" spans="2:25" s="60" customFormat="1" ht="17.25" customHeight="1" x14ac:dyDescent="0.2">
      <c r="B68" s="52" t="s">
        <v>42</v>
      </c>
      <c r="C68" s="32">
        <f t="shared" ref="C68:C69" si="29">D68-21</f>
        <v>54614</v>
      </c>
      <c r="D68" s="33">
        <v>54635</v>
      </c>
      <c r="E68" s="33"/>
      <c r="F68" s="34">
        <f>D68-C68</f>
        <v>21</v>
      </c>
      <c r="G68" s="35">
        <v>58</v>
      </c>
      <c r="H68" s="34">
        <f t="shared" ref="H68" si="30">ROUND(F68*G68,2)</f>
        <v>1218</v>
      </c>
      <c r="I68" s="64"/>
      <c r="J68" s="61"/>
      <c r="K68" s="30"/>
      <c r="L68" s="30"/>
      <c r="M68" s="30"/>
      <c r="N68" s="30">
        <f>ROUND(H68*$N$3/9,2)</f>
        <v>7.44</v>
      </c>
      <c r="O68" s="30"/>
      <c r="P68" s="30"/>
      <c r="Q68" s="30">
        <f>ROUND((R68+S68+T68)*36/G68,2)</f>
        <v>7.58</v>
      </c>
      <c r="R68" s="30">
        <f>ROUND(H68*$R$3/12/27,2)</f>
        <v>6.58</v>
      </c>
      <c r="S68" s="30"/>
      <c r="T68" s="30">
        <f>ROUND(H68*$T$3/12/27,2)</f>
        <v>5.64</v>
      </c>
      <c r="U68" s="30"/>
      <c r="V68" s="101"/>
      <c r="W68" s="30"/>
      <c r="X68" s="31"/>
      <c r="Y68" s="59"/>
    </row>
    <row r="69" spans="2:25" s="60" customFormat="1" ht="17.25" customHeight="1" x14ac:dyDescent="0.2">
      <c r="B69" s="52" t="s">
        <v>34</v>
      </c>
      <c r="C69" s="32">
        <f t="shared" si="29"/>
        <v>54614</v>
      </c>
      <c r="D69" s="33">
        <v>54635</v>
      </c>
      <c r="E69" s="33"/>
      <c r="F69" s="34">
        <f t="shared" ref="F69" si="31">D69-C69</f>
        <v>21</v>
      </c>
      <c r="G69" s="35">
        <v>58</v>
      </c>
      <c r="H69" s="34"/>
      <c r="I69" s="64"/>
      <c r="J69" s="61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>
        <f>G69</f>
        <v>58</v>
      </c>
      <c r="V69" s="101"/>
      <c r="W69" s="30"/>
      <c r="X69" s="31"/>
      <c r="Y69" s="59"/>
    </row>
    <row r="70" spans="2:25" s="60" customFormat="1" ht="17.25" customHeight="1" x14ac:dyDescent="0.2">
      <c r="B70" s="52"/>
      <c r="C70" s="32"/>
      <c r="D70" s="33"/>
      <c r="E70" s="33"/>
      <c r="F70" s="34"/>
      <c r="G70" s="35"/>
      <c r="H70" s="34"/>
      <c r="I70" s="64"/>
      <c r="J70" s="61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1"/>
      <c r="Y70" s="59"/>
    </row>
    <row r="71" spans="2:25" s="60" customFormat="1" ht="17.25" customHeight="1" x14ac:dyDescent="0.2">
      <c r="B71" s="52" t="s">
        <v>38</v>
      </c>
      <c r="C71" s="32">
        <v>54635</v>
      </c>
      <c r="D71" s="33">
        <v>56746.67</v>
      </c>
      <c r="E71" s="33"/>
      <c r="F71" s="34">
        <f t="shared" ref="F71:F72" si="32">D71-C71</f>
        <v>2111.6699999999983</v>
      </c>
      <c r="G71" s="35">
        <v>58</v>
      </c>
      <c r="H71" s="34">
        <f t="shared" ref="H71:H72" si="33">ROUND(F71*G71,2)</f>
        <v>122476.86</v>
      </c>
      <c r="I71" s="64"/>
      <c r="J71" s="61"/>
      <c r="K71" s="30"/>
      <c r="L71" s="30">
        <f>ROUND(H71/9,2)</f>
        <v>13608.54</v>
      </c>
      <c r="M71" s="30">
        <f>ROUND(H71*$M$3/9,2)</f>
        <v>1224.77</v>
      </c>
      <c r="N71" s="30"/>
      <c r="O71" s="30"/>
      <c r="P71" s="30">
        <f>ROUND(H71*2*$P$3/9,2)</f>
        <v>1496.94</v>
      </c>
      <c r="Q71" s="30">
        <f>ROUND((R71+S71+T71)*36/G71,2)</f>
        <v>1466.44</v>
      </c>
      <c r="R71" s="30">
        <f>ROUND(H71*$R$3/12/27,2)</f>
        <v>661.53</v>
      </c>
      <c r="S71" s="30">
        <f>ROUND(H71*$S$3/12/27,2)</f>
        <v>1134.05</v>
      </c>
      <c r="T71" s="30">
        <f>ROUND(H71*$T$3/12/27,2)</f>
        <v>567.02</v>
      </c>
      <c r="U71" s="30"/>
      <c r="V71" s="101">
        <f>(ROUND(F71/25,0)+1)*15</f>
        <v>1275</v>
      </c>
      <c r="W71" s="30"/>
      <c r="X71" s="31"/>
      <c r="Y71" s="59"/>
    </row>
    <row r="72" spans="2:25" s="60" customFormat="1" ht="17.25" customHeight="1" x14ac:dyDescent="0.2">
      <c r="B72" s="52" t="s">
        <v>36</v>
      </c>
      <c r="C72" s="32">
        <v>54635</v>
      </c>
      <c r="D72" s="33">
        <v>56746.67</v>
      </c>
      <c r="E72" s="33"/>
      <c r="F72" s="34">
        <f t="shared" si="32"/>
        <v>2111.6699999999983</v>
      </c>
      <c r="G72" s="35">
        <v>30</v>
      </c>
      <c r="H72" s="34">
        <f t="shared" si="33"/>
        <v>63350.1</v>
      </c>
      <c r="I72" s="64"/>
      <c r="J72" s="61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1"/>
      <c r="Y72" s="59"/>
    </row>
    <row r="73" spans="2:25" s="60" customFormat="1" ht="17.25" customHeight="1" x14ac:dyDescent="0.2">
      <c r="B73" s="52"/>
      <c r="C73" s="32"/>
      <c r="D73" s="33"/>
      <c r="E73" s="33"/>
      <c r="F73" s="34"/>
      <c r="G73" s="35"/>
      <c r="H73" s="34"/>
      <c r="I73" s="64"/>
      <c r="J73" s="61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1"/>
      <c r="Y73" s="59"/>
    </row>
    <row r="74" spans="2:25" s="60" customFormat="1" ht="17.25" customHeight="1" x14ac:dyDescent="0.2">
      <c r="B74" s="52" t="s">
        <v>44</v>
      </c>
      <c r="C74" s="32"/>
      <c r="D74" s="33"/>
      <c r="E74" s="33"/>
      <c r="F74" s="34"/>
      <c r="G74" s="35"/>
      <c r="H74" s="34"/>
      <c r="I74" s="64"/>
      <c r="J74" s="61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1"/>
      <c r="Y74" s="59"/>
    </row>
    <row r="75" spans="2:25" s="60" customFormat="1" ht="17.25" customHeight="1" x14ac:dyDescent="0.2">
      <c r="B75" s="52" t="s">
        <v>46</v>
      </c>
      <c r="C75" s="32"/>
      <c r="D75" s="33"/>
      <c r="E75" s="33"/>
      <c r="F75" s="34"/>
      <c r="G75" s="35"/>
      <c r="H75" s="34"/>
      <c r="I75" s="64"/>
      <c r="J75" s="61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1"/>
      <c r="Y75" s="59"/>
    </row>
    <row r="76" spans="2:25" s="60" customFormat="1" ht="17.25" customHeight="1" x14ac:dyDescent="0.2">
      <c r="B76" s="52"/>
      <c r="C76" s="32"/>
      <c r="D76" s="33"/>
      <c r="E76" s="33"/>
      <c r="F76" s="34"/>
      <c r="G76" s="35"/>
      <c r="H76" s="34"/>
      <c r="I76" s="64"/>
      <c r="J76" s="61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1"/>
      <c r="Y76" s="59"/>
    </row>
    <row r="77" spans="2:25" s="60" customFormat="1" ht="17.25" customHeight="1" x14ac:dyDescent="0.2">
      <c r="B77" s="52" t="s">
        <v>38</v>
      </c>
      <c r="C77" s="32">
        <v>56700</v>
      </c>
      <c r="D77" s="33">
        <v>58400</v>
      </c>
      <c r="E77" s="33"/>
      <c r="F77" s="34">
        <f t="shared" ref="F77:F78" si="34">D77-C77</f>
        <v>1700</v>
      </c>
      <c r="G77" s="35">
        <v>58</v>
      </c>
      <c r="H77" s="34">
        <f t="shared" ref="H77:H78" si="35">ROUND(F77*G77,2)</f>
        <v>98600</v>
      </c>
      <c r="I77" s="64"/>
      <c r="J77" s="61"/>
      <c r="K77" s="30"/>
      <c r="L77" s="30">
        <f>ROUND(H77/9,2)</f>
        <v>10955.56</v>
      </c>
      <c r="M77" s="30">
        <f>ROUND(H77*$M$3/9,2)</f>
        <v>986</v>
      </c>
      <c r="N77" s="30"/>
      <c r="O77" s="30"/>
      <c r="P77" s="30">
        <f>ROUND(H77*2*$P$3/9,2)</f>
        <v>1205.1099999999999</v>
      </c>
      <c r="Q77" s="30">
        <f>ROUND((R77+S77+T77)*36/G77,2)</f>
        <v>1180.55</v>
      </c>
      <c r="R77" s="30">
        <f>ROUND(H77*$R$3/12/27,2)</f>
        <v>532.55999999999995</v>
      </c>
      <c r="S77" s="30">
        <f>ROUND(H77*$S$3/12/27,2)</f>
        <v>912.96</v>
      </c>
      <c r="T77" s="30">
        <f>ROUND(H77*$T$3/12/27,2)</f>
        <v>456.48</v>
      </c>
      <c r="U77" s="30"/>
      <c r="V77" s="101">
        <f>(ROUND(F77/25,0)+1)*15</f>
        <v>1035</v>
      </c>
      <c r="W77" s="30"/>
      <c r="X77" s="31"/>
      <c r="Y77" s="59"/>
    </row>
    <row r="78" spans="2:25" s="60" customFormat="1" ht="17.25" customHeight="1" x14ac:dyDescent="0.2">
      <c r="B78" s="52" t="s">
        <v>36</v>
      </c>
      <c r="C78" s="32">
        <v>56700</v>
      </c>
      <c r="D78" s="33">
        <v>58400</v>
      </c>
      <c r="E78" s="33"/>
      <c r="F78" s="34">
        <f t="shared" si="34"/>
        <v>1700</v>
      </c>
      <c r="G78" s="35">
        <v>30</v>
      </c>
      <c r="H78" s="34">
        <f t="shared" si="35"/>
        <v>51000</v>
      </c>
      <c r="I78" s="64"/>
      <c r="J78" s="61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1"/>
      <c r="Y78" s="59"/>
    </row>
    <row r="79" spans="2:25" s="60" customFormat="1" ht="17.25" customHeight="1" x14ac:dyDescent="0.2">
      <c r="B79" s="52"/>
      <c r="C79" s="32"/>
      <c r="D79" s="33"/>
      <c r="E79" s="33"/>
      <c r="F79" s="34"/>
      <c r="G79" s="35"/>
      <c r="H79" s="34"/>
      <c r="I79" s="64"/>
      <c r="J79" s="61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1"/>
      <c r="Y79" s="59"/>
    </row>
    <row r="80" spans="2:25" s="60" customFormat="1" ht="17.25" customHeight="1" x14ac:dyDescent="0.2">
      <c r="B80" s="52" t="s">
        <v>67</v>
      </c>
      <c r="C80" s="32">
        <v>58400</v>
      </c>
      <c r="D80" s="33">
        <f>C80+17</f>
        <v>58417</v>
      </c>
      <c r="E80" s="33"/>
      <c r="F80" s="34">
        <f>D80-C80</f>
        <v>17</v>
      </c>
      <c r="G80" s="35">
        <v>58</v>
      </c>
      <c r="H80" s="34"/>
      <c r="I80" s="64">
        <v>1603.97</v>
      </c>
      <c r="J80" s="61"/>
      <c r="K80" s="30">
        <f>ROUND(I80/9,2)</f>
        <v>178.22</v>
      </c>
      <c r="L80" s="30"/>
      <c r="M80" s="30">
        <f>ROUND(I80*$M$3/9,2)</f>
        <v>16.04</v>
      </c>
      <c r="N80" s="30">
        <f>ROUND((I81-I80)*$N$3/9,2)</f>
        <v>1.77</v>
      </c>
      <c r="O80" s="30"/>
      <c r="P80" s="30"/>
      <c r="Q80" s="30"/>
      <c r="R80" s="30"/>
      <c r="S80" s="30"/>
      <c r="T80" s="30"/>
      <c r="U80" s="30"/>
      <c r="V80" s="101"/>
      <c r="W80" s="30"/>
      <c r="X80" s="31"/>
      <c r="Y80" s="59"/>
    </row>
    <row r="81" spans="2:25" s="60" customFormat="1" ht="17.25" customHeight="1" x14ac:dyDescent="0.2">
      <c r="B81" s="52" t="s">
        <v>42</v>
      </c>
      <c r="C81" s="32">
        <v>58400</v>
      </c>
      <c r="D81" s="33">
        <f t="shared" ref="D81:D82" si="36">C81+21</f>
        <v>58421</v>
      </c>
      <c r="E81" s="33"/>
      <c r="F81" s="34">
        <f>D81-C81</f>
        <v>21</v>
      </c>
      <c r="G81" s="35">
        <v>58</v>
      </c>
      <c r="H81" s="34"/>
      <c r="I81" s="64">
        <v>1893.91</v>
      </c>
      <c r="J81" s="61"/>
      <c r="K81" s="30"/>
      <c r="L81" s="30"/>
      <c r="M81" s="30"/>
      <c r="N81" s="30">
        <f>ROUND(I81*$N$3/9,2)</f>
        <v>11.57</v>
      </c>
      <c r="O81" s="30"/>
      <c r="P81" s="30"/>
      <c r="Q81" s="30">
        <f>ROUND((R81+S81+T81)*36/G81,2)</f>
        <v>11.79</v>
      </c>
      <c r="R81" s="30">
        <f>ROUND(I81*$R$3/12/27,2)</f>
        <v>10.23</v>
      </c>
      <c r="S81" s="30"/>
      <c r="T81" s="30">
        <f>ROUND(I81*$T$3/12/27,2)</f>
        <v>8.77</v>
      </c>
      <c r="U81" s="30"/>
      <c r="V81" s="101"/>
      <c r="W81" s="30"/>
      <c r="X81" s="31"/>
      <c r="Y81" s="59"/>
    </row>
    <row r="82" spans="2:25" s="60" customFormat="1" ht="17.25" customHeight="1" x14ac:dyDescent="0.2">
      <c r="B82" s="52" t="s">
        <v>34</v>
      </c>
      <c r="C82" s="32">
        <v>58400</v>
      </c>
      <c r="D82" s="33">
        <f t="shared" si="36"/>
        <v>58421</v>
      </c>
      <c r="E82" s="33"/>
      <c r="F82" s="34">
        <f t="shared" ref="F82" si="37">D82-C82</f>
        <v>21</v>
      </c>
      <c r="G82" s="35">
        <v>65</v>
      </c>
      <c r="H82" s="34"/>
      <c r="I82" s="64"/>
      <c r="J82" s="61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>
        <f>G82</f>
        <v>65</v>
      </c>
      <c r="V82" s="101"/>
      <c r="W82" s="30"/>
      <c r="X82" s="31"/>
      <c r="Y82" s="59"/>
    </row>
    <row r="83" spans="2:25" s="60" customFormat="1" ht="17.25" customHeight="1" x14ac:dyDescent="0.2">
      <c r="B83" s="52"/>
      <c r="C83" s="32"/>
      <c r="D83" s="33"/>
      <c r="E83" s="33"/>
      <c r="F83" s="34"/>
      <c r="G83" s="35"/>
      <c r="H83" s="34"/>
      <c r="I83" s="64"/>
      <c r="J83" s="61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1"/>
      <c r="Y83" s="59"/>
    </row>
    <row r="84" spans="2:25" s="60" customFormat="1" ht="17.25" customHeight="1" x14ac:dyDescent="0.2">
      <c r="B84" s="52" t="s">
        <v>49</v>
      </c>
      <c r="C84" s="32"/>
      <c r="D84" s="33"/>
      <c r="E84" s="33"/>
      <c r="F84" s="34"/>
      <c r="G84" s="35"/>
      <c r="H84" s="34"/>
      <c r="I84" s="64"/>
      <c r="J84" s="61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1"/>
      <c r="Y84" s="59"/>
    </row>
    <row r="85" spans="2:25" s="60" customFormat="1" ht="17.25" customHeight="1" x14ac:dyDescent="0.2">
      <c r="B85" s="52"/>
      <c r="C85" s="32"/>
      <c r="D85" s="33"/>
      <c r="E85" s="33"/>
      <c r="F85" s="34"/>
      <c r="G85" s="35"/>
      <c r="H85" s="34"/>
      <c r="I85" s="64"/>
      <c r="J85" s="61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1"/>
      <c r="Y85" s="59"/>
    </row>
    <row r="86" spans="2:25" s="60" customFormat="1" ht="17.25" customHeight="1" x14ac:dyDescent="0.2">
      <c r="B86" s="52" t="s">
        <v>67</v>
      </c>
      <c r="C86" s="32">
        <f>D86-17</f>
        <v>58640</v>
      </c>
      <c r="D86" s="33">
        <v>58657</v>
      </c>
      <c r="E86" s="33"/>
      <c r="F86" s="34">
        <f>D86-C86</f>
        <v>17</v>
      </c>
      <c r="G86" s="35">
        <v>58</v>
      </c>
      <c r="H86" s="34"/>
      <c r="I86" s="64">
        <v>1574.69</v>
      </c>
      <c r="J86" s="61"/>
      <c r="K86" s="30">
        <f>ROUND(I86/9,2)</f>
        <v>174.97</v>
      </c>
      <c r="L86" s="30"/>
      <c r="M86" s="30">
        <f>ROUND(I86*$M$3/9,2)</f>
        <v>15.75</v>
      </c>
      <c r="N86" s="30">
        <f>ROUND((I87-I86)*$N$3/9,2)</f>
        <v>2.0499999999999998</v>
      </c>
      <c r="O86" s="30"/>
      <c r="P86" s="30"/>
      <c r="Q86" s="30"/>
      <c r="R86" s="30"/>
      <c r="S86" s="30"/>
      <c r="T86" s="30"/>
      <c r="U86" s="30"/>
      <c r="V86" s="101"/>
      <c r="W86" s="30"/>
      <c r="X86" s="31"/>
      <c r="Y86" s="59"/>
    </row>
    <row r="87" spans="2:25" s="60" customFormat="1" ht="17.25" customHeight="1" x14ac:dyDescent="0.2">
      <c r="B87" s="52" t="s">
        <v>42</v>
      </c>
      <c r="C87" s="32">
        <f t="shared" ref="C87:C88" si="38">D87-21</f>
        <v>58636</v>
      </c>
      <c r="D87" s="33">
        <v>58657</v>
      </c>
      <c r="E87" s="33"/>
      <c r="F87" s="34">
        <f>D87-C87</f>
        <v>21</v>
      </c>
      <c r="G87" s="35">
        <v>58</v>
      </c>
      <c r="H87" s="34"/>
      <c r="I87" s="64">
        <v>1910.88</v>
      </c>
      <c r="J87" s="61"/>
      <c r="K87" s="30"/>
      <c r="L87" s="30"/>
      <c r="M87" s="30"/>
      <c r="N87" s="30">
        <f>ROUND(I87*$N$3/9,2)</f>
        <v>11.68</v>
      </c>
      <c r="O87" s="30"/>
      <c r="P87" s="30"/>
      <c r="Q87" s="30">
        <f>ROUND((R87+S87+T87)*36/G87,2)</f>
        <v>11.9</v>
      </c>
      <c r="R87" s="30">
        <f>ROUND(I87*$R$3/12/27,2)</f>
        <v>10.32</v>
      </c>
      <c r="S87" s="30"/>
      <c r="T87" s="30">
        <f>ROUND(I87*$T$3/12/27,2)</f>
        <v>8.85</v>
      </c>
      <c r="U87" s="30"/>
      <c r="V87" s="101"/>
      <c r="W87" s="30"/>
      <c r="X87" s="31"/>
      <c r="Y87" s="59"/>
    </row>
    <row r="88" spans="2:25" s="60" customFormat="1" ht="17.25" customHeight="1" x14ac:dyDescent="0.2">
      <c r="B88" s="52" t="s">
        <v>34</v>
      </c>
      <c r="C88" s="32">
        <f t="shared" si="38"/>
        <v>58636</v>
      </c>
      <c r="D88" s="33">
        <v>58657</v>
      </c>
      <c r="E88" s="33"/>
      <c r="F88" s="34">
        <f t="shared" ref="F88" si="39">D88-C88</f>
        <v>21</v>
      </c>
      <c r="G88" s="35">
        <v>65</v>
      </c>
      <c r="H88" s="34"/>
      <c r="I88" s="64"/>
      <c r="J88" s="61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>
        <f>G88</f>
        <v>65</v>
      </c>
      <c r="V88" s="101"/>
      <c r="W88" s="30"/>
      <c r="X88" s="31"/>
      <c r="Y88" s="59"/>
    </row>
    <row r="89" spans="2:25" s="60" customFormat="1" ht="17.25" customHeight="1" x14ac:dyDescent="0.2">
      <c r="B89" s="52"/>
      <c r="C89" s="32"/>
      <c r="D89" s="33"/>
      <c r="E89" s="33"/>
      <c r="F89" s="34"/>
      <c r="G89" s="35"/>
      <c r="H89" s="34"/>
      <c r="I89" s="64"/>
      <c r="J89" s="61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1"/>
      <c r="Y89" s="59"/>
    </row>
    <row r="90" spans="2:25" s="60" customFormat="1" ht="17.25" customHeight="1" x14ac:dyDescent="0.2">
      <c r="B90" s="52" t="s">
        <v>38</v>
      </c>
      <c r="C90" s="32">
        <v>58657</v>
      </c>
      <c r="D90" s="33">
        <v>61986</v>
      </c>
      <c r="E90" s="33"/>
      <c r="F90" s="34">
        <f t="shared" ref="F90:F91" si="40">D90-C90</f>
        <v>3329</v>
      </c>
      <c r="G90" s="35">
        <v>58</v>
      </c>
      <c r="H90" s="34">
        <f t="shared" ref="H90:H91" si="41">ROUND(F90*G90,2)</f>
        <v>193082</v>
      </c>
      <c r="I90" s="64"/>
      <c r="J90" s="61"/>
      <c r="K90" s="30"/>
      <c r="L90" s="30">
        <f>ROUND(H90/9,2)</f>
        <v>21453.56</v>
      </c>
      <c r="M90" s="30">
        <f>ROUND(H90*$M$3/9,2)</f>
        <v>1930.82</v>
      </c>
      <c r="N90" s="30"/>
      <c r="O90" s="30"/>
      <c r="P90" s="30">
        <f>ROUND(H90*2*$P$3/9,2)</f>
        <v>2359.89</v>
      </c>
      <c r="Q90" s="30">
        <f>ROUND((R90+S90+T90)*36/G90,2)</f>
        <v>2311.81</v>
      </c>
      <c r="R90" s="30">
        <f>ROUND(H90*$R$3/12/27,2)</f>
        <v>1042.8800000000001</v>
      </c>
      <c r="S90" s="30">
        <f>ROUND(H90*$S$3/12/27,2)</f>
        <v>1787.8</v>
      </c>
      <c r="T90" s="30">
        <f>ROUND(H90*$T$3/12/27,2)</f>
        <v>893.9</v>
      </c>
      <c r="U90" s="30"/>
      <c r="V90" s="101">
        <f>(ROUND(F90/25,0)+1)*15</f>
        <v>2010</v>
      </c>
      <c r="W90" s="30"/>
      <c r="X90" s="31"/>
      <c r="Y90" s="59"/>
    </row>
    <row r="91" spans="2:25" s="60" customFormat="1" ht="17.25" customHeight="1" x14ac:dyDescent="0.2">
      <c r="B91" s="52" t="s">
        <v>36</v>
      </c>
      <c r="C91" s="32">
        <v>58657</v>
      </c>
      <c r="D91" s="33">
        <v>61986</v>
      </c>
      <c r="E91" s="33"/>
      <c r="F91" s="34">
        <f t="shared" si="40"/>
        <v>3329</v>
      </c>
      <c r="G91" s="35">
        <v>30</v>
      </c>
      <c r="H91" s="34">
        <f t="shared" si="41"/>
        <v>99870</v>
      </c>
      <c r="I91" s="64"/>
      <c r="J91" s="61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1"/>
      <c r="Y91" s="59"/>
    </row>
    <row r="92" spans="2:25" s="60" customFormat="1" ht="17.25" customHeight="1" x14ac:dyDescent="0.2">
      <c r="B92" s="52"/>
      <c r="C92" s="32"/>
      <c r="D92" s="33"/>
      <c r="E92" s="33"/>
      <c r="F92" s="34"/>
      <c r="G92" s="35"/>
      <c r="H92" s="34"/>
      <c r="I92" s="64"/>
      <c r="J92" s="61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1"/>
      <c r="Y92" s="59"/>
    </row>
    <row r="93" spans="2:25" s="60" customFormat="1" ht="17.25" customHeight="1" x14ac:dyDescent="0.2">
      <c r="B93" s="52" t="s">
        <v>67</v>
      </c>
      <c r="C93" s="32">
        <v>61986</v>
      </c>
      <c r="D93" s="33">
        <f>C93+17</f>
        <v>62003</v>
      </c>
      <c r="E93" s="33"/>
      <c r="F93" s="34">
        <f>D93-C93</f>
        <v>17</v>
      </c>
      <c r="G93" s="35">
        <v>58</v>
      </c>
      <c r="H93" s="34"/>
      <c r="I93" s="64">
        <v>1703.52</v>
      </c>
      <c r="J93" s="61"/>
      <c r="K93" s="30">
        <f>ROUND(I93/9,2)</f>
        <v>189.28</v>
      </c>
      <c r="L93" s="30"/>
      <c r="M93" s="30">
        <f>ROUND(I93*$M$3/9,2)</f>
        <v>17.04</v>
      </c>
      <c r="N93" s="30">
        <f>ROUND((I94-I93)*$N$3/9,2)</f>
        <v>1.67</v>
      </c>
      <c r="O93" s="30"/>
      <c r="P93" s="30"/>
      <c r="Q93" s="30"/>
      <c r="R93" s="30"/>
      <c r="S93" s="30"/>
      <c r="T93" s="30"/>
      <c r="U93" s="30"/>
      <c r="V93" s="101"/>
      <c r="W93" s="30"/>
      <c r="X93" s="31"/>
      <c r="Y93" s="59"/>
    </row>
    <row r="94" spans="2:25" s="60" customFormat="1" ht="17.25" customHeight="1" x14ac:dyDescent="0.2">
      <c r="B94" s="52" t="s">
        <v>42</v>
      </c>
      <c r="C94" s="32">
        <v>61986</v>
      </c>
      <c r="D94" s="33">
        <f t="shared" ref="D94:D95" si="42">C94+21</f>
        <v>62007</v>
      </c>
      <c r="E94" s="33"/>
      <c r="F94" s="34">
        <f>D94-C94</f>
        <v>21</v>
      </c>
      <c r="G94" s="35">
        <v>58</v>
      </c>
      <c r="H94" s="34"/>
      <c r="I94" s="64">
        <v>1977.57</v>
      </c>
      <c r="J94" s="61"/>
      <c r="K94" s="30"/>
      <c r="L94" s="30"/>
      <c r="M94" s="30"/>
      <c r="N94" s="30">
        <f>ROUND(I94*$N$3/9,2)</f>
        <v>12.09</v>
      </c>
      <c r="O94" s="30"/>
      <c r="P94" s="30"/>
      <c r="Q94" s="30">
        <f>ROUND((R94+S94+T94)*36/G94,2)</f>
        <v>12.31</v>
      </c>
      <c r="R94" s="30">
        <f>ROUND(I94*$R$3/12/27,2)</f>
        <v>10.68</v>
      </c>
      <c r="S94" s="30"/>
      <c r="T94" s="30">
        <f>ROUND(I94*$T$3/12/27,2)</f>
        <v>9.16</v>
      </c>
      <c r="U94" s="30"/>
      <c r="V94" s="101"/>
      <c r="W94" s="30"/>
      <c r="X94" s="31"/>
      <c r="Y94" s="59"/>
    </row>
    <row r="95" spans="2:25" s="60" customFormat="1" ht="17.25" customHeight="1" x14ac:dyDescent="0.2">
      <c r="B95" s="52" t="s">
        <v>34</v>
      </c>
      <c r="C95" s="32">
        <v>61986</v>
      </c>
      <c r="D95" s="33">
        <f t="shared" si="42"/>
        <v>62007</v>
      </c>
      <c r="E95" s="33"/>
      <c r="F95" s="34">
        <f t="shared" ref="F95" si="43">D95-C95</f>
        <v>21</v>
      </c>
      <c r="G95" s="35">
        <v>66</v>
      </c>
      <c r="H95" s="34"/>
      <c r="I95" s="64"/>
      <c r="J95" s="61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>
        <f>G95</f>
        <v>66</v>
      </c>
      <c r="V95" s="101"/>
      <c r="W95" s="30"/>
      <c r="X95" s="31"/>
      <c r="Y95" s="59"/>
    </row>
    <row r="96" spans="2:25" s="60" customFormat="1" ht="17.25" customHeight="1" x14ac:dyDescent="0.2">
      <c r="B96" s="52"/>
      <c r="C96" s="32"/>
      <c r="D96" s="33"/>
      <c r="E96" s="33"/>
      <c r="F96" s="34"/>
      <c r="G96" s="35"/>
      <c r="H96" s="34"/>
      <c r="I96" s="64"/>
      <c r="J96" s="61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1"/>
      <c r="Y96" s="59"/>
    </row>
    <row r="97" spans="2:25" s="60" customFormat="1" ht="17.25" customHeight="1" x14ac:dyDescent="0.2">
      <c r="B97" s="52" t="s">
        <v>50</v>
      </c>
      <c r="C97" s="32"/>
      <c r="D97" s="33"/>
      <c r="E97" s="33"/>
      <c r="F97" s="34"/>
      <c r="G97" s="35"/>
      <c r="H97" s="34"/>
      <c r="I97" s="64"/>
      <c r="J97" s="61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1"/>
      <c r="Y97" s="59"/>
    </row>
    <row r="98" spans="2:25" s="60" customFormat="1" ht="17.25" customHeight="1" x14ac:dyDescent="0.2">
      <c r="B98" s="52"/>
      <c r="C98" s="32"/>
      <c r="D98" s="33"/>
      <c r="E98" s="33"/>
      <c r="F98" s="34"/>
      <c r="G98" s="35"/>
      <c r="H98" s="34"/>
      <c r="I98" s="64"/>
      <c r="J98" s="61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1"/>
      <c r="Y98" s="59"/>
    </row>
    <row r="99" spans="2:25" s="60" customFormat="1" ht="17.25" customHeight="1" x14ac:dyDescent="0.2">
      <c r="B99" s="52" t="s">
        <v>67</v>
      </c>
      <c r="C99" s="32">
        <f>D99-17</f>
        <v>62202</v>
      </c>
      <c r="D99" s="33">
        <v>62219</v>
      </c>
      <c r="E99" s="33"/>
      <c r="F99" s="34">
        <f>D99-C99</f>
        <v>17</v>
      </c>
      <c r="G99" s="35">
        <v>58</v>
      </c>
      <c r="H99" s="34"/>
      <c r="I99" s="64">
        <v>1733.47</v>
      </c>
      <c r="J99" s="61"/>
      <c r="K99" s="30">
        <f>ROUND(I99/9,2)</f>
        <v>192.61</v>
      </c>
      <c r="L99" s="30"/>
      <c r="M99" s="30">
        <f>ROUND(I99*$M$3/9,2)</f>
        <v>17.329999999999998</v>
      </c>
      <c r="N99" s="30">
        <f>ROUND((I100-I99)*$N$3/9,2)</f>
        <v>1.87</v>
      </c>
      <c r="O99" s="30"/>
      <c r="P99" s="30"/>
      <c r="Q99" s="30"/>
      <c r="R99" s="30"/>
      <c r="S99" s="30"/>
      <c r="T99" s="30"/>
      <c r="U99" s="30"/>
      <c r="V99" s="101"/>
      <c r="W99" s="30"/>
      <c r="X99" s="31"/>
      <c r="Y99" s="59"/>
    </row>
    <row r="100" spans="2:25" s="60" customFormat="1" ht="17.25" customHeight="1" x14ac:dyDescent="0.2">
      <c r="B100" s="52" t="s">
        <v>42</v>
      </c>
      <c r="C100" s="32">
        <f t="shared" ref="C100:C101" si="44">D100-21</f>
        <v>62198</v>
      </c>
      <c r="D100" s="33">
        <v>62219</v>
      </c>
      <c r="E100" s="33"/>
      <c r="F100" s="34">
        <f>D100-C100</f>
        <v>21</v>
      </c>
      <c r="G100" s="35">
        <v>58</v>
      </c>
      <c r="H100" s="34"/>
      <c r="I100" s="64">
        <v>2040.26</v>
      </c>
      <c r="J100" s="61"/>
      <c r="K100" s="30"/>
      <c r="L100" s="30"/>
      <c r="M100" s="30"/>
      <c r="N100" s="30">
        <f>ROUND(I100*$N$3/9,2)</f>
        <v>12.47</v>
      </c>
      <c r="O100" s="30"/>
      <c r="P100" s="30"/>
      <c r="Q100" s="30">
        <f>ROUND((R100+S100+T100)*36/G100,2)</f>
        <v>12.71</v>
      </c>
      <c r="R100" s="30">
        <f>ROUND(I100*$R$3/12/27,2)</f>
        <v>11.02</v>
      </c>
      <c r="S100" s="30"/>
      <c r="T100" s="30">
        <f>ROUND(I100*$T$3/12/27,2)</f>
        <v>9.4499999999999993</v>
      </c>
      <c r="U100" s="30"/>
      <c r="V100" s="101"/>
      <c r="W100" s="30"/>
      <c r="X100" s="31"/>
      <c r="Y100" s="59"/>
    </row>
    <row r="101" spans="2:25" s="60" customFormat="1" ht="17.25" customHeight="1" x14ac:dyDescent="0.2">
      <c r="B101" s="52" t="s">
        <v>34</v>
      </c>
      <c r="C101" s="32">
        <f t="shared" si="44"/>
        <v>62198</v>
      </c>
      <c r="D101" s="33">
        <v>62219</v>
      </c>
      <c r="E101" s="33"/>
      <c r="F101" s="34">
        <f t="shared" ref="F101" si="45">D101-C101</f>
        <v>21</v>
      </c>
      <c r="G101" s="35">
        <v>67</v>
      </c>
      <c r="H101" s="34"/>
      <c r="I101" s="64"/>
      <c r="J101" s="61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>
        <f>G101</f>
        <v>67</v>
      </c>
      <c r="V101" s="101"/>
      <c r="W101" s="30"/>
      <c r="X101" s="31"/>
      <c r="Y101" s="59"/>
    </row>
    <row r="102" spans="2:25" s="60" customFormat="1" ht="17.25" customHeight="1" x14ac:dyDescent="0.2">
      <c r="B102" s="52"/>
      <c r="C102" s="32"/>
      <c r="D102" s="33"/>
      <c r="E102" s="33"/>
      <c r="F102" s="34"/>
      <c r="G102" s="35"/>
      <c r="H102" s="34"/>
      <c r="I102" s="64"/>
      <c r="J102" s="61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1"/>
      <c r="Y102" s="59"/>
    </row>
    <row r="103" spans="2:25" s="60" customFormat="1" ht="17.25" customHeight="1" x14ac:dyDescent="0.2">
      <c r="B103" s="52" t="s">
        <v>38</v>
      </c>
      <c r="C103" s="32">
        <v>62219</v>
      </c>
      <c r="D103" s="33">
        <v>63865</v>
      </c>
      <c r="E103" s="33"/>
      <c r="F103" s="34">
        <f t="shared" ref="F103:F104" si="46">D103-C103</f>
        <v>1646</v>
      </c>
      <c r="G103" s="35">
        <v>58</v>
      </c>
      <c r="H103" s="34">
        <f t="shared" ref="H103:H104" si="47">ROUND(F103*G103,2)</f>
        <v>95468</v>
      </c>
      <c r="I103" s="64"/>
      <c r="J103" s="61"/>
      <c r="K103" s="30"/>
      <c r="L103" s="30">
        <f>ROUND(H103/9,2)</f>
        <v>10607.56</v>
      </c>
      <c r="M103" s="30">
        <f>ROUND(H103*$M$3/9,2)</f>
        <v>954.68</v>
      </c>
      <c r="N103" s="30"/>
      <c r="O103" s="30"/>
      <c r="P103" s="30">
        <f>ROUND(H103*2*$P$3/9,2)</f>
        <v>1166.83</v>
      </c>
      <c r="Q103" s="30">
        <f>ROUND((R103+S103+T103)*36/G103,2)</f>
        <v>1143.06</v>
      </c>
      <c r="R103" s="30">
        <f>ROUND(H103*$R$3/12/27,2)</f>
        <v>515.65</v>
      </c>
      <c r="S103" s="30">
        <f>ROUND(H103*$S$3/12/27,2)</f>
        <v>883.96</v>
      </c>
      <c r="T103" s="30">
        <f>ROUND(H103*$T$3/12/27,2)</f>
        <v>441.98</v>
      </c>
      <c r="U103" s="30"/>
      <c r="V103" s="101">
        <f>(ROUND(F103/25,0)+1)*15</f>
        <v>1005</v>
      </c>
      <c r="W103" s="30"/>
      <c r="X103" s="31"/>
      <c r="Y103" s="59"/>
    </row>
    <row r="104" spans="2:25" s="60" customFormat="1" ht="17.25" customHeight="1" x14ac:dyDescent="0.2">
      <c r="B104" s="52" t="s">
        <v>36</v>
      </c>
      <c r="C104" s="32">
        <v>62219</v>
      </c>
      <c r="D104" s="33">
        <v>63865</v>
      </c>
      <c r="E104" s="33"/>
      <c r="F104" s="34">
        <f t="shared" si="46"/>
        <v>1646</v>
      </c>
      <c r="G104" s="35">
        <v>30</v>
      </c>
      <c r="H104" s="34">
        <f t="shared" si="47"/>
        <v>49380</v>
      </c>
      <c r="I104" s="64"/>
      <c r="J104" s="61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1"/>
      <c r="Y104" s="59"/>
    </row>
    <row r="105" spans="2:25" s="60" customFormat="1" ht="17.25" customHeight="1" x14ac:dyDescent="0.2">
      <c r="B105" s="52"/>
      <c r="C105" s="32"/>
      <c r="D105" s="33"/>
      <c r="E105" s="33"/>
      <c r="F105" s="34"/>
      <c r="G105" s="35"/>
      <c r="H105" s="34"/>
      <c r="I105" s="64"/>
      <c r="J105" s="61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1"/>
      <c r="Y105" s="59"/>
    </row>
    <row r="106" spans="2:25" s="60" customFormat="1" ht="17.25" customHeight="1" x14ac:dyDescent="0.2">
      <c r="B106" s="52" t="s">
        <v>38</v>
      </c>
      <c r="C106" s="32">
        <v>63865</v>
      </c>
      <c r="D106" s="33">
        <v>64000</v>
      </c>
      <c r="E106" s="33"/>
      <c r="F106" s="34">
        <f t="shared" ref="F106:F107" si="48">D106-C106</f>
        <v>135</v>
      </c>
      <c r="G106" s="35">
        <f>AVERAGE(58,68)</f>
        <v>63</v>
      </c>
      <c r="H106" s="34">
        <f t="shared" ref="H106:H107" si="49">ROUND(F106*G106,2)</f>
        <v>8505</v>
      </c>
      <c r="I106" s="64"/>
      <c r="J106" s="61"/>
      <c r="K106" s="30"/>
      <c r="L106" s="30">
        <f>ROUND(H106/9,2)</f>
        <v>945</v>
      </c>
      <c r="M106" s="30">
        <f>ROUND(H106*$M$3/9,2)</f>
        <v>85.05</v>
      </c>
      <c r="N106" s="30"/>
      <c r="O106" s="30"/>
      <c r="P106" s="30">
        <f>ROUND(H106*2*$P$3/9,2)</f>
        <v>103.95</v>
      </c>
      <c r="Q106" s="30">
        <f>ROUND((R106+S106+T106)*42/G106,2)</f>
        <v>109.38</v>
      </c>
      <c r="R106" s="30">
        <f>ROUND(H106*$R$3/12/27,2)</f>
        <v>45.94</v>
      </c>
      <c r="S106" s="30">
        <f>ROUND(H106*$S$3/12/27,2)</f>
        <v>78.75</v>
      </c>
      <c r="T106" s="30">
        <f>ROUND(H106*$T$3/12/27,2)</f>
        <v>39.380000000000003</v>
      </c>
      <c r="U106" s="30"/>
      <c r="V106" s="101">
        <f>(ROUND(F106/25,0)+1)*15</f>
        <v>90</v>
      </c>
      <c r="W106" s="30"/>
      <c r="X106" s="31"/>
      <c r="Y106" s="59"/>
    </row>
    <row r="107" spans="2:25" s="60" customFormat="1" ht="17.25" customHeight="1" x14ac:dyDescent="0.2">
      <c r="B107" s="52" t="s">
        <v>36</v>
      </c>
      <c r="C107" s="32">
        <v>63865</v>
      </c>
      <c r="D107" s="33">
        <v>64000</v>
      </c>
      <c r="E107" s="33"/>
      <c r="F107" s="34">
        <f t="shared" si="48"/>
        <v>135</v>
      </c>
      <c r="G107" s="35">
        <v>30</v>
      </c>
      <c r="H107" s="34">
        <f t="shared" si="49"/>
        <v>4050</v>
      </c>
      <c r="I107" s="64"/>
      <c r="J107" s="61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1"/>
      <c r="Y107" s="59"/>
    </row>
    <row r="108" spans="2:25" s="60" customFormat="1" ht="17.25" customHeight="1" x14ac:dyDescent="0.2">
      <c r="B108" s="52"/>
      <c r="C108" s="32"/>
      <c r="D108" s="33"/>
      <c r="E108" s="33"/>
      <c r="F108" s="34"/>
      <c r="G108" s="35"/>
      <c r="H108" s="34"/>
      <c r="I108" s="64"/>
      <c r="J108" s="61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1"/>
      <c r="Y108" s="59"/>
    </row>
    <row r="109" spans="2:25" s="60" customFormat="1" ht="17.25" customHeight="1" x14ac:dyDescent="0.2">
      <c r="B109" s="52" t="s">
        <v>38</v>
      </c>
      <c r="C109" s="32">
        <v>64000</v>
      </c>
      <c r="D109" s="33">
        <v>64250</v>
      </c>
      <c r="E109" s="33"/>
      <c r="F109" s="34">
        <f t="shared" ref="F109:F110" si="50">D109-C109</f>
        <v>250</v>
      </c>
      <c r="G109" s="35">
        <v>68</v>
      </c>
      <c r="H109" s="34">
        <f t="shared" ref="H109:H110" si="51">ROUND(F109*G109,2)</f>
        <v>17000</v>
      </c>
      <c r="I109" s="64"/>
      <c r="J109" s="61"/>
      <c r="K109" s="30"/>
      <c r="L109" s="30">
        <f>ROUND(H109/9,2)</f>
        <v>1888.89</v>
      </c>
      <c r="M109" s="30">
        <f>ROUND(H109*$M$3/9,2)</f>
        <v>170</v>
      </c>
      <c r="N109" s="30"/>
      <c r="O109" s="30"/>
      <c r="P109" s="30">
        <f>ROUND(H109*2*$P$3/9,2)</f>
        <v>207.78</v>
      </c>
      <c r="Q109" s="30">
        <f>ROUND((R109+S109+T109)*48/G109,2)</f>
        <v>231.48</v>
      </c>
      <c r="R109" s="30">
        <f>ROUND(H109*$R$3/12/27,2)</f>
        <v>91.82</v>
      </c>
      <c r="S109" s="30">
        <f>ROUND(H109*$S$3/12/27,2)</f>
        <v>157.41</v>
      </c>
      <c r="T109" s="30">
        <f>ROUND(H109*$T$3/12/27,2)</f>
        <v>78.7</v>
      </c>
      <c r="U109" s="30"/>
      <c r="V109" s="101">
        <f>(ROUND(F109/25,0)+1)*15</f>
        <v>165</v>
      </c>
      <c r="W109" s="30"/>
      <c r="X109" s="31"/>
      <c r="Y109" s="59"/>
    </row>
    <row r="110" spans="2:25" s="60" customFormat="1" ht="17.25" customHeight="1" x14ac:dyDescent="0.2">
      <c r="B110" s="52" t="s">
        <v>36</v>
      </c>
      <c r="C110" s="32">
        <v>64000</v>
      </c>
      <c r="D110" s="33">
        <v>64250</v>
      </c>
      <c r="E110" s="33"/>
      <c r="F110" s="34">
        <f t="shared" si="50"/>
        <v>250</v>
      </c>
      <c r="G110" s="35">
        <v>30</v>
      </c>
      <c r="H110" s="34">
        <f t="shared" si="51"/>
        <v>7500</v>
      </c>
      <c r="I110" s="64"/>
      <c r="J110" s="61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1"/>
      <c r="Y110" s="59"/>
    </row>
    <row r="111" spans="2:25" s="60" customFormat="1" ht="17.25" customHeight="1" x14ac:dyDescent="0.2">
      <c r="B111" s="52"/>
      <c r="C111" s="32"/>
      <c r="D111" s="33"/>
      <c r="E111" s="33"/>
      <c r="F111" s="34"/>
      <c r="G111" s="35"/>
      <c r="H111" s="34"/>
      <c r="I111" s="64"/>
      <c r="J111" s="61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1"/>
      <c r="Y111" s="59"/>
    </row>
    <row r="112" spans="2:25" s="60" customFormat="1" ht="17.25" customHeight="1" x14ac:dyDescent="0.2">
      <c r="B112" s="52" t="s">
        <v>38</v>
      </c>
      <c r="C112" s="32">
        <v>64250</v>
      </c>
      <c r="D112" s="33">
        <v>64683</v>
      </c>
      <c r="E112" s="33"/>
      <c r="F112" s="34">
        <f t="shared" ref="F112:F113" si="52">D112-C112</f>
        <v>433</v>
      </c>
      <c r="G112" s="35">
        <v>68</v>
      </c>
      <c r="H112" s="34"/>
      <c r="I112" s="64">
        <v>33809.870000000003</v>
      </c>
      <c r="J112" s="61"/>
      <c r="K112" s="30"/>
      <c r="L112" s="30">
        <f>ROUND(I112/9,2)</f>
        <v>3756.65</v>
      </c>
      <c r="M112" s="30">
        <f>ROUND(I112*$M$3/9,2)</f>
        <v>338.1</v>
      </c>
      <c r="N112" s="30"/>
      <c r="O112" s="30"/>
      <c r="P112" s="30">
        <f>ROUND(I112*2*$P$3/9,2)</f>
        <v>413.23</v>
      </c>
      <c r="Q112" s="30">
        <f>ROUND((R112+S112+T112)*52/G112,2)</f>
        <v>498.74</v>
      </c>
      <c r="R112" s="30">
        <f>ROUND(I112*$R$3/12/27,2)</f>
        <v>182.62</v>
      </c>
      <c r="S112" s="30">
        <f>ROUND(I112*$S$3/12/27,2)</f>
        <v>313.05</v>
      </c>
      <c r="T112" s="30">
        <f>ROUND(I112*$T$3/12/27,2)</f>
        <v>156.53</v>
      </c>
      <c r="U112" s="30"/>
      <c r="V112" s="101">
        <f>(ROUND(F112/25,0)+1)*15</f>
        <v>270</v>
      </c>
      <c r="W112" s="30"/>
      <c r="X112" s="31"/>
      <c r="Y112" s="59"/>
    </row>
    <row r="113" spans="2:25" s="60" customFormat="1" ht="17.25" customHeight="1" x14ac:dyDescent="0.2">
      <c r="B113" s="52" t="s">
        <v>36</v>
      </c>
      <c r="C113" s="32">
        <v>64250</v>
      </c>
      <c r="D113" s="33">
        <v>64683</v>
      </c>
      <c r="E113" s="33"/>
      <c r="F113" s="34">
        <f t="shared" si="52"/>
        <v>433</v>
      </c>
      <c r="G113" s="35">
        <v>30</v>
      </c>
      <c r="H113" s="34">
        <f t="shared" ref="H113" si="53">ROUND(F113*G113,2)</f>
        <v>12990</v>
      </c>
      <c r="I113" s="64"/>
      <c r="J113" s="61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1"/>
      <c r="Y113" s="59"/>
    </row>
    <row r="114" spans="2:25" s="60" customFormat="1" ht="17.25" customHeight="1" x14ac:dyDescent="0.2">
      <c r="B114" s="52"/>
      <c r="C114" s="32"/>
      <c r="D114" s="33"/>
      <c r="E114" s="33"/>
      <c r="F114" s="34"/>
      <c r="G114" s="35"/>
      <c r="H114" s="34"/>
      <c r="I114" s="64"/>
      <c r="J114" s="61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1"/>
      <c r="Y114" s="59"/>
    </row>
    <row r="115" spans="2:25" s="60" customFormat="1" ht="17.25" customHeight="1" x14ac:dyDescent="0.2">
      <c r="B115" s="52" t="s">
        <v>38</v>
      </c>
      <c r="C115" s="32">
        <v>64683</v>
      </c>
      <c r="D115" s="33">
        <v>65625</v>
      </c>
      <c r="E115" s="33"/>
      <c r="F115" s="34">
        <f t="shared" ref="F115:F116" si="54">D115-C115</f>
        <v>942</v>
      </c>
      <c r="G115" s="35">
        <v>58</v>
      </c>
      <c r="H115" s="34">
        <f t="shared" ref="H115:H116" si="55">ROUND(F115*G115,2)</f>
        <v>54636</v>
      </c>
      <c r="I115" s="64"/>
      <c r="J115" s="61"/>
      <c r="K115" s="30"/>
      <c r="L115" s="30">
        <f>ROUND(H115/9,2)</f>
        <v>6070.67</v>
      </c>
      <c r="M115" s="30">
        <f>ROUND(H115*$M$3/9,2)</f>
        <v>546.36</v>
      </c>
      <c r="N115" s="30"/>
      <c r="O115" s="30"/>
      <c r="P115" s="30">
        <f>ROUND(H115*2*$P$3/9,2)</f>
        <v>667.77</v>
      </c>
      <c r="Q115" s="30">
        <f>ROUND((R115+S115+T115)*36/G115,2)</f>
        <v>654.16</v>
      </c>
      <c r="R115" s="30">
        <f>ROUND(H115*$R$3/12/27,2)</f>
        <v>295.10000000000002</v>
      </c>
      <c r="S115" s="30">
        <f>ROUND(H115*$S$3/12/27,2)</f>
        <v>505.89</v>
      </c>
      <c r="T115" s="30">
        <f>ROUND(H115*$T$3/12/27,2)</f>
        <v>252.94</v>
      </c>
      <c r="U115" s="30"/>
      <c r="V115" s="101">
        <f>(ROUND(F115/25,0)+1)*15</f>
        <v>585</v>
      </c>
      <c r="W115" s="30"/>
      <c r="X115" s="31"/>
      <c r="Y115" s="59"/>
    </row>
    <row r="116" spans="2:25" s="60" customFormat="1" ht="17.25" customHeight="1" x14ac:dyDescent="0.2">
      <c r="B116" s="52" t="s">
        <v>36</v>
      </c>
      <c r="C116" s="32">
        <v>64683</v>
      </c>
      <c r="D116" s="33">
        <v>65625</v>
      </c>
      <c r="E116" s="33"/>
      <c r="F116" s="34">
        <f t="shared" si="54"/>
        <v>942</v>
      </c>
      <c r="G116" s="35">
        <v>30</v>
      </c>
      <c r="H116" s="34">
        <f t="shared" si="55"/>
        <v>28260</v>
      </c>
      <c r="I116" s="64"/>
      <c r="J116" s="61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1"/>
      <c r="Y116" s="59"/>
    </row>
    <row r="117" spans="2:25" s="60" customFormat="1" ht="17.45" customHeight="1" x14ac:dyDescent="0.2">
      <c r="B117" s="52"/>
      <c r="C117" s="32"/>
      <c r="D117" s="33"/>
      <c r="E117" s="33"/>
      <c r="F117" s="34"/>
      <c r="G117" s="35"/>
      <c r="H117" s="34"/>
      <c r="I117" s="64"/>
      <c r="J117" s="61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1"/>
      <c r="Y117" s="59"/>
    </row>
    <row r="118" spans="2:25" s="60" customFormat="1" ht="17.25" customHeight="1" x14ac:dyDescent="0.2">
      <c r="B118" s="52" t="s">
        <v>39</v>
      </c>
      <c r="C118" s="32">
        <v>65625</v>
      </c>
      <c r="D118" s="33">
        <v>65750</v>
      </c>
      <c r="E118" s="33"/>
      <c r="F118" s="34">
        <f>D118-C118</f>
        <v>125</v>
      </c>
      <c r="G118" s="35">
        <v>58</v>
      </c>
      <c r="H118" s="34">
        <f>ROUND(F118*G118,2)</f>
        <v>7250</v>
      </c>
      <c r="I118" s="64"/>
      <c r="J118" s="61"/>
      <c r="K118" s="30">
        <f>ROUND(H118/9,2)</f>
        <v>805.56</v>
      </c>
      <c r="L118" s="30">
        <f>ROUND(H118/9,2)</f>
        <v>805.56</v>
      </c>
      <c r="M118" s="30">
        <f>ROUND(H118*$M$3/9,2)</f>
        <v>72.5</v>
      </c>
      <c r="N118" s="30">
        <f>ROUND(H118*$N$3/9,2)</f>
        <v>44.31</v>
      </c>
      <c r="O118" s="30"/>
      <c r="P118" s="30"/>
      <c r="Q118" s="30">
        <f>ROUND((R118+S118+T118)*36/G118,2)</f>
        <v>45.14</v>
      </c>
      <c r="R118" s="30">
        <f>ROUND(H118*$R$3/12/27,2)</f>
        <v>39.159999999999997</v>
      </c>
      <c r="S118" s="30"/>
      <c r="T118" s="30">
        <f>ROUND(H118*$T$3/12/27,2)</f>
        <v>33.56</v>
      </c>
      <c r="U118" s="30"/>
      <c r="V118" s="101">
        <f>(ROUND(F118/25,0)+1)*15</f>
        <v>90</v>
      </c>
      <c r="W118" s="30"/>
      <c r="X118" s="31"/>
      <c r="Y118" s="59"/>
    </row>
    <row r="119" spans="2:25" s="60" customFormat="1" ht="17.25" customHeight="1" x14ac:dyDescent="0.2">
      <c r="B119" s="52" t="s">
        <v>20</v>
      </c>
      <c r="C119" s="32">
        <v>65625</v>
      </c>
      <c r="D119" s="33">
        <v>65750</v>
      </c>
      <c r="E119" s="33"/>
      <c r="F119" s="34">
        <f>D119-C119</f>
        <v>125</v>
      </c>
      <c r="G119" s="35">
        <v>5</v>
      </c>
      <c r="H119" s="34">
        <f>ROUND(F119*G119,2)</f>
        <v>625</v>
      </c>
      <c r="I119" s="64"/>
      <c r="J119" s="61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1"/>
      <c r="Y119" s="59"/>
    </row>
    <row r="120" spans="2:25" s="60" customFormat="1" ht="17.25" customHeight="1" x14ac:dyDescent="0.2">
      <c r="B120" s="52"/>
      <c r="C120" s="32"/>
      <c r="D120" s="33"/>
      <c r="E120" s="33"/>
      <c r="F120" s="34"/>
      <c r="G120" s="35"/>
      <c r="H120" s="34"/>
      <c r="I120" s="64"/>
      <c r="J120" s="61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1"/>
      <c r="Y120" s="59"/>
    </row>
    <row r="121" spans="2:25" s="60" customFormat="1" ht="17.25" customHeight="1" x14ac:dyDescent="0.2">
      <c r="B121" s="52" t="s">
        <v>38</v>
      </c>
      <c r="C121" s="32">
        <v>65750</v>
      </c>
      <c r="D121" s="33">
        <v>66355</v>
      </c>
      <c r="E121" s="33"/>
      <c r="F121" s="34">
        <f t="shared" ref="F121:F122" si="56">D121-C121</f>
        <v>605</v>
      </c>
      <c r="G121" s="35">
        <v>58</v>
      </c>
      <c r="H121" s="34">
        <f t="shared" ref="H121:H122" si="57">ROUND(F121*G121,2)</f>
        <v>35090</v>
      </c>
      <c r="I121" s="64"/>
      <c r="J121" s="61"/>
      <c r="K121" s="30"/>
      <c r="L121" s="30">
        <f>ROUND(H121/9,2)</f>
        <v>3898.89</v>
      </c>
      <c r="M121" s="30">
        <f>ROUND(H121*$M$3/9,2)</f>
        <v>350.9</v>
      </c>
      <c r="N121" s="30"/>
      <c r="O121" s="30"/>
      <c r="P121" s="30">
        <f>ROUND(H121*2*$P$3/9,2)</f>
        <v>428.88</v>
      </c>
      <c r="Q121" s="30">
        <f>ROUND((R121+S121+T121)*36/G121,2)</f>
        <v>420.14</v>
      </c>
      <c r="R121" s="30">
        <f>ROUND(H121*$R$3/12/27,2)</f>
        <v>189.53</v>
      </c>
      <c r="S121" s="30">
        <f>ROUND(H121*$S$3/12/27,2)</f>
        <v>324.91000000000003</v>
      </c>
      <c r="T121" s="30">
        <f>ROUND(H121*$T$3/12/27,2)</f>
        <v>162.44999999999999</v>
      </c>
      <c r="U121" s="30"/>
      <c r="V121" s="101">
        <f>(ROUND(F121/25,0)+1)*15</f>
        <v>375</v>
      </c>
      <c r="W121" s="30"/>
      <c r="X121" s="31"/>
      <c r="Y121" s="59"/>
    </row>
    <row r="122" spans="2:25" s="60" customFormat="1" ht="17.25" customHeight="1" x14ac:dyDescent="0.2">
      <c r="B122" s="52" t="s">
        <v>36</v>
      </c>
      <c r="C122" s="32">
        <v>65750</v>
      </c>
      <c r="D122" s="33">
        <v>66355</v>
      </c>
      <c r="E122" s="33"/>
      <c r="F122" s="34">
        <f t="shared" si="56"/>
        <v>605</v>
      </c>
      <c r="G122" s="35">
        <v>30</v>
      </c>
      <c r="H122" s="34">
        <f t="shared" si="57"/>
        <v>18150</v>
      </c>
      <c r="I122" s="64"/>
      <c r="J122" s="61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1"/>
      <c r="Y122" s="59"/>
    </row>
    <row r="123" spans="2:25" s="60" customFormat="1" ht="17.25" customHeight="1" x14ac:dyDescent="0.2">
      <c r="B123" s="52"/>
      <c r="C123" s="32"/>
      <c r="D123" s="33"/>
      <c r="E123" s="33"/>
      <c r="F123" s="34"/>
      <c r="G123" s="35"/>
      <c r="H123" s="34"/>
      <c r="I123" s="64"/>
      <c r="J123" s="61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1"/>
      <c r="Y123" s="59"/>
    </row>
    <row r="124" spans="2:25" s="60" customFormat="1" ht="17.25" customHeight="1" x14ac:dyDescent="0.2">
      <c r="B124" s="52" t="s">
        <v>52</v>
      </c>
      <c r="C124" s="32">
        <v>66355</v>
      </c>
      <c r="D124" s="33">
        <v>66527</v>
      </c>
      <c r="E124" s="33"/>
      <c r="F124" s="34">
        <f t="shared" ref="F124:F132" si="58">D124-C124</f>
        <v>172</v>
      </c>
      <c r="G124" s="35">
        <v>58</v>
      </c>
      <c r="H124" s="34">
        <f t="shared" ref="H124:H125" si="59">ROUND(F124*G124,2)</f>
        <v>9976</v>
      </c>
      <c r="I124" s="64"/>
      <c r="J124" s="61"/>
      <c r="K124" s="30"/>
      <c r="L124" s="30"/>
      <c r="M124" s="30"/>
      <c r="N124" s="30"/>
      <c r="O124" s="30">
        <f>ROUND(H124*$O$3/9,2)</f>
        <v>94.22</v>
      </c>
      <c r="P124" s="30">
        <f>ROUND(H124*2*$P$3/9,2)</f>
        <v>121.93</v>
      </c>
      <c r="Q124" s="30">
        <f>ROUND((R124+S124+T124)*36/G124,2)</f>
        <v>119.45</v>
      </c>
      <c r="R124" s="30">
        <f>ROUND(H124*$R$3/12/27,2)</f>
        <v>53.88</v>
      </c>
      <c r="S124" s="30">
        <f>ROUND(H124*$S$3/12/27,2)</f>
        <v>92.37</v>
      </c>
      <c r="T124" s="30">
        <f>ROUND(H124*$T$3/12/27,2)</f>
        <v>46.19</v>
      </c>
      <c r="U124" s="30"/>
      <c r="V124" s="101">
        <f>(ROUND(F124/25,0)+1)*15</f>
        <v>120</v>
      </c>
      <c r="W124" s="30"/>
      <c r="X124" s="31"/>
      <c r="Y124" s="59"/>
    </row>
    <row r="125" spans="2:25" s="60" customFormat="1" ht="17.25" customHeight="1" x14ac:dyDescent="0.2">
      <c r="B125" s="52" t="s">
        <v>36</v>
      </c>
      <c r="C125" s="32">
        <v>66355</v>
      </c>
      <c r="D125" s="33">
        <v>66527</v>
      </c>
      <c r="E125" s="33"/>
      <c r="F125" s="34">
        <f t="shared" si="58"/>
        <v>172</v>
      </c>
      <c r="G125" s="35">
        <v>30</v>
      </c>
      <c r="H125" s="34">
        <f t="shared" si="59"/>
        <v>5160</v>
      </c>
      <c r="I125" s="64"/>
      <c r="J125" s="61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1"/>
      <c r="Y125" s="59"/>
    </row>
    <row r="126" spans="2:25" s="60" customFormat="1" ht="17.25" customHeight="1" x14ac:dyDescent="0.2">
      <c r="B126" s="52"/>
      <c r="C126" s="32"/>
      <c r="D126" s="33"/>
      <c r="E126" s="33"/>
      <c r="F126" s="34"/>
      <c r="G126" s="35"/>
      <c r="H126" s="34"/>
      <c r="I126" s="64"/>
      <c r="J126" s="61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1"/>
      <c r="Y126" s="59"/>
    </row>
    <row r="127" spans="2:25" s="60" customFormat="1" ht="17.25" customHeight="1" x14ac:dyDescent="0.2">
      <c r="B127" s="52" t="s">
        <v>63</v>
      </c>
      <c r="C127" s="113">
        <v>44500</v>
      </c>
      <c r="D127" s="114">
        <v>49493</v>
      </c>
      <c r="E127" s="33"/>
      <c r="F127" s="34">
        <f t="shared" si="58"/>
        <v>4993</v>
      </c>
      <c r="G127" s="35"/>
      <c r="H127" s="34"/>
      <c r="I127" s="64"/>
      <c r="J127" s="61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>
        <f t="shared" ref="W127:W132" si="60">ROUND(F127*2/5280,2)</f>
        <v>1.89</v>
      </c>
      <c r="X127" s="31"/>
      <c r="Y127" s="59"/>
    </row>
    <row r="128" spans="2:25" s="60" customFormat="1" ht="17.25" customHeight="1" x14ac:dyDescent="0.2">
      <c r="B128" s="52" t="s">
        <v>63</v>
      </c>
      <c r="C128" s="113">
        <v>49687</v>
      </c>
      <c r="D128" s="114">
        <v>51995</v>
      </c>
      <c r="E128" s="33"/>
      <c r="F128" s="34">
        <f t="shared" si="58"/>
        <v>2308</v>
      </c>
      <c r="G128" s="35"/>
      <c r="H128" s="34"/>
      <c r="I128" s="64"/>
      <c r="J128" s="61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>
        <f t="shared" si="60"/>
        <v>0.87</v>
      </c>
      <c r="X128" s="31"/>
      <c r="Y128" s="59"/>
    </row>
    <row r="129" spans="2:25" s="60" customFormat="1" ht="17.25" customHeight="1" x14ac:dyDescent="0.2">
      <c r="B129" s="52" t="s">
        <v>63</v>
      </c>
      <c r="C129" s="113">
        <v>54572</v>
      </c>
      <c r="D129" s="114">
        <v>56747</v>
      </c>
      <c r="E129" s="33"/>
      <c r="F129" s="34">
        <f t="shared" si="58"/>
        <v>2175</v>
      </c>
      <c r="G129" s="35"/>
      <c r="H129" s="34"/>
      <c r="I129" s="64"/>
      <c r="J129" s="61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>
        <f t="shared" si="60"/>
        <v>0.82</v>
      </c>
      <c r="X129" s="31"/>
      <c r="Y129" s="59"/>
    </row>
    <row r="130" spans="2:25" s="60" customFormat="1" ht="17.25" customHeight="1" x14ac:dyDescent="0.2">
      <c r="B130" s="52" t="s">
        <v>63</v>
      </c>
      <c r="C130" s="113">
        <v>56700</v>
      </c>
      <c r="D130" s="114">
        <v>58432</v>
      </c>
      <c r="E130" s="33"/>
      <c r="F130" s="34">
        <f t="shared" si="58"/>
        <v>1732</v>
      </c>
      <c r="G130" s="35"/>
      <c r="H130" s="34"/>
      <c r="I130" s="64"/>
      <c r="J130" s="61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>
        <f t="shared" si="60"/>
        <v>0.66</v>
      </c>
      <c r="X130" s="31"/>
      <c r="Y130" s="59"/>
    </row>
    <row r="131" spans="2:25" s="60" customFormat="1" ht="17.25" customHeight="1" x14ac:dyDescent="0.2">
      <c r="B131" s="52" t="s">
        <v>63</v>
      </c>
      <c r="C131" s="113">
        <v>58625</v>
      </c>
      <c r="D131" s="114">
        <v>62019</v>
      </c>
      <c r="E131" s="33"/>
      <c r="F131" s="34">
        <f t="shared" si="58"/>
        <v>3394</v>
      </c>
      <c r="G131" s="35"/>
      <c r="H131" s="34"/>
      <c r="I131" s="64"/>
      <c r="J131" s="61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>
        <f t="shared" si="60"/>
        <v>1.29</v>
      </c>
      <c r="X131" s="31"/>
      <c r="Y131" s="59"/>
    </row>
    <row r="132" spans="2:25" s="60" customFormat="1" ht="17.25" customHeight="1" x14ac:dyDescent="0.2">
      <c r="B132" s="52" t="s">
        <v>63</v>
      </c>
      <c r="C132" s="113">
        <v>62184</v>
      </c>
      <c r="D132" s="114">
        <v>66527</v>
      </c>
      <c r="E132" s="33"/>
      <c r="F132" s="34">
        <f t="shared" si="58"/>
        <v>4343</v>
      </c>
      <c r="G132" s="35"/>
      <c r="H132" s="34"/>
      <c r="I132" s="64"/>
      <c r="J132" s="61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>
        <f t="shared" si="60"/>
        <v>1.65</v>
      </c>
      <c r="X132" s="31"/>
      <c r="Y132" s="59"/>
    </row>
    <row r="133" spans="2:25" s="60" customFormat="1" ht="17.25" customHeight="1" x14ac:dyDescent="0.2">
      <c r="B133" s="52"/>
      <c r="C133" s="32"/>
      <c r="D133" s="33"/>
      <c r="E133" s="33"/>
      <c r="F133" s="34"/>
      <c r="G133" s="35"/>
      <c r="H133" s="34"/>
      <c r="I133" s="64"/>
      <c r="J133" s="61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1"/>
      <c r="Y133" s="59"/>
    </row>
    <row r="134" spans="2:25" s="60" customFormat="1" ht="17.45" customHeight="1" x14ac:dyDescent="0.2">
      <c r="B134" s="102"/>
      <c r="C134" s="135" t="s">
        <v>53</v>
      </c>
      <c r="D134" s="136"/>
      <c r="E134" s="136"/>
      <c r="F134" s="136"/>
      <c r="G134" s="136"/>
      <c r="H134" s="136"/>
      <c r="I134" s="137"/>
      <c r="J134" s="103"/>
      <c r="K134" s="104"/>
      <c r="L134" s="104"/>
      <c r="M134" s="104"/>
      <c r="N134" s="104"/>
      <c r="O134" s="104"/>
      <c r="P134" s="104"/>
      <c r="Q134" s="104"/>
      <c r="R134" s="104"/>
      <c r="S134" s="104"/>
      <c r="T134" s="104"/>
      <c r="U134" s="104"/>
      <c r="V134" s="104"/>
      <c r="W134" s="104"/>
      <c r="X134" s="105"/>
      <c r="Y134" s="59"/>
    </row>
    <row r="135" spans="2:25" s="60" customFormat="1" ht="17.25" customHeight="1" x14ac:dyDescent="0.2">
      <c r="B135" s="52" t="s">
        <v>38</v>
      </c>
      <c r="C135" s="32">
        <v>44500</v>
      </c>
      <c r="D135" s="33">
        <v>44630</v>
      </c>
      <c r="E135" s="33"/>
      <c r="F135" s="34">
        <f t="shared" ref="F135:F136" si="61">D135-C135</f>
        <v>130</v>
      </c>
      <c r="G135" s="35">
        <f>4+24+10</f>
        <v>38</v>
      </c>
      <c r="H135" s="34">
        <f t="shared" ref="H135:H136" si="62">ROUND(F135*G135,2)</f>
        <v>4940</v>
      </c>
      <c r="I135" s="64"/>
      <c r="J135" s="61"/>
      <c r="K135" s="30"/>
      <c r="L135" s="30">
        <f>ROUND(H135/9,2)</f>
        <v>548.89</v>
      </c>
      <c r="M135" s="30">
        <f>ROUND(H135*$M$3/9,2)</f>
        <v>49.4</v>
      </c>
      <c r="N135" s="30"/>
      <c r="O135" s="30"/>
      <c r="P135" s="30">
        <f>ROUND(H135*2*$P$3/9,2)</f>
        <v>60.38</v>
      </c>
      <c r="Q135" s="30">
        <f>ROUND((R135+S135+T135)*24/G135,2)</f>
        <v>60.18</v>
      </c>
      <c r="R135" s="30">
        <f>ROUND(H135*$R$3/12/27,2)</f>
        <v>26.68</v>
      </c>
      <c r="S135" s="30">
        <f>ROUND(H135*$S$3/12/27,2)</f>
        <v>45.74</v>
      </c>
      <c r="T135" s="30">
        <f>ROUND(H135*$T$3/12/27,2)</f>
        <v>22.87</v>
      </c>
      <c r="U135" s="30"/>
      <c r="V135" s="101">
        <f>(ROUND(F135/25,0)+1)*15</f>
        <v>90</v>
      </c>
      <c r="W135" s="30"/>
      <c r="X135" s="31"/>
      <c r="Y135" s="59"/>
    </row>
    <row r="136" spans="2:25" s="60" customFormat="1" ht="17.25" customHeight="1" x14ac:dyDescent="0.2">
      <c r="B136" s="52" t="s">
        <v>36</v>
      </c>
      <c r="C136" s="32">
        <v>44500</v>
      </c>
      <c r="D136" s="33">
        <v>44630</v>
      </c>
      <c r="E136" s="33"/>
      <c r="F136" s="34">
        <f t="shared" si="61"/>
        <v>130</v>
      </c>
      <c r="G136" s="35">
        <v>30</v>
      </c>
      <c r="H136" s="34">
        <f t="shared" si="62"/>
        <v>3900</v>
      </c>
      <c r="I136" s="64"/>
      <c r="J136" s="61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1"/>
      <c r="Y136" s="59"/>
    </row>
    <row r="137" spans="2:25" s="60" customFormat="1" ht="17.25" customHeight="1" x14ac:dyDescent="0.2">
      <c r="B137" s="52"/>
      <c r="C137" s="32"/>
      <c r="D137" s="33"/>
      <c r="E137" s="33"/>
      <c r="F137" s="34"/>
      <c r="G137" s="35"/>
      <c r="H137" s="34"/>
      <c r="I137" s="64"/>
      <c r="J137" s="61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1"/>
      <c r="Y137" s="59"/>
    </row>
    <row r="138" spans="2:25" s="60" customFormat="1" ht="17.25" customHeight="1" x14ac:dyDescent="0.2">
      <c r="B138" s="52" t="s">
        <v>38</v>
      </c>
      <c r="C138" s="32">
        <v>44630</v>
      </c>
      <c r="D138" s="33">
        <v>45400</v>
      </c>
      <c r="E138" s="33"/>
      <c r="F138" s="34">
        <f t="shared" ref="F138:F139" si="63">D138-C138</f>
        <v>770</v>
      </c>
      <c r="G138" s="35">
        <f>AVERAGE(38,53)</f>
        <v>45.5</v>
      </c>
      <c r="H138" s="34">
        <f t="shared" ref="H138:H139" si="64">ROUND(F138*G138,2)</f>
        <v>35035</v>
      </c>
      <c r="I138" s="64"/>
      <c r="J138" s="61"/>
      <c r="K138" s="30"/>
      <c r="L138" s="30">
        <f>ROUND(H138/9,2)</f>
        <v>3892.78</v>
      </c>
      <c r="M138" s="30">
        <f>ROUND(H138*$M$3/9,2)</f>
        <v>350.35</v>
      </c>
      <c r="N138" s="30"/>
      <c r="O138" s="30"/>
      <c r="P138" s="30">
        <f>ROUND(H138*2*$P$3/9,2)</f>
        <v>428.21</v>
      </c>
      <c r="Q138" s="30">
        <f>ROUND((R138+S138+T138)*32/G138,2)</f>
        <v>475.31</v>
      </c>
      <c r="R138" s="30">
        <f>ROUND(H138*$R$3/12/27,2)</f>
        <v>189.23</v>
      </c>
      <c r="S138" s="30">
        <f>ROUND(H138*$S$3/12/27,2)</f>
        <v>324.39999999999998</v>
      </c>
      <c r="T138" s="30">
        <f>ROUND(H138*$T$3/12/27,2)</f>
        <v>162.19999999999999</v>
      </c>
      <c r="U138" s="30"/>
      <c r="V138" s="101">
        <f>(ROUND(F138/25,0)+1)*15</f>
        <v>480</v>
      </c>
      <c r="W138" s="30"/>
      <c r="X138" s="31"/>
      <c r="Y138" s="59"/>
    </row>
    <row r="139" spans="2:25" s="60" customFormat="1" ht="17.25" customHeight="1" x14ac:dyDescent="0.2">
      <c r="B139" s="52" t="s">
        <v>36</v>
      </c>
      <c r="C139" s="32">
        <v>44630</v>
      </c>
      <c r="D139" s="33">
        <v>45400</v>
      </c>
      <c r="E139" s="33"/>
      <c r="F139" s="34">
        <f t="shared" si="63"/>
        <v>770</v>
      </c>
      <c r="G139" s="35">
        <v>30</v>
      </c>
      <c r="H139" s="34">
        <f t="shared" si="64"/>
        <v>23100</v>
      </c>
      <c r="I139" s="64"/>
      <c r="J139" s="61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1"/>
      <c r="Y139" s="59"/>
    </row>
    <row r="140" spans="2:25" s="60" customFormat="1" ht="17.45" customHeight="1" x14ac:dyDescent="0.2">
      <c r="B140" s="52"/>
      <c r="C140" s="32"/>
      <c r="D140" s="33"/>
      <c r="E140" s="33"/>
      <c r="F140" s="34"/>
      <c r="G140" s="35"/>
      <c r="H140" s="34"/>
      <c r="I140" s="64"/>
      <c r="J140" s="61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1"/>
      <c r="Y140" s="59"/>
    </row>
    <row r="141" spans="2:25" s="60" customFormat="1" ht="17.25" customHeight="1" x14ac:dyDescent="0.2">
      <c r="B141" s="52" t="s">
        <v>39</v>
      </c>
      <c r="C141" s="32">
        <v>45400</v>
      </c>
      <c r="D141" s="33">
        <v>45625</v>
      </c>
      <c r="E141" s="33"/>
      <c r="F141" s="34">
        <f>D141-C141</f>
        <v>225</v>
      </c>
      <c r="G141" s="35">
        <f>AVERAGE(53,58)</f>
        <v>55.5</v>
      </c>
      <c r="H141" s="34">
        <f>ROUND(F141*G141,2)</f>
        <v>12487.5</v>
      </c>
      <c r="I141" s="64"/>
      <c r="J141" s="61"/>
      <c r="K141" s="30">
        <f>ROUND(H141/9,2)</f>
        <v>1387.5</v>
      </c>
      <c r="L141" s="30">
        <f>ROUND(H141/9,2)</f>
        <v>1387.5</v>
      </c>
      <c r="M141" s="30">
        <f>ROUND(H141*$M$3/9,2)</f>
        <v>124.88</v>
      </c>
      <c r="N141" s="30">
        <f>ROUND(H141*$N$3/9,2)</f>
        <v>76.31</v>
      </c>
      <c r="O141" s="30"/>
      <c r="P141" s="30"/>
      <c r="Q141" s="30">
        <f>ROUND((R141+S141+T141)*40/G141,2)</f>
        <v>90.28</v>
      </c>
      <c r="R141" s="30">
        <f>ROUND(H141*$R$3/12/27,2)</f>
        <v>67.45</v>
      </c>
      <c r="S141" s="30"/>
      <c r="T141" s="30">
        <f>ROUND(H141*$T$3/12/27,2)</f>
        <v>57.81</v>
      </c>
      <c r="U141" s="30"/>
      <c r="V141" s="101">
        <f>(ROUND(F141/25,0)+1)*15</f>
        <v>150</v>
      </c>
      <c r="W141" s="30"/>
      <c r="X141" s="31"/>
      <c r="Y141" s="59"/>
    </row>
    <row r="142" spans="2:25" s="60" customFormat="1" ht="17.25" customHeight="1" x14ac:dyDescent="0.2">
      <c r="B142" s="52" t="s">
        <v>20</v>
      </c>
      <c r="C142" s="32">
        <v>45400</v>
      </c>
      <c r="D142" s="33">
        <v>45625</v>
      </c>
      <c r="E142" s="33"/>
      <c r="F142" s="34">
        <f>D142-C142</f>
        <v>225</v>
      </c>
      <c r="G142" s="35">
        <v>10</v>
      </c>
      <c r="H142" s="34">
        <f>ROUND(F142*G142,2)</f>
        <v>2250</v>
      </c>
      <c r="I142" s="64"/>
      <c r="J142" s="61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1"/>
      <c r="Y142" s="59"/>
    </row>
    <row r="143" spans="2:25" s="60" customFormat="1" ht="17.25" customHeight="1" x14ac:dyDescent="0.2">
      <c r="B143" s="52"/>
      <c r="C143" s="32"/>
      <c r="D143" s="33"/>
      <c r="E143" s="33"/>
      <c r="F143" s="34"/>
      <c r="G143" s="35"/>
      <c r="H143" s="34"/>
      <c r="I143" s="64"/>
      <c r="J143" s="61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1"/>
      <c r="Y143" s="59"/>
    </row>
    <row r="144" spans="2:25" s="60" customFormat="1" ht="17.25" customHeight="1" x14ac:dyDescent="0.2">
      <c r="B144" s="52" t="s">
        <v>38</v>
      </c>
      <c r="C144" s="32">
        <v>45625</v>
      </c>
      <c r="D144" s="33">
        <v>46240</v>
      </c>
      <c r="E144" s="33"/>
      <c r="F144" s="34">
        <f t="shared" ref="F144:F145" si="65">D144-C144</f>
        <v>615</v>
      </c>
      <c r="G144" s="35">
        <f>AVERAGE(58,71.5)</f>
        <v>64.75</v>
      </c>
      <c r="H144" s="34">
        <f t="shared" ref="H144:H145" si="66">ROUND(F144*G144,2)</f>
        <v>39821.25</v>
      </c>
      <c r="I144" s="64"/>
      <c r="J144" s="61"/>
      <c r="K144" s="30"/>
      <c r="L144" s="30">
        <f>ROUND(H144/9,2)</f>
        <v>4424.58</v>
      </c>
      <c r="M144" s="30">
        <f>ROUND(H144*$M$3/9,2)</f>
        <v>398.21</v>
      </c>
      <c r="N144" s="30"/>
      <c r="O144" s="30"/>
      <c r="P144" s="30">
        <f>ROUND(H144*2*$P$3/9,2)</f>
        <v>486.7</v>
      </c>
      <c r="Q144" s="30">
        <f>ROUND((R144+S144+T144)*40/G144,2)</f>
        <v>474.54</v>
      </c>
      <c r="R144" s="30">
        <f>ROUND(H144*$R$3/12/27,2)</f>
        <v>215.08</v>
      </c>
      <c r="S144" s="30">
        <f>ROUND(H144*$S$3/12/27,2)</f>
        <v>368.72</v>
      </c>
      <c r="T144" s="30">
        <f>ROUND(H144*$T$3/12/27,2)</f>
        <v>184.36</v>
      </c>
      <c r="U144" s="30"/>
      <c r="V144" s="101">
        <f>(ROUND(F144/25,0)+1)*15</f>
        <v>390</v>
      </c>
      <c r="W144" s="30"/>
      <c r="X144" s="31"/>
      <c r="Y144" s="59"/>
    </row>
    <row r="145" spans="2:25" s="60" customFormat="1" ht="17.25" customHeight="1" x14ac:dyDescent="0.2">
      <c r="B145" s="52" t="s">
        <v>36</v>
      </c>
      <c r="C145" s="32">
        <v>45625</v>
      </c>
      <c r="D145" s="33">
        <v>46240</v>
      </c>
      <c r="E145" s="33"/>
      <c r="F145" s="34">
        <f t="shared" si="65"/>
        <v>615</v>
      </c>
      <c r="G145" s="35">
        <v>30</v>
      </c>
      <c r="H145" s="34">
        <f t="shared" si="66"/>
        <v>18450</v>
      </c>
      <c r="I145" s="64"/>
      <c r="J145" s="61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1"/>
      <c r="Y145" s="59"/>
    </row>
    <row r="146" spans="2:25" s="60" customFormat="1" ht="17.25" customHeight="1" x14ac:dyDescent="0.2">
      <c r="B146" s="52"/>
      <c r="C146" s="32"/>
      <c r="D146" s="33"/>
      <c r="E146" s="33"/>
      <c r="F146" s="34"/>
      <c r="G146" s="35"/>
      <c r="H146" s="34"/>
      <c r="I146" s="64"/>
      <c r="J146" s="61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1"/>
      <c r="Y146" s="59"/>
    </row>
    <row r="147" spans="2:25" s="60" customFormat="1" ht="17.25" customHeight="1" x14ac:dyDescent="0.2">
      <c r="B147" s="52" t="s">
        <v>38</v>
      </c>
      <c r="C147" s="32">
        <v>46240</v>
      </c>
      <c r="D147" s="33">
        <v>46850</v>
      </c>
      <c r="E147" s="33"/>
      <c r="F147" s="34">
        <f t="shared" ref="F147:F148" si="67">D147-C147</f>
        <v>610</v>
      </c>
      <c r="G147" s="35">
        <f>4+24+10</f>
        <v>38</v>
      </c>
      <c r="H147" s="34">
        <f t="shared" ref="H147:H148" si="68">ROUND(F147*G147,2)</f>
        <v>23180</v>
      </c>
      <c r="I147" s="64"/>
      <c r="J147" s="61"/>
      <c r="K147" s="30"/>
      <c r="L147" s="30">
        <f>ROUND(H147/9,2)</f>
        <v>2575.56</v>
      </c>
      <c r="M147" s="30">
        <f>ROUND(H147*$M$3/9,2)</f>
        <v>231.8</v>
      </c>
      <c r="N147" s="30"/>
      <c r="O147" s="30"/>
      <c r="P147" s="30">
        <f>ROUND(H147*2*$P$3/9,2)</f>
        <v>283.31</v>
      </c>
      <c r="Q147" s="30">
        <f>ROUND((R147+S147+T147)*24/G147,2)</f>
        <v>282.39999999999998</v>
      </c>
      <c r="R147" s="30">
        <f>ROUND(H147*$R$3/12/27,2)</f>
        <v>125.2</v>
      </c>
      <c r="S147" s="30">
        <f>ROUND(H147*$S$3/12/27,2)</f>
        <v>214.63</v>
      </c>
      <c r="T147" s="30">
        <f>ROUND(H147*$T$3/12/27,2)</f>
        <v>107.31</v>
      </c>
      <c r="U147" s="30"/>
      <c r="V147" s="101">
        <f>(ROUND(F147/25,0)+1)*15</f>
        <v>375</v>
      </c>
      <c r="W147" s="30"/>
      <c r="X147" s="31"/>
      <c r="Y147" s="59"/>
    </row>
    <row r="148" spans="2:25" s="60" customFormat="1" ht="17.25" customHeight="1" x14ac:dyDescent="0.2">
      <c r="B148" s="52" t="s">
        <v>36</v>
      </c>
      <c r="C148" s="32">
        <v>46240</v>
      </c>
      <c r="D148" s="33">
        <v>46850</v>
      </c>
      <c r="E148" s="33"/>
      <c r="F148" s="34">
        <f t="shared" si="67"/>
        <v>610</v>
      </c>
      <c r="G148" s="35">
        <v>30</v>
      </c>
      <c r="H148" s="34">
        <f t="shared" si="68"/>
        <v>18300</v>
      </c>
      <c r="I148" s="64"/>
      <c r="J148" s="61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1"/>
      <c r="Y148" s="59"/>
    </row>
    <row r="149" spans="2:25" s="60" customFormat="1" ht="17.45" customHeight="1" x14ac:dyDescent="0.2">
      <c r="B149" s="52"/>
      <c r="C149" s="32"/>
      <c r="D149" s="33"/>
      <c r="E149" s="33"/>
      <c r="F149" s="34"/>
      <c r="G149" s="35"/>
      <c r="H149" s="34"/>
      <c r="I149" s="64"/>
      <c r="J149" s="61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1"/>
      <c r="Y149" s="59"/>
    </row>
    <row r="150" spans="2:25" s="60" customFormat="1" ht="17.25" customHeight="1" x14ac:dyDescent="0.2">
      <c r="B150" s="52" t="s">
        <v>39</v>
      </c>
      <c r="C150" s="32">
        <v>46850</v>
      </c>
      <c r="D150" s="33">
        <v>47000</v>
      </c>
      <c r="E150" s="33"/>
      <c r="F150" s="34">
        <f>D150-C150</f>
        <v>150</v>
      </c>
      <c r="G150" s="35">
        <f>4+24+10</f>
        <v>38</v>
      </c>
      <c r="H150" s="34">
        <f>ROUND(F150*G150,2)</f>
        <v>5700</v>
      </c>
      <c r="I150" s="64"/>
      <c r="J150" s="61"/>
      <c r="K150" s="30">
        <f>ROUND(H150/9,2)</f>
        <v>633.33000000000004</v>
      </c>
      <c r="L150" s="30">
        <f>ROUND(H150/9,2)</f>
        <v>633.33000000000004</v>
      </c>
      <c r="M150" s="30">
        <f>ROUND(H150*$M$3/9,2)</f>
        <v>57</v>
      </c>
      <c r="N150" s="30">
        <f>ROUND(H150*$N$3/9,2)</f>
        <v>34.83</v>
      </c>
      <c r="O150" s="30"/>
      <c r="P150" s="30"/>
      <c r="Q150" s="30">
        <f>ROUND((R150+S150+T150)*24/G150,2)</f>
        <v>36.11</v>
      </c>
      <c r="R150" s="30">
        <f>ROUND(H150*$R$3/12/27,2)</f>
        <v>30.79</v>
      </c>
      <c r="S150" s="30"/>
      <c r="T150" s="30">
        <f>ROUND(H150*$T$3/12/27,2)</f>
        <v>26.39</v>
      </c>
      <c r="U150" s="30"/>
      <c r="V150" s="101">
        <f>(ROUND(F150/25,0)+1)*15</f>
        <v>105</v>
      </c>
      <c r="W150" s="30"/>
      <c r="X150" s="31"/>
      <c r="Y150" s="59"/>
    </row>
    <row r="151" spans="2:25" s="60" customFormat="1" ht="17.25" customHeight="1" x14ac:dyDescent="0.2">
      <c r="B151" s="52" t="s">
        <v>20</v>
      </c>
      <c r="C151" s="32">
        <v>46850</v>
      </c>
      <c r="D151" s="33">
        <v>47000</v>
      </c>
      <c r="E151" s="33"/>
      <c r="F151" s="34">
        <f>D151-C151</f>
        <v>150</v>
      </c>
      <c r="G151" s="35">
        <v>5</v>
      </c>
      <c r="H151" s="34">
        <f>ROUND(F151*G151,2)</f>
        <v>750</v>
      </c>
      <c r="I151" s="64"/>
      <c r="J151" s="61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1"/>
      <c r="Y151" s="59"/>
    </row>
    <row r="152" spans="2:25" s="60" customFormat="1" ht="17.25" customHeight="1" x14ac:dyDescent="0.2">
      <c r="B152" s="52"/>
      <c r="C152" s="32"/>
      <c r="D152" s="33"/>
      <c r="E152" s="33"/>
      <c r="F152" s="34"/>
      <c r="G152" s="35"/>
      <c r="H152" s="34"/>
      <c r="I152" s="64"/>
      <c r="J152" s="61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1"/>
      <c r="Y152" s="59"/>
    </row>
    <row r="153" spans="2:25" s="60" customFormat="1" ht="17.25" customHeight="1" x14ac:dyDescent="0.2">
      <c r="B153" s="52" t="s">
        <v>38</v>
      </c>
      <c r="C153" s="32">
        <v>47000</v>
      </c>
      <c r="D153" s="33">
        <v>47497</v>
      </c>
      <c r="E153" s="33"/>
      <c r="F153" s="34">
        <f t="shared" ref="F153:F154" si="69">D153-C153</f>
        <v>497</v>
      </c>
      <c r="G153" s="35">
        <f>4+24+10</f>
        <v>38</v>
      </c>
      <c r="H153" s="34">
        <f t="shared" ref="H153:H154" si="70">ROUND(F153*G153,2)</f>
        <v>18886</v>
      </c>
      <c r="I153" s="64"/>
      <c r="J153" s="61"/>
      <c r="K153" s="30"/>
      <c r="L153" s="30">
        <f>ROUND(H153/9,2)</f>
        <v>2098.44</v>
      </c>
      <c r="M153" s="30">
        <f>ROUND(H153*$M$3/9,2)</f>
        <v>188.86</v>
      </c>
      <c r="N153" s="30"/>
      <c r="O153" s="30"/>
      <c r="P153" s="30">
        <f>ROUND(H153*2*$P$3/9,2)</f>
        <v>230.83</v>
      </c>
      <c r="Q153" s="30">
        <f>ROUND((R153+S153+T153)*24/G153,2)</f>
        <v>230.1</v>
      </c>
      <c r="R153" s="30">
        <f>ROUND(H153*$R$3/12/27,2)</f>
        <v>102.01</v>
      </c>
      <c r="S153" s="30">
        <f>ROUND(H153*$S$3/12/27,2)</f>
        <v>174.87</v>
      </c>
      <c r="T153" s="30">
        <f>ROUND(H153*$T$3/12/27,2)</f>
        <v>87.44</v>
      </c>
      <c r="U153" s="30"/>
      <c r="V153" s="101">
        <f>(ROUND(F153/25,0)+1)*15</f>
        <v>315</v>
      </c>
      <c r="W153" s="30"/>
      <c r="X153" s="31"/>
      <c r="Y153" s="59"/>
    </row>
    <row r="154" spans="2:25" s="60" customFormat="1" ht="17.25" customHeight="1" x14ac:dyDescent="0.2">
      <c r="B154" s="52" t="s">
        <v>36</v>
      </c>
      <c r="C154" s="32">
        <v>47000</v>
      </c>
      <c r="D154" s="33">
        <v>47497</v>
      </c>
      <c r="E154" s="33"/>
      <c r="F154" s="34">
        <f t="shared" si="69"/>
        <v>497</v>
      </c>
      <c r="G154" s="35">
        <v>30</v>
      </c>
      <c r="H154" s="34">
        <f t="shared" si="70"/>
        <v>14910</v>
      </c>
      <c r="I154" s="64"/>
      <c r="J154" s="61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1"/>
      <c r="Y154" s="59"/>
    </row>
    <row r="155" spans="2:25" s="60" customFormat="1" ht="17.25" customHeight="1" x14ac:dyDescent="0.2">
      <c r="B155" s="52"/>
      <c r="C155" s="32"/>
      <c r="D155" s="33"/>
      <c r="E155" s="33"/>
      <c r="F155" s="34"/>
      <c r="G155" s="35"/>
      <c r="H155" s="34"/>
      <c r="I155" s="64"/>
      <c r="J155" s="61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1"/>
      <c r="Y155" s="59"/>
    </row>
    <row r="156" spans="2:25" s="60" customFormat="1" ht="17.25" customHeight="1" x14ac:dyDescent="0.2">
      <c r="B156" s="52" t="s">
        <v>38</v>
      </c>
      <c r="C156" s="32">
        <v>47497</v>
      </c>
      <c r="D156" s="33">
        <v>47960</v>
      </c>
      <c r="E156" s="33"/>
      <c r="F156" s="34">
        <f t="shared" ref="F156:F157" si="71">D156-C156</f>
        <v>463</v>
      </c>
      <c r="G156" s="35">
        <f>AVERAGE(90,50)</f>
        <v>70</v>
      </c>
      <c r="H156" s="34">
        <f t="shared" ref="H156:H157" si="72">ROUND(F156*G156,2)</f>
        <v>32410</v>
      </c>
      <c r="I156" s="64"/>
      <c r="J156" s="61"/>
      <c r="K156" s="30"/>
      <c r="L156" s="30">
        <f>ROUND(H156/9,2)</f>
        <v>3601.11</v>
      </c>
      <c r="M156" s="30">
        <f>ROUND(H156*$M$3/9,2)</f>
        <v>324.10000000000002</v>
      </c>
      <c r="N156" s="30"/>
      <c r="O156" s="30"/>
      <c r="P156" s="30">
        <f>ROUND(H156*2*$P$3/9,2)</f>
        <v>396.12</v>
      </c>
      <c r="Q156" s="30">
        <f>ROUND((R156+S156+T156)*42/G156,2)</f>
        <v>375.11</v>
      </c>
      <c r="R156" s="30">
        <f>ROUND(H156*$R$3/12/27,2)</f>
        <v>175.05</v>
      </c>
      <c r="S156" s="30">
        <f>ROUND(H156*$S$3/12/27,2)</f>
        <v>300.08999999999997</v>
      </c>
      <c r="T156" s="30">
        <f>ROUND(H156*$T$3/12/27,2)</f>
        <v>150.05000000000001</v>
      </c>
      <c r="U156" s="30"/>
      <c r="V156" s="101">
        <f>(ROUND(F156/25,0)+1)*15</f>
        <v>300</v>
      </c>
      <c r="W156" s="30"/>
      <c r="X156" s="31"/>
      <c r="Y156" s="59"/>
    </row>
    <row r="157" spans="2:25" s="60" customFormat="1" ht="17.25" customHeight="1" x14ac:dyDescent="0.2">
      <c r="B157" s="52" t="s">
        <v>36</v>
      </c>
      <c r="C157" s="32">
        <v>47497</v>
      </c>
      <c r="D157" s="33">
        <v>47960</v>
      </c>
      <c r="E157" s="33"/>
      <c r="F157" s="34">
        <f t="shared" si="71"/>
        <v>463</v>
      </c>
      <c r="G157" s="35">
        <v>30</v>
      </c>
      <c r="H157" s="34">
        <f t="shared" si="72"/>
        <v>13890</v>
      </c>
      <c r="I157" s="64"/>
      <c r="J157" s="61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1"/>
      <c r="Y157" s="59"/>
    </row>
    <row r="158" spans="2:25" s="60" customFormat="1" ht="17.25" customHeight="1" x14ac:dyDescent="0.2">
      <c r="B158" s="52"/>
      <c r="C158" s="32"/>
      <c r="D158" s="33"/>
      <c r="E158" s="33"/>
      <c r="F158" s="34"/>
      <c r="G158" s="35"/>
      <c r="H158" s="34"/>
      <c r="I158" s="64"/>
      <c r="J158" s="61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1"/>
      <c r="Y158" s="59"/>
    </row>
    <row r="159" spans="2:25" s="60" customFormat="1" ht="17.25" customHeight="1" x14ac:dyDescent="0.2">
      <c r="B159" s="52" t="s">
        <v>38</v>
      </c>
      <c r="C159" s="32">
        <v>47960</v>
      </c>
      <c r="D159" s="33">
        <v>48320</v>
      </c>
      <c r="E159" s="33"/>
      <c r="F159" s="34">
        <f t="shared" ref="F159:F160" si="73">D159-C159</f>
        <v>360</v>
      </c>
      <c r="G159" s="35">
        <v>50</v>
      </c>
      <c r="H159" s="34">
        <f t="shared" ref="H159:H160" si="74">ROUND(F159*G159,2)</f>
        <v>18000</v>
      </c>
      <c r="I159" s="64"/>
      <c r="J159" s="61"/>
      <c r="K159" s="30"/>
      <c r="L159" s="30">
        <f>ROUND(H159/9,2)</f>
        <v>2000</v>
      </c>
      <c r="M159" s="30">
        <f>ROUND(H159*$M$3/9,2)</f>
        <v>180</v>
      </c>
      <c r="N159" s="30"/>
      <c r="O159" s="30"/>
      <c r="P159" s="30">
        <f>ROUND(H159*2*$P$3/9,2)</f>
        <v>220</v>
      </c>
      <c r="Q159" s="30">
        <f>ROUND((R159+S159+T159)*36/G159,2)</f>
        <v>250</v>
      </c>
      <c r="R159" s="30">
        <f>ROUND(H159*$R$3/12/27,2)</f>
        <v>97.22</v>
      </c>
      <c r="S159" s="30">
        <f>ROUND(H159*$S$3/12/27,2)</f>
        <v>166.67</v>
      </c>
      <c r="T159" s="30">
        <f>ROUND(H159*$T$3/12/27,2)</f>
        <v>83.33</v>
      </c>
      <c r="U159" s="30"/>
      <c r="V159" s="101">
        <f>(ROUND(F159/25,0)+1)*15</f>
        <v>225</v>
      </c>
      <c r="W159" s="30"/>
      <c r="X159" s="31"/>
      <c r="Y159" s="59"/>
    </row>
    <row r="160" spans="2:25" s="60" customFormat="1" ht="17.25" customHeight="1" x14ac:dyDescent="0.2">
      <c r="B160" s="52" t="s">
        <v>36</v>
      </c>
      <c r="C160" s="32">
        <v>47960</v>
      </c>
      <c r="D160" s="33">
        <v>48320</v>
      </c>
      <c r="E160" s="33"/>
      <c r="F160" s="34">
        <f t="shared" si="73"/>
        <v>360</v>
      </c>
      <c r="G160" s="35">
        <v>30</v>
      </c>
      <c r="H160" s="34">
        <f t="shared" si="74"/>
        <v>10800</v>
      </c>
      <c r="I160" s="64"/>
      <c r="J160" s="61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1"/>
      <c r="Y160" s="59"/>
    </row>
    <row r="161" spans="2:25" s="60" customFormat="1" ht="17.25" customHeight="1" x14ac:dyDescent="0.2">
      <c r="B161" s="52"/>
      <c r="C161" s="32"/>
      <c r="D161" s="33"/>
      <c r="E161" s="33"/>
      <c r="F161" s="34"/>
      <c r="G161" s="35"/>
      <c r="H161" s="34"/>
      <c r="I161" s="64"/>
      <c r="J161" s="61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1"/>
      <c r="Y161" s="59"/>
    </row>
    <row r="162" spans="2:25" s="60" customFormat="1" ht="17.25" customHeight="1" x14ac:dyDescent="0.2">
      <c r="B162" s="52" t="s">
        <v>38</v>
      </c>
      <c r="C162" s="32">
        <v>48320</v>
      </c>
      <c r="D162" s="33">
        <v>48450</v>
      </c>
      <c r="E162" s="33"/>
      <c r="F162" s="34">
        <f t="shared" ref="F162:F163" si="75">D162-C162</f>
        <v>130</v>
      </c>
      <c r="G162" s="35">
        <v>54</v>
      </c>
      <c r="H162" s="34">
        <f t="shared" ref="H162:H163" si="76">ROUND(F162*G162,2)</f>
        <v>7020</v>
      </c>
      <c r="I162" s="64"/>
      <c r="J162" s="61"/>
      <c r="K162" s="30"/>
      <c r="L162" s="30">
        <f>ROUND(H162/9,2)</f>
        <v>780</v>
      </c>
      <c r="M162" s="30">
        <f>ROUND(H162*$M$3/9,2)</f>
        <v>70.2</v>
      </c>
      <c r="N162" s="30"/>
      <c r="O162" s="30"/>
      <c r="P162" s="30">
        <f>ROUND(H162*2*$P$3/9,2)</f>
        <v>85.8</v>
      </c>
      <c r="Q162" s="30">
        <f>ROUND((R162+S162+T162)*36/G162,2)</f>
        <v>90.28</v>
      </c>
      <c r="R162" s="30">
        <f>ROUND(H162*$R$3/12/27,2)</f>
        <v>37.92</v>
      </c>
      <c r="S162" s="30">
        <f>ROUND(H162*$S$3/12/27,2)</f>
        <v>65</v>
      </c>
      <c r="T162" s="30">
        <f>ROUND(H162*$T$3/12/27,2)</f>
        <v>32.5</v>
      </c>
      <c r="U162" s="30"/>
      <c r="V162" s="101">
        <f>(ROUND(F162/25,0)+1)*15</f>
        <v>90</v>
      </c>
      <c r="W162" s="30"/>
      <c r="X162" s="31"/>
      <c r="Y162" s="59"/>
    </row>
    <row r="163" spans="2:25" s="60" customFormat="1" ht="17.25" customHeight="1" x14ac:dyDescent="0.2">
      <c r="B163" s="52" t="s">
        <v>36</v>
      </c>
      <c r="C163" s="32">
        <v>48320</v>
      </c>
      <c r="D163" s="33">
        <v>48450</v>
      </c>
      <c r="E163" s="33"/>
      <c r="F163" s="34">
        <f t="shared" si="75"/>
        <v>130</v>
      </c>
      <c r="G163" s="35">
        <v>30</v>
      </c>
      <c r="H163" s="34">
        <f t="shared" si="76"/>
        <v>3900</v>
      </c>
      <c r="I163" s="64"/>
      <c r="J163" s="61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1"/>
      <c r="Y163" s="59"/>
    </row>
    <row r="164" spans="2:25" s="60" customFormat="1" ht="17.25" customHeight="1" x14ac:dyDescent="0.2">
      <c r="B164" s="52"/>
      <c r="C164" s="32"/>
      <c r="D164" s="33"/>
      <c r="E164" s="33"/>
      <c r="F164" s="34"/>
      <c r="G164" s="35"/>
      <c r="H164" s="34"/>
      <c r="I164" s="64"/>
      <c r="J164" s="61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1"/>
      <c r="Y164" s="59"/>
    </row>
    <row r="165" spans="2:25" s="60" customFormat="1" ht="17.25" customHeight="1" x14ac:dyDescent="0.2">
      <c r="B165" s="52" t="s">
        <v>38</v>
      </c>
      <c r="C165" s="32">
        <v>48450</v>
      </c>
      <c r="D165" s="33">
        <v>49480</v>
      </c>
      <c r="E165" s="33"/>
      <c r="F165" s="34">
        <f t="shared" ref="F165:F166" si="77">D165-C165</f>
        <v>1030</v>
      </c>
      <c r="G165" s="35">
        <v>58</v>
      </c>
      <c r="H165" s="34">
        <f t="shared" ref="H165:H166" si="78">ROUND(F165*G165,2)</f>
        <v>59740</v>
      </c>
      <c r="I165" s="64"/>
      <c r="J165" s="61"/>
      <c r="K165" s="30"/>
      <c r="L165" s="30">
        <f>ROUND(H165/9,2)</f>
        <v>6637.78</v>
      </c>
      <c r="M165" s="30">
        <f>ROUND(H165*$M$3/9,2)</f>
        <v>597.4</v>
      </c>
      <c r="N165" s="30"/>
      <c r="O165" s="30"/>
      <c r="P165" s="30">
        <f>ROUND(H165*2*$P$3/9,2)</f>
        <v>730.16</v>
      </c>
      <c r="Q165" s="30">
        <f>ROUND((R165+S165+T165)*36/G165,2)</f>
        <v>715.28</v>
      </c>
      <c r="R165" s="30">
        <f>ROUND(H165*$R$3/12/27,2)</f>
        <v>322.67</v>
      </c>
      <c r="S165" s="30">
        <f>ROUND(H165*$S$3/12/27,2)</f>
        <v>553.15</v>
      </c>
      <c r="T165" s="30">
        <f>ROUND(H165*$T$3/12/27,2)</f>
        <v>276.57</v>
      </c>
      <c r="U165" s="30"/>
      <c r="V165" s="101">
        <f>(ROUND(F165/25,0)+1)*15</f>
        <v>630</v>
      </c>
      <c r="W165" s="30"/>
      <c r="X165" s="31"/>
      <c r="Y165" s="59"/>
    </row>
    <row r="166" spans="2:25" s="60" customFormat="1" ht="17.25" customHeight="1" x14ac:dyDescent="0.2">
      <c r="B166" s="52" t="s">
        <v>36</v>
      </c>
      <c r="C166" s="32">
        <v>48450</v>
      </c>
      <c r="D166" s="33">
        <v>49480</v>
      </c>
      <c r="E166" s="33"/>
      <c r="F166" s="34">
        <f t="shared" si="77"/>
        <v>1030</v>
      </c>
      <c r="G166" s="35">
        <v>30</v>
      </c>
      <c r="H166" s="34">
        <f t="shared" si="78"/>
        <v>30900</v>
      </c>
      <c r="I166" s="64"/>
      <c r="J166" s="61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1"/>
      <c r="Y166" s="59"/>
    </row>
    <row r="167" spans="2:25" s="60" customFormat="1" ht="17.25" customHeight="1" x14ac:dyDescent="0.2">
      <c r="B167" s="52"/>
      <c r="C167" s="32"/>
      <c r="D167" s="33"/>
      <c r="E167" s="33"/>
      <c r="F167" s="34"/>
      <c r="G167" s="35"/>
      <c r="H167" s="34"/>
      <c r="I167" s="64"/>
      <c r="J167" s="61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1"/>
      <c r="Y167" s="59"/>
    </row>
    <row r="168" spans="2:25" s="60" customFormat="1" ht="17.25" customHeight="1" x14ac:dyDescent="0.2">
      <c r="B168" s="52" t="s">
        <v>67</v>
      </c>
      <c r="C168" s="32">
        <v>49480</v>
      </c>
      <c r="D168" s="33">
        <f>C168+17</f>
        <v>49497</v>
      </c>
      <c r="E168" s="33"/>
      <c r="F168" s="34">
        <f>D168-C168</f>
        <v>17</v>
      </c>
      <c r="G168" s="35">
        <v>58</v>
      </c>
      <c r="H168" s="34"/>
      <c r="I168" s="64">
        <v>1187.43</v>
      </c>
      <c r="J168" s="61"/>
      <c r="K168" s="30">
        <f>ROUND(I168/9,2)</f>
        <v>131.94</v>
      </c>
      <c r="L168" s="30"/>
      <c r="M168" s="30">
        <f>ROUND(I168*$M$3/9,2)</f>
        <v>11.87</v>
      </c>
      <c r="N168" s="30">
        <f>ROUND((I169-I168)*$N$3/9,2)</f>
        <v>1.44</v>
      </c>
      <c r="O168" s="30"/>
      <c r="P168" s="30"/>
      <c r="Q168" s="30"/>
      <c r="R168" s="30"/>
      <c r="S168" s="30"/>
      <c r="T168" s="30"/>
      <c r="U168" s="30"/>
      <c r="V168" s="101"/>
      <c r="W168" s="30"/>
      <c r="X168" s="31"/>
      <c r="Y168" s="59"/>
    </row>
    <row r="169" spans="2:25" s="60" customFormat="1" ht="17.25" customHeight="1" x14ac:dyDescent="0.2">
      <c r="B169" s="52" t="s">
        <v>42</v>
      </c>
      <c r="C169" s="32">
        <v>49480</v>
      </c>
      <c r="D169" s="33">
        <f t="shared" ref="D169:D170" si="79">C169+21</f>
        <v>49501</v>
      </c>
      <c r="E169" s="33"/>
      <c r="F169" s="34">
        <f>D169-C169</f>
        <v>21</v>
      </c>
      <c r="G169" s="35">
        <v>58</v>
      </c>
      <c r="H169" s="34"/>
      <c r="I169" s="64">
        <v>1422.87</v>
      </c>
      <c r="J169" s="61"/>
      <c r="K169" s="30"/>
      <c r="L169" s="30"/>
      <c r="M169" s="30"/>
      <c r="N169" s="30">
        <f>ROUND(I169*$N$3/9,2)</f>
        <v>8.6999999999999993</v>
      </c>
      <c r="O169" s="30"/>
      <c r="P169" s="30"/>
      <c r="Q169" s="30">
        <f>ROUND((R169+S169+T169)*36/G169,2)</f>
        <v>8.86</v>
      </c>
      <c r="R169" s="30">
        <f>ROUND(I169*$R$3/12/27,2)</f>
        <v>7.69</v>
      </c>
      <c r="S169" s="30"/>
      <c r="T169" s="30">
        <f>ROUND(I169*$T$3/12/27,2)</f>
        <v>6.59</v>
      </c>
      <c r="U169" s="30"/>
      <c r="V169" s="101"/>
      <c r="W169" s="30"/>
      <c r="X169" s="31"/>
      <c r="Y169" s="59"/>
    </row>
    <row r="170" spans="2:25" s="60" customFormat="1" ht="17.25" customHeight="1" x14ac:dyDescent="0.2">
      <c r="B170" s="52" t="s">
        <v>34</v>
      </c>
      <c r="C170" s="32">
        <v>49480</v>
      </c>
      <c r="D170" s="33">
        <f t="shared" si="79"/>
        <v>49501</v>
      </c>
      <c r="E170" s="33"/>
      <c r="F170" s="34">
        <f t="shared" ref="F170" si="80">D170-C170</f>
        <v>21</v>
      </c>
      <c r="G170" s="35">
        <v>59</v>
      </c>
      <c r="H170" s="34"/>
      <c r="I170" s="64"/>
      <c r="J170" s="61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>
        <f>G170</f>
        <v>59</v>
      </c>
      <c r="V170" s="101"/>
      <c r="W170" s="30"/>
      <c r="X170" s="31"/>
      <c r="Y170" s="59"/>
    </row>
    <row r="171" spans="2:25" s="60" customFormat="1" ht="17.25" customHeight="1" x14ac:dyDescent="0.2">
      <c r="B171" s="52"/>
      <c r="C171" s="32"/>
      <c r="D171" s="33"/>
      <c r="E171" s="33"/>
      <c r="F171" s="34"/>
      <c r="G171" s="35"/>
      <c r="H171" s="34"/>
      <c r="I171" s="64"/>
      <c r="J171" s="61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1"/>
      <c r="Y171" s="59"/>
    </row>
    <row r="172" spans="2:25" s="60" customFormat="1" ht="17.25" customHeight="1" x14ac:dyDescent="0.2">
      <c r="B172" s="52" t="s">
        <v>47</v>
      </c>
      <c r="C172" s="32"/>
      <c r="D172" s="33"/>
      <c r="E172" s="33"/>
      <c r="F172" s="34"/>
      <c r="G172" s="35"/>
      <c r="H172" s="34"/>
      <c r="I172" s="64"/>
      <c r="J172" s="61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1"/>
      <c r="Y172" s="59"/>
    </row>
    <row r="173" spans="2:25" s="60" customFormat="1" ht="17.25" customHeight="1" x14ac:dyDescent="0.2">
      <c r="B173" s="52"/>
      <c r="C173" s="32"/>
      <c r="D173" s="33"/>
      <c r="E173" s="33"/>
      <c r="F173" s="34"/>
      <c r="G173" s="35"/>
      <c r="H173" s="34"/>
      <c r="I173" s="64"/>
      <c r="J173" s="61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1"/>
      <c r="Y173" s="59"/>
    </row>
    <row r="174" spans="2:25" s="60" customFormat="1" ht="17.25" customHeight="1" x14ac:dyDescent="0.2">
      <c r="B174" s="52" t="s">
        <v>67</v>
      </c>
      <c r="C174" s="32">
        <f>D174-17</f>
        <v>49705</v>
      </c>
      <c r="D174" s="33">
        <v>49722</v>
      </c>
      <c r="E174" s="33"/>
      <c r="F174" s="34">
        <f>D174-C174</f>
        <v>17</v>
      </c>
      <c r="G174" s="35">
        <v>58</v>
      </c>
      <c r="H174" s="34"/>
      <c r="I174" s="64">
        <v>1204.97</v>
      </c>
      <c r="J174" s="61"/>
      <c r="K174" s="30">
        <f>ROUND(I174/9,2)</f>
        <v>133.88999999999999</v>
      </c>
      <c r="L174" s="30"/>
      <c r="M174" s="30">
        <f>ROUND(I174*$M$3/9,2)</f>
        <v>12.05</v>
      </c>
      <c r="N174" s="30">
        <f>ROUND((I175-I174)*$N$3/9,2)</f>
        <v>1.5</v>
      </c>
      <c r="O174" s="30"/>
      <c r="P174" s="30"/>
      <c r="Q174" s="30"/>
      <c r="R174" s="30"/>
      <c r="S174" s="30"/>
      <c r="T174" s="30"/>
      <c r="U174" s="30"/>
      <c r="V174" s="101"/>
      <c r="W174" s="30"/>
      <c r="X174" s="31"/>
      <c r="Y174" s="59"/>
    </row>
    <row r="175" spans="2:25" s="60" customFormat="1" ht="17.25" customHeight="1" x14ac:dyDescent="0.2">
      <c r="B175" s="52" t="s">
        <v>42</v>
      </c>
      <c r="C175" s="32">
        <f t="shared" ref="C175:C176" si="81">D175-21</f>
        <v>49701</v>
      </c>
      <c r="D175" s="33">
        <v>49722</v>
      </c>
      <c r="E175" s="33"/>
      <c r="F175" s="34">
        <f>D175-C175</f>
        <v>21</v>
      </c>
      <c r="G175" s="35">
        <v>58</v>
      </c>
      <c r="H175" s="34"/>
      <c r="I175" s="64">
        <v>1450.61</v>
      </c>
      <c r="J175" s="61"/>
      <c r="K175" s="30"/>
      <c r="L175" s="30"/>
      <c r="M175" s="30"/>
      <c r="N175" s="30">
        <f>ROUND(I175*$N$3/9,2)</f>
        <v>8.86</v>
      </c>
      <c r="O175" s="30"/>
      <c r="P175" s="30"/>
      <c r="Q175" s="30">
        <f>ROUND((R175+S175+T175)*36/G175,2)</f>
        <v>9.0399999999999991</v>
      </c>
      <c r="R175" s="30">
        <f>ROUND(I175*$R$3/12/27,2)</f>
        <v>7.84</v>
      </c>
      <c r="S175" s="30"/>
      <c r="T175" s="30">
        <f>ROUND(I175*$T$3/12/27,2)</f>
        <v>6.72</v>
      </c>
      <c r="U175" s="30"/>
      <c r="V175" s="101"/>
      <c r="W175" s="30"/>
      <c r="X175" s="31"/>
      <c r="Y175" s="59"/>
    </row>
    <row r="176" spans="2:25" s="60" customFormat="1" ht="17.25" customHeight="1" x14ac:dyDescent="0.2">
      <c r="B176" s="52" t="s">
        <v>34</v>
      </c>
      <c r="C176" s="32">
        <f t="shared" si="81"/>
        <v>49701</v>
      </c>
      <c r="D176" s="33">
        <v>49722</v>
      </c>
      <c r="E176" s="33"/>
      <c r="F176" s="34">
        <f t="shared" ref="F176" si="82">D176-C176</f>
        <v>21</v>
      </c>
      <c r="G176" s="35">
        <v>62</v>
      </c>
      <c r="H176" s="34"/>
      <c r="I176" s="64"/>
      <c r="J176" s="61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>
        <f>G176</f>
        <v>62</v>
      </c>
      <c r="V176" s="101"/>
      <c r="W176" s="30"/>
      <c r="X176" s="31"/>
      <c r="Y176" s="59"/>
    </row>
    <row r="177" spans="2:25" s="60" customFormat="1" ht="17.25" customHeight="1" x14ac:dyDescent="0.2">
      <c r="B177" s="52"/>
      <c r="C177" s="32"/>
      <c r="D177" s="33"/>
      <c r="E177" s="33"/>
      <c r="F177" s="34"/>
      <c r="G177" s="35"/>
      <c r="H177" s="34"/>
      <c r="I177" s="64"/>
      <c r="J177" s="61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1"/>
      <c r="Y177" s="59"/>
    </row>
    <row r="178" spans="2:25" s="60" customFormat="1" ht="17.25" customHeight="1" x14ac:dyDescent="0.2">
      <c r="B178" s="52" t="s">
        <v>38</v>
      </c>
      <c r="C178" s="32">
        <v>49722</v>
      </c>
      <c r="D178" s="33">
        <v>51974</v>
      </c>
      <c r="E178" s="33"/>
      <c r="F178" s="34">
        <f t="shared" ref="F178:F179" si="83">D178-C178</f>
        <v>2252</v>
      </c>
      <c r="G178" s="35">
        <v>58</v>
      </c>
      <c r="H178" s="34">
        <f t="shared" ref="H178:H179" si="84">ROUND(F178*G178,2)</f>
        <v>130616</v>
      </c>
      <c r="I178" s="64"/>
      <c r="J178" s="61"/>
      <c r="K178" s="30"/>
      <c r="L178" s="30">
        <f>ROUND(H178/9,2)</f>
        <v>14512.89</v>
      </c>
      <c r="M178" s="30">
        <f>ROUND(H178*$M$3/9,2)</f>
        <v>1306.1600000000001</v>
      </c>
      <c r="N178" s="30"/>
      <c r="O178" s="30"/>
      <c r="P178" s="30">
        <f>ROUND(H178*2*$P$3/9,2)</f>
        <v>1596.42</v>
      </c>
      <c r="Q178" s="30">
        <f>ROUND((R178+S178+T178)*36/G178,2)</f>
        <v>1563.89</v>
      </c>
      <c r="R178" s="30">
        <f>ROUND(H178*$R$3/12/27,2)</f>
        <v>705.49</v>
      </c>
      <c r="S178" s="30">
        <f>ROUND(H178*$S$3/12/27,2)</f>
        <v>1209.4100000000001</v>
      </c>
      <c r="T178" s="30">
        <f>ROUND(H178*$T$3/12/27,2)</f>
        <v>604.70000000000005</v>
      </c>
      <c r="U178" s="30"/>
      <c r="V178" s="101">
        <f>(ROUND(F178/25,0)+1)*15</f>
        <v>1365</v>
      </c>
      <c r="W178" s="30"/>
      <c r="X178" s="31"/>
      <c r="Y178" s="59"/>
    </row>
    <row r="179" spans="2:25" s="60" customFormat="1" ht="17.25" customHeight="1" x14ac:dyDescent="0.2">
      <c r="B179" s="52" t="s">
        <v>36</v>
      </c>
      <c r="C179" s="32">
        <v>49722</v>
      </c>
      <c r="D179" s="33">
        <v>51974</v>
      </c>
      <c r="E179" s="33"/>
      <c r="F179" s="34">
        <f t="shared" si="83"/>
        <v>2252</v>
      </c>
      <c r="G179" s="35">
        <v>30</v>
      </c>
      <c r="H179" s="34">
        <f t="shared" si="84"/>
        <v>67560</v>
      </c>
      <c r="I179" s="64"/>
      <c r="J179" s="61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1"/>
      <c r="Y179" s="59"/>
    </row>
    <row r="180" spans="2:25" s="60" customFormat="1" ht="17.25" customHeight="1" x14ac:dyDescent="0.2">
      <c r="B180" s="52"/>
      <c r="C180" s="32"/>
      <c r="D180" s="33"/>
      <c r="E180" s="33"/>
      <c r="F180" s="34"/>
      <c r="G180" s="35"/>
      <c r="H180" s="34"/>
      <c r="I180" s="64"/>
      <c r="J180" s="61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1"/>
      <c r="Y180" s="59"/>
    </row>
    <row r="181" spans="2:25" s="60" customFormat="1" ht="17.25" customHeight="1" x14ac:dyDescent="0.2">
      <c r="B181" s="52" t="s">
        <v>67</v>
      </c>
      <c r="C181" s="32">
        <v>51974</v>
      </c>
      <c r="D181" s="33">
        <f>C181+17</f>
        <v>51991</v>
      </c>
      <c r="E181" s="33"/>
      <c r="F181" s="34">
        <f>D181-C181</f>
        <v>17</v>
      </c>
      <c r="G181" s="35">
        <v>58</v>
      </c>
      <c r="H181" s="34">
        <f t="shared" ref="H181:H182" si="85">ROUND(F181*G181,2)</f>
        <v>986</v>
      </c>
      <c r="I181" s="64"/>
      <c r="J181" s="61"/>
      <c r="K181" s="30">
        <f>ROUND(H181/9,2)</f>
        <v>109.56</v>
      </c>
      <c r="L181" s="30"/>
      <c r="M181" s="30">
        <f>ROUND(H181*$M$3/9,2)</f>
        <v>9.86</v>
      </c>
      <c r="N181" s="30">
        <f>ROUND((H182-H181)*$N$3/9,2)</f>
        <v>1.42</v>
      </c>
      <c r="O181" s="30"/>
      <c r="P181" s="30"/>
      <c r="Q181" s="30"/>
      <c r="R181" s="30"/>
      <c r="S181" s="30"/>
      <c r="T181" s="30"/>
      <c r="U181" s="30"/>
      <c r="V181" s="101"/>
      <c r="W181" s="30"/>
      <c r="X181" s="31"/>
      <c r="Y181" s="59"/>
    </row>
    <row r="182" spans="2:25" s="60" customFormat="1" ht="17.25" customHeight="1" x14ac:dyDescent="0.2">
      <c r="B182" s="52" t="s">
        <v>42</v>
      </c>
      <c r="C182" s="32">
        <v>51974</v>
      </c>
      <c r="D182" s="33">
        <f t="shared" ref="D182:D183" si="86">C182+21</f>
        <v>51995</v>
      </c>
      <c r="E182" s="33"/>
      <c r="F182" s="34">
        <f>D182-C182</f>
        <v>21</v>
      </c>
      <c r="G182" s="35">
        <v>58</v>
      </c>
      <c r="H182" s="34">
        <f t="shared" si="85"/>
        <v>1218</v>
      </c>
      <c r="I182" s="64"/>
      <c r="J182" s="61"/>
      <c r="K182" s="30"/>
      <c r="L182" s="30"/>
      <c r="M182" s="30"/>
      <c r="N182" s="30">
        <f>ROUND(H182*$N$3/9,2)</f>
        <v>7.44</v>
      </c>
      <c r="O182" s="30"/>
      <c r="P182" s="30"/>
      <c r="Q182" s="30">
        <f>ROUND((R182+S182+T182)*36/G182,2)</f>
        <v>7.58</v>
      </c>
      <c r="R182" s="30">
        <f>ROUND(H182*$R$3/12/27,2)</f>
        <v>6.58</v>
      </c>
      <c r="S182" s="30"/>
      <c r="T182" s="30">
        <f>ROUND(H182*$T$3/12/27,2)</f>
        <v>5.64</v>
      </c>
      <c r="U182" s="30"/>
      <c r="V182" s="101"/>
      <c r="W182" s="30"/>
      <c r="X182" s="31"/>
      <c r="Y182" s="59"/>
    </row>
    <row r="183" spans="2:25" s="60" customFormat="1" ht="17.25" customHeight="1" x14ac:dyDescent="0.2">
      <c r="B183" s="52" t="s">
        <v>34</v>
      </c>
      <c r="C183" s="32">
        <v>51974</v>
      </c>
      <c r="D183" s="33">
        <f t="shared" si="86"/>
        <v>51995</v>
      </c>
      <c r="E183" s="33"/>
      <c r="F183" s="34">
        <f t="shared" ref="F183" si="87">D183-C183</f>
        <v>21</v>
      </c>
      <c r="G183" s="35">
        <v>58</v>
      </c>
      <c r="H183" s="34"/>
      <c r="I183" s="64"/>
      <c r="J183" s="61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>
        <f>G183</f>
        <v>58</v>
      </c>
      <c r="V183" s="101"/>
      <c r="W183" s="30"/>
      <c r="X183" s="31"/>
      <c r="Y183" s="59"/>
    </row>
    <row r="184" spans="2:25" s="60" customFormat="1" ht="17.25" customHeight="1" x14ac:dyDescent="0.2">
      <c r="B184" s="52"/>
      <c r="C184" s="32"/>
      <c r="D184" s="33"/>
      <c r="E184" s="33"/>
      <c r="F184" s="34"/>
      <c r="G184" s="35"/>
      <c r="H184" s="34"/>
      <c r="I184" s="64"/>
      <c r="J184" s="61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1"/>
      <c r="Y184" s="59"/>
    </row>
    <row r="185" spans="2:25" s="60" customFormat="1" ht="17.25" customHeight="1" x14ac:dyDescent="0.2">
      <c r="B185" s="52" t="s">
        <v>48</v>
      </c>
      <c r="C185" s="32"/>
      <c r="D185" s="33"/>
      <c r="E185" s="33"/>
      <c r="F185" s="34"/>
      <c r="G185" s="35"/>
      <c r="H185" s="34"/>
      <c r="I185" s="64"/>
      <c r="J185" s="61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1"/>
      <c r="Y185" s="59"/>
    </row>
    <row r="186" spans="2:25" s="60" customFormat="1" ht="17.25" customHeight="1" x14ac:dyDescent="0.2">
      <c r="B186" s="52"/>
      <c r="C186" s="32"/>
      <c r="D186" s="33"/>
      <c r="E186" s="33"/>
      <c r="F186" s="34"/>
      <c r="G186" s="35"/>
      <c r="H186" s="34"/>
      <c r="I186" s="64"/>
      <c r="J186" s="61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1"/>
      <c r="Y186" s="59"/>
    </row>
    <row r="187" spans="2:25" s="60" customFormat="1" ht="17.25" customHeight="1" x14ac:dyDescent="0.2">
      <c r="B187" s="52" t="s">
        <v>67</v>
      </c>
      <c r="C187" s="32">
        <f>D187-17</f>
        <v>54576</v>
      </c>
      <c r="D187" s="33">
        <v>54593</v>
      </c>
      <c r="E187" s="33"/>
      <c r="F187" s="34">
        <f>D187-C187</f>
        <v>17</v>
      </c>
      <c r="G187" s="35">
        <v>58</v>
      </c>
      <c r="H187" s="34">
        <f t="shared" ref="H187:H188" si="88">ROUND(F187*G187,2)</f>
        <v>986</v>
      </c>
      <c r="I187" s="64"/>
      <c r="J187" s="61"/>
      <c r="K187" s="30">
        <f>ROUND(H187/9,2)</f>
        <v>109.56</v>
      </c>
      <c r="L187" s="30"/>
      <c r="M187" s="30">
        <f>ROUND(H187*$M$3/9,2)</f>
        <v>9.86</v>
      </c>
      <c r="N187" s="30">
        <f>ROUND((H188-H187)*$N$3/9,2)</f>
        <v>1.42</v>
      </c>
      <c r="O187" s="30"/>
      <c r="P187" s="30"/>
      <c r="Q187" s="30"/>
      <c r="R187" s="30"/>
      <c r="S187" s="30"/>
      <c r="T187" s="30"/>
      <c r="U187" s="30"/>
      <c r="V187" s="101"/>
      <c r="W187" s="30"/>
      <c r="X187" s="31"/>
      <c r="Y187" s="59"/>
    </row>
    <row r="188" spans="2:25" s="60" customFormat="1" ht="17.25" customHeight="1" x14ac:dyDescent="0.2">
      <c r="B188" s="52" t="s">
        <v>42</v>
      </c>
      <c r="C188" s="32">
        <f t="shared" ref="C188:C189" si="89">D188-21</f>
        <v>54572</v>
      </c>
      <c r="D188" s="33">
        <v>54593</v>
      </c>
      <c r="E188" s="33"/>
      <c r="F188" s="34">
        <f>D188-C188</f>
        <v>21</v>
      </c>
      <c r="G188" s="35">
        <v>58</v>
      </c>
      <c r="H188" s="34">
        <f t="shared" si="88"/>
        <v>1218</v>
      </c>
      <c r="I188" s="64"/>
      <c r="J188" s="61"/>
      <c r="K188" s="30"/>
      <c r="L188" s="30"/>
      <c r="M188" s="30"/>
      <c r="N188" s="30">
        <f>ROUND(H188*$N$3/9,2)</f>
        <v>7.44</v>
      </c>
      <c r="O188" s="30"/>
      <c r="P188" s="30"/>
      <c r="Q188" s="30">
        <f>ROUND((R188+S188+T188)*36/G188,2)</f>
        <v>7.58</v>
      </c>
      <c r="R188" s="30">
        <f>ROUND(H188*$R$3/12/27,2)</f>
        <v>6.58</v>
      </c>
      <c r="S188" s="30"/>
      <c r="T188" s="30">
        <f>ROUND(H188*$T$3/12/27,2)</f>
        <v>5.64</v>
      </c>
      <c r="U188" s="30"/>
      <c r="V188" s="101"/>
      <c r="W188" s="30"/>
      <c r="X188" s="31"/>
      <c r="Y188" s="59"/>
    </row>
    <row r="189" spans="2:25" s="60" customFormat="1" ht="17.25" customHeight="1" x14ac:dyDescent="0.2">
      <c r="B189" s="52" t="s">
        <v>34</v>
      </c>
      <c r="C189" s="32">
        <f t="shared" si="89"/>
        <v>54572</v>
      </c>
      <c r="D189" s="33">
        <v>54593</v>
      </c>
      <c r="E189" s="33"/>
      <c r="F189" s="34">
        <f t="shared" ref="F189" si="90">D189-C189</f>
        <v>21</v>
      </c>
      <c r="G189" s="35">
        <v>58</v>
      </c>
      <c r="H189" s="34"/>
      <c r="I189" s="64"/>
      <c r="J189" s="61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>
        <f>G189</f>
        <v>58</v>
      </c>
      <c r="V189" s="101"/>
      <c r="W189" s="30"/>
      <c r="X189" s="31"/>
      <c r="Y189" s="59"/>
    </row>
    <row r="190" spans="2:25" s="60" customFormat="1" ht="17.25" customHeight="1" x14ac:dyDescent="0.2">
      <c r="B190" s="52"/>
      <c r="C190" s="32"/>
      <c r="D190" s="33"/>
      <c r="E190" s="33"/>
      <c r="F190" s="34"/>
      <c r="G190" s="35"/>
      <c r="H190" s="34"/>
      <c r="I190" s="64"/>
      <c r="J190" s="61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1"/>
      <c r="Y190" s="59"/>
    </row>
    <row r="191" spans="2:25" s="60" customFormat="1" ht="17.25" customHeight="1" x14ac:dyDescent="0.2">
      <c r="B191" s="52" t="s">
        <v>38</v>
      </c>
      <c r="C191" s="32">
        <v>54593</v>
      </c>
      <c r="D191" s="33">
        <v>58432</v>
      </c>
      <c r="E191" s="33"/>
      <c r="F191" s="34">
        <f t="shared" ref="F191:F192" si="91">D191-C191</f>
        <v>3839</v>
      </c>
      <c r="G191" s="35">
        <v>58</v>
      </c>
      <c r="H191" s="34">
        <f t="shared" ref="H191:H192" si="92">ROUND(F191*G191,2)</f>
        <v>222662</v>
      </c>
      <c r="I191" s="64"/>
      <c r="J191" s="61"/>
      <c r="K191" s="30"/>
      <c r="L191" s="30">
        <f>ROUND(H191/9,2)</f>
        <v>24740.22</v>
      </c>
      <c r="M191" s="30">
        <f>ROUND(H191*$M$3/9,2)</f>
        <v>2226.62</v>
      </c>
      <c r="N191" s="30"/>
      <c r="O191" s="30"/>
      <c r="P191" s="30">
        <f>ROUND(H191*2*$P$3/9,2)</f>
        <v>2721.42</v>
      </c>
      <c r="Q191" s="30">
        <f>ROUND((R191+S191+T191)*36/G191,2)</f>
        <v>2665.97</v>
      </c>
      <c r="R191" s="30">
        <f>ROUND(H191*$R$3/12/27,2)</f>
        <v>1202.6500000000001</v>
      </c>
      <c r="S191" s="30">
        <f>ROUND(H191*$S$3/12/27,2)</f>
        <v>2061.69</v>
      </c>
      <c r="T191" s="30">
        <f>ROUND(H191*$T$3/12/27,2)</f>
        <v>1030.8399999999999</v>
      </c>
      <c r="U191" s="30"/>
      <c r="V191" s="101">
        <f>(ROUND(F191/25,0)+1)*15</f>
        <v>2325</v>
      </c>
      <c r="W191" s="30"/>
      <c r="X191" s="31"/>
      <c r="Y191" s="59"/>
    </row>
    <row r="192" spans="2:25" s="60" customFormat="1" ht="17.25" customHeight="1" x14ac:dyDescent="0.2">
      <c r="B192" s="52" t="s">
        <v>36</v>
      </c>
      <c r="C192" s="32">
        <v>54593</v>
      </c>
      <c r="D192" s="33">
        <v>58432</v>
      </c>
      <c r="E192" s="33"/>
      <c r="F192" s="34">
        <f t="shared" si="91"/>
        <v>3839</v>
      </c>
      <c r="G192" s="35">
        <v>30</v>
      </c>
      <c r="H192" s="34">
        <f t="shared" si="92"/>
        <v>115170</v>
      </c>
      <c r="I192" s="64"/>
      <c r="J192" s="61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1"/>
      <c r="Y192" s="59"/>
    </row>
    <row r="193" spans="2:25" s="60" customFormat="1" ht="17.25" customHeight="1" x14ac:dyDescent="0.2">
      <c r="B193" s="52"/>
      <c r="C193" s="32"/>
      <c r="D193" s="33"/>
      <c r="E193" s="33"/>
      <c r="F193" s="34"/>
      <c r="G193" s="35"/>
      <c r="H193" s="34"/>
      <c r="I193" s="64"/>
      <c r="J193" s="61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1"/>
      <c r="Y193" s="59"/>
    </row>
    <row r="194" spans="2:25" s="60" customFormat="1" ht="17.25" customHeight="1" x14ac:dyDescent="0.2">
      <c r="B194" s="52" t="s">
        <v>67</v>
      </c>
      <c r="C194" s="32">
        <v>58432</v>
      </c>
      <c r="D194" s="33">
        <f>C194+17</f>
        <v>58449</v>
      </c>
      <c r="E194" s="33"/>
      <c r="F194" s="34">
        <f>D194-C194</f>
        <v>17</v>
      </c>
      <c r="G194" s="35">
        <v>58</v>
      </c>
      <c r="H194" s="34"/>
      <c r="I194" s="64">
        <v>1608.08</v>
      </c>
      <c r="J194" s="61"/>
      <c r="K194" s="30">
        <f>ROUND(I194/9,2)</f>
        <v>178.68</v>
      </c>
      <c r="L194" s="30"/>
      <c r="M194" s="30">
        <f>ROUND(I194*$M$3/9,2)</f>
        <v>16.079999999999998</v>
      </c>
      <c r="N194" s="30">
        <f>ROUND((I195-I194)*$N$3/9,2)</f>
        <v>1.64</v>
      </c>
      <c r="O194" s="30"/>
      <c r="P194" s="30"/>
      <c r="Q194" s="30"/>
      <c r="R194" s="30"/>
      <c r="S194" s="30"/>
      <c r="T194" s="30"/>
      <c r="U194" s="30"/>
      <c r="V194" s="101"/>
      <c r="W194" s="30"/>
      <c r="X194" s="31"/>
      <c r="Y194" s="59"/>
    </row>
    <row r="195" spans="2:25" s="60" customFormat="1" ht="17.25" customHeight="1" x14ac:dyDescent="0.2">
      <c r="B195" s="52" t="s">
        <v>42</v>
      </c>
      <c r="C195" s="32">
        <v>58432</v>
      </c>
      <c r="D195" s="33">
        <f t="shared" ref="D195:D196" si="93">C195+21</f>
        <v>58453</v>
      </c>
      <c r="E195" s="33"/>
      <c r="F195" s="34">
        <f>D195-C195</f>
        <v>21</v>
      </c>
      <c r="G195" s="35">
        <v>58</v>
      </c>
      <c r="H195" s="34"/>
      <c r="I195" s="64">
        <v>1876.61</v>
      </c>
      <c r="J195" s="61"/>
      <c r="K195" s="30"/>
      <c r="L195" s="30"/>
      <c r="M195" s="30"/>
      <c r="N195" s="30">
        <f>ROUND(I195*$N$3/9,2)</f>
        <v>11.47</v>
      </c>
      <c r="O195" s="30"/>
      <c r="P195" s="30"/>
      <c r="Q195" s="30">
        <f>ROUND((R195+S195+T195)*36/G195,2)</f>
        <v>11.69</v>
      </c>
      <c r="R195" s="30">
        <f>ROUND(I195*$R$3/12/27,2)</f>
        <v>10.14</v>
      </c>
      <c r="S195" s="30"/>
      <c r="T195" s="30">
        <f>ROUND(I195*$T$3/12/27,2)</f>
        <v>8.69</v>
      </c>
      <c r="U195" s="30"/>
      <c r="V195" s="101"/>
      <c r="W195" s="30"/>
      <c r="X195" s="31"/>
      <c r="Y195" s="59"/>
    </row>
    <row r="196" spans="2:25" s="60" customFormat="1" ht="17.25" customHeight="1" x14ac:dyDescent="0.2">
      <c r="B196" s="52" t="s">
        <v>34</v>
      </c>
      <c r="C196" s="32">
        <v>58432</v>
      </c>
      <c r="D196" s="33">
        <f t="shared" si="93"/>
        <v>58453</v>
      </c>
      <c r="E196" s="33"/>
      <c r="F196" s="34">
        <f t="shared" ref="F196" si="94">D196-C196</f>
        <v>21</v>
      </c>
      <c r="G196" s="35">
        <v>64</v>
      </c>
      <c r="H196" s="34"/>
      <c r="I196" s="64"/>
      <c r="J196" s="61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>
        <f>G196</f>
        <v>64</v>
      </c>
      <c r="V196" s="101"/>
      <c r="W196" s="30"/>
      <c r="X196" s="31"/>
      <c r="Y196" s="59"/>
    </row>
    <row r="197" spans="2:25" s="60" customFormat="1" ht="17.25" customHeight="1" x14ac:dyDescent="0.2">
      <c r="B197" s="52"/>
      <c r="C197" s="32"/>
      <c r="D197" s="33"/>
      <c r="E197" s="33"/>
      <c r="F197" s="34"/>
      <c r="G197" s="35"/>
      <c r="H197" s="34"/>
      <c r="I197" s="64"/>
      <c r="J197" s="61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1"/>
      <c r="Y197" s="59"/>
    </row>
    <row r="198" spans="2:25" s="60" customFormat="1" ht="17.25" customHeight="1" x14ac:dyDescent="0.2">
      <c r="B198" s="52" t="s">
        <v>49</v>
      </c>
      <c r="C198" s="32"/>
      <c r="D198" s="33"/>
      <c r="E198" s="33"/>
      <c r="F198" s="34"/>
      <c r="G198" s="35"/>
      <c r="H198" s="34"/>
      <c r="I198" s="64"/>
      <c r="J198" s="61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1"/>
      <c r="Y198" s="59"/>
    </row>
    <row r="199" spans="2:25" s="60" customFormat="1" ht="17.25" customHeight="1" x14ac:dyDescent="0.2">
      <c r="B199" s="52"/>
      <c r="C199" s="32"/>
      <c r="D199" s="33"/>
      <c r="E199" s="33"/>
      <c r="F199" s="34"/>
      <c r="G199" s="35"/>
      <c r="H199" s="34"/>
      <c r="I199" s="64"/>
      <c r="J199" s="61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1"/>
      <c r="Y199" s="59"/>
    </row>
    <row r="200" spans="2:25" s="60" customFormat="1" ht="17.25" customHeight="1" x14ac:dyDescent="0.2">
      <c r="B200" s="52" t="s">
        <v>67</v>
      </c>
      <c r="C200" s="32">
        <f>D200-17</f>
        <v>58671</v>
      </c>
      <c r="D200" s="33">
        <v>58688</v>
      </c>
      <c r="E200" s="33"/>
      <c r="F200" s="34">
        <f>D200-C200</f>
        <v>17</v>
      </c>
      <c r="G200" s="35">
        <v>58</v>
      </c>
      <c r="H200" s="34"/>
      <c r="I200" s="64">
        <v>1620.96</v>
      </c>
      <c r="J200" s="61"/>
      <c r="K200" s="30">
        <f>ROUND(I200/9,2)</f>
        <v>180.11</v>
      </c>
      <c r="L200" s="30"/>
      <c r="M200" s="30">
        <f>ROUND(I200*$M$3/9,2)</f>
        <v>16.21</v>
      </c>
      <c r="N200" s="30">
        <f>ROUND((I201-I200)*$N$3/9,2)</f>
        <v>1.61</v>
      </c>
      <c r="O200" s="30"/>
      <c r="P200" s="30"/>
      <c r="Q200" s="30"/>
      <c r="R200" s="30"/>
      <c r="S200" s="30"/>
      <c r="T200" s="30"/>
      <c r="U200" s="30"/>
      <c r="V200" s="101"/>
      <c r="W200" s="30"/>
      <c r="X200" s="31"/>
      <c r="Y200" s="59"/>
    </row>
    <row r="201" spans="2:25" s="60" customFormat="1" ht="17.25" customHeight="1" x14ac:dyDescent="0.2">
      <c r="B201" s="52" t="s">
        <v>42</v>
      </c>
      <c r="C201" s="32">
        <f t="shared" ref="C201:C202" si="95">D201-21</f>
        <v>58667</v>
      </c>
      <c r="D201" s="33">
        <v>58688</v>
      </c>
      <c r="E201" s="33"/>
      <c r="F201" s="34">
        <f>D201-C201</f>
        <v>21</v>
      </c>
      <c r="G201" s="35">
        <v>58</v>
      </c>
      <c r="H201" s="34"/>
      <c r="I201" s="64">
        <v>1884.32</v>
      </c>
      <c r="J201" s="61"/>
      <c r="K201" s="30"/>
      <c r="L201" s="30"/>
      <c r="M201" s="30"/>
      <c r="N201" s="30">
        <f>ROUND(I201*$N$3/9,2)</f>
        <v>11.52</v>
      </c>
      <c r="O201" s="30"/>
      <c r="P201" s="30"/>
      <c r="Q201" s="30">
        <f>ROUND((R201+S201+T201)*36/G201,2)</f>
        <v>11.73</v>
      </c>
      <c r="R201" s="30">
        <f>ROUND(I201*$R$3/12/27,2)</f>
        <v>10.18</v>
      </c>
      <c r="S201" s="30"/>
      <c r="T201" s="30">
        <f>ROUND(I201*$T$3/12/27,2)</f>
        <v>8.7200000000000006</v>
      </c>
      <c r="U201" s="30"/>
      <c r="V201" s="101"/>
      <c r="W201" s="30"/>
      <c r="X201" s="31"/>
      <c r="Y201" s="59"/>
    </row>
    <row r="202" spans="2:25" s="60" customFormat="1" ht="17.25" customHeight="1" x14ac:dyDescent="0.2">
      <c r="B202" s="52" t="s">
        <v>34</v>
      </c>
      <c r="C202" s="32">
        <f t="shared" si="95"/>
        <v>58667</v>
      </c>
      <c r="D202" s="33">
        <v>58688</v>
      </c>
      <c r="E202" s="33"/>
      <c r="F202" s="34">
        <f t="shared" ref="F202" si="96">D202-C202</f>
        <v>21</v>
      </c>
      <c r="G202" s="35">
        <v>64</v>
      </c>
      <c r="H202" s="34"/>
      <c r="I202" s="64"/>
      <c r="J202" s="61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>
        <f>G202</f>
        <v>64</v>
      </c>
      <c r="V202" s="101"/>
      <c r="W202" s="30"/>
      <c r="X202" s="31"/>
      <c r="Y202" s="59"/>
    </row>
    <row r="203" spans="2:25" s="60" customFormat="1" ht="17.25" customHeight="1" x14ac:dyDescent="0.2">
      <c r="B203" s="52"/>
      <c r="C203" s="32"/>
      <c r="D203" s="33"/>
      <c r="E203" s="33"/>
      <c r="F203" s="34"/>
      <c r="G203" s="35"/>
      <c r="H203" s="34"/>
      <c r="I203" s="64"/>
      <c r="J203" s="61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1"/>
      <c r="Y203" s="59"/>
    </row>
    <row r="204" spans="2:25" s="60" customFormat="1" ht="17.25" customHeight="1" x14ac:dyDescent="0.2">
      <c r="B204" s="52" t="s">
        <v>38</v>
      </c>
      <c r="C204" s="32">
        <v>58688</v>
      </c>
      <c r="D204" s="33">
        <v>60500</v>
      </c>
      <c r="E204" s="33"/>
      <c r="F204" s="34">
        <f t="shared" ref="F204:F205" si="97">D204-C204</f>
        <v>1812</v>
      </c>
      <c r="G204" s="35">
        <v>58</v>
      </c>
      <c r="H204" s="34">
        <f t="shared" ref="H204:H205" si="98">ROUND(F204*G204,2)</f>
        <v>105096</v>
      </c>
      <c r="I204" s="64"/>
      <c r="J204" s="61"/>
      <c r="K204" s="30"/>
      <c r="L204" s="30">
        <f>ROUND(H204/9,2)</f>
        <v>11677.33</v>
      </c>
      <c r="M204" s="30">
        <f>ROUND(H204*$M$3/9,2)</f>
        <v>1050.96</v>
      </c>
      <c r="N204" s="30"/>
      <c r="O204" s="30"/>
      <c r="P204" s="30">
        <f>ROUND(H204*2*$P$3/9,2)</f>
        <v>1284.51</v>
      </c>
      <c r="Q204" s="30">
        <f>ROUND((R204+S204+T204)*36/G204,2)</f>
        <v>1258.3399999999999</v>
      </c>
      <c r="R204" s="30">
        <f>ROUND(H204*$R$3/12/27,2)</f>
        <v>567.65</v>
      </c>
      <c r="S204" s="30">
        <f>ROUND(H204*$S$3/12/27,2)</f>
        <v>973.11</v>
      </c>
      <c r="T204" s="30">
        <f>ROUND(H204*$T$3/12/27,2)</f>
        <v>486.56</v>
      </c>
      <c r="U204" s="30"/>
      <c r="V204" s="101">
        <f>(ROUND(F204/25,0)+1)*15</f>
        <v>1095</v>
      </c>
      <c r="W204" s="30"/>
      <c r="X204" s="31"/>
      <c r="Y204" s="59"/>
    </row>
    <row r="205" spans="2:25" s="60" customFormat="1" ht="17.25" customHeight="1" x14ac:dyDescent="0.2">
      <c r="B205" s="52" t="s">
        <v>36</v>
      </c>
      <c r="C205" s="32">
        <v>58688</v>
      </c>
      <c r="D205" s="33">
        <v>60500</v>
      </c>
      <c r="E205" s="33"/>
      <c r="F205" s="34">
        <f t="shared" si="97"/>
        <v>1812</v>
      </c>
      <c r="G205" s="35">
        <v>30</v>
      </c>
      <c r="H205" s="34">
        <f t="shared" si="98"/>
        <v>54360</v>
      </c>
      <c r="I205" s="64"/>
      <c r="J205" s="61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1"/>
      <c r="Y205" s="59"/>
    </row>
    <row r="206" spans="2:25" s="60" customFormat="1" ht="17.25" customHeight="1" x14ac:dyDescent="0.2">
      <c r="B206" s="52"/>
      <c r="C206" s="32"/>
      <c r="D206" s="33"/>
      <c r="E206" s="33"/>
      <c r="F206" s="34"/>
      <c r="G206" s="35"/>
      <c r="H206" s="34"/>
      <c r="I206" s="64"/>
      <c r="J206" s="61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1"/>
      <c r="Y206" s="59"/>
    </row>
    <row r="207" spans="2:25" s="60" customFormat="1" ht="17.25" customHeight="1" x14ac:dyDescent="0.2">
      <c r="B207" s="52" t="s">
        <v>38</v>
      </c>
      <c r="C207" s="32">
        <v>60500</v>
      </c>
      <c r="D207" s="33">
        <v>61450</v>
      </c>
      <c r="E207" s="33"/>
      <c r="F207" s="34">
        <f t="shared" ref="F207:F208" si="99">D207-C207</f>
        <v>950</v>
      </c>
      <c r="G207" s="35">
        <v>64</v>
      </c>
      <c r="H207" s="34">
        <f t="shared" ref="H207:H208" si="100">ROUND(F207*G207,2)</f>
        <v>60800</v>
      </c>
      <c r="I207" s="64"/>
      <c r="J207" s="61"/>
      <c r="K207" s="30"/>
      <c r="L207" s="30">
        <f>ROUND(H207/9,2)</f>
        <v>6755.56</v>
      </c>
      <c r="M207" s="30">
        <f>ROUND(H207*$M$3/9,2)</f>
        <v>608</v>
      </c>
      <c r="N207" s="30"/>
      <c r="O207" s="30"/>
      <c r="P207" s="30">
        <f>ROUND(H207*2*$P$3/9,2)</f>
        <v>743.11</v>
      </c>
      <c r="Q207" s="30">
        <f>ROUND((R207+S207+T207)*42/G207,2)</f>
        <v>769.68</v>
      </c>
      <c r="R207" s="30">
        <f>ROUND(H207*$R$3/12/27,2)</f>
        <v>328.4</v>
      </c>
      <c r="S207" s="30">
        <f>ROUND(H207*$S$3/12/27,2)</f>
        <v>562.96</v>
      </c>
      <c r="T207" s="30">
        <f>ROUND(H207*$T$3/12/27,2)</f>
        <v>281.48</v>
      </c>
      <c r="U207" s="30"/>
      <c r="V207" s="101">
        <f>(ROUND(F207/25,0)+1)*15</f>
        <v>585</v>
      </c>
      <c r="W207" s="30"/>
      <c r="X207" s="31"/>
      <c r="Y207" s="59"/>
    </row>
    <row r="208" spans="2:25" s="60" customFormat="1" ht="17.25" customHeight="1" x14ac:dyDescent="0.2">
      <c r="B208" s="52" t="s">
        <v>36</v>
      </c>
      <c r="C208" s="32">
        <v>60500</v>
      </c>
      <c r="D208" s="33">
        <v>61450</v>
      </c>
      <c r="E208" s="33"/>
      <c r="F208" s="34">
        <f t="shared" si="99"/>
        <v>950</v>
      </c>
      <c r="G208" s="35">
        <v>30</v>
      </c>
      <c r="H208" s="34">
        <f t="shared" si="100"/>
        <v>28500</v>
      </c>
      <c r="I208" s="64"/>
      <c r="J208" s="61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1"/>
      <c r="Y208" s="59"/>
    </row>
    <row r="209" spans="2:25" s="60" customFormat="1" ht="17.25" customHeight="1" x14ac:dyDescent="0.2">
      <c r="B209" s="52"/>
      <c r="C209" s="32"/>
      <c r="D209" s="33"/>
      <c r="E209" s="33"/>
      <c r="F209" s="34"/>
      <c r="G209" s="35"/>
      <c r="H209" s="34"/>
      <c r="I209" s="64"/>
      <c r="J209" s="61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1"/>
      <c r="Y209" s="59"/>
    </row>
    <row r="210" spans="2:25" s="60" customFormat="1" ht="17.25" customHeight="1" x14ac:dyDescent="0.2">
      <c r="B210" s="52" t="s">
        <v>38</v>
      </c>
      <c r="C210" s="32">
        <v>61450</v>
      </c>
      <c r="D210" s="33">
        <v>61949</v>
      </c>
      <c r="E210" s="33"/>
      <c r="F210" s="34">
        <f t="shared" ref="F210:F211" si="101">D210-C210</f>
        <v>499</v>
      </c>
      <c r="G210" s="35">
        <v>70</v>
      </c>
      <c r="H210" s="34">
        <f t="shared" ref="H210:H211" si="102">ROUND(F210*G210,2)</f>
        <v>34930</v>
      </c>
      <c r="I210" s="64"/>
      <c r="J210" s="61"/>
      <c r="K210" s="30"/>
      <c r="L210" s="30">
        <f>ROUND(H210/9,2)</f>
        <v>3881.11</v>
      </c>
      <c r="M210" s="30">
        <f>ROUND(H210*$M$3/9,2)</f>
        <v>349.3</v>
      </c>
      <c r="N210" s="30"/>
      <c r="O210" s="30"/>
      <c r="P210" s="30">
        <f>ROUND(H210*2*$P$3/9,2)</f>
        <v>426.92</v>
      </c>
      <c r="Q210" s="30">
        <f>ROUND((R210+S210+T210)*48/G210,2)</f>
        <v>462.04</v>
      </c>
      <c r="R210" s="30">
        <f>ROUND(H210*$R$3/12/27,2)</f>
        <v>188.67</v>
      </c>
      <c r="S210" s="30">
        <f>ROUND(H210*$S$3/12/27,2)</f>
        <v>323.43</v>
      </c>
      <c r="T210" s="30">
        <f>ROUND(H210*$T$3/12/27,2)</f>
        <v>161.71</v>
      </c>
      <c r="U210" s="30"/>
      <c r="V210" s="101">
        <f>(ROUND(F210/25,0)+1)*15</f>
        <v>315</v>
      </c>
      <c r="W210" s="30"/>
      <c r="X210" s="31"/>
      <c r="Y210" s="59"/>
    </row>
    <row r="211" spans="2:25" s="60" customFormat="1" ht="17.25" customHeight="1" x14ac:dyDescent="0.2">
      <c r="B211" s="52" t="s">
        <v>36</v>
      </c>
      <c r="C211" s="32">
        <v>61450</v>
      </c>
      <c r="D211" s="33">
        <v>61949</v>
      </c>
      <c r="E211" s="33"/>
      <c r="F211" s="34">
        <f t="shared" si="101"/>
        <v>499</v>
      </c>
      <c r="G211" s="35">
        <v>30</v>
      </c>
      <c r="H211" s="34">
        <f t="shared" si="102"/>
        <v>14970</v>
      </c>
      <c r="I211" s="64"/>
      <c r="J211" s="61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1"/>
      <c r="Y211" s="59"/>
    </row>
    <row r="212" spans="2:25" s="60" customFormat="1" ht="17.25" customHeight="1" x14ac:dyDescent="0.2">
      <c r="B212" s="52"/>
      <c r="C212" s="32"/>
      <c r="D212" s="33"/>
      <c r="E212" s="33"/>
      <c r="F212" s="34"/>
      <c r="G212" s="35"/>
      <c r="H212" s="34"/>
      <c r="I212" s="64"/>
      <c r="J212" s="61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1"/>
      <c r="Y212" s="59"/>
    </row>
    <row r="213" spans="2:25" s="60" customFormat="1" ht="17.25" customHeight="1" x14ac:dyDescent="0.2">
      <c r="B213" s="52" t="s">
        <v>67</v>
      </c>
      <c r="C213" s="32">
        <v>64949</v>
      </c>
      <c r="D213" s="33">
        <f>C213+17</f>
        <v>64966</v>
      </c>
      <c r="E213" s="33"/>
      <c r="F213" s="34">
        <f>D213-C213</f>
        <v>17</v>
      </c>
      <c r="G213" s="35">
        <v>71</v>
      </c>
      <c r="H213" s="34"/>
      <c r="I213" s="64">
        <v>2239.35</v>
      </c>
      <c r="J213" s="61"/>
      <c r="K213" s="30">
        <f>ROUND(I213/9,2)</f>
        <v>248.82</v>
      </c>
      <c r="L213" s="30"/>
      <c r="M213" s="30">
        <f>ROUND(I213*$M$3/9,2)</f>
        <v>22.39</v>
      </c>
      <c r="N213" s="30">
        <f>ROUND((I214-I213)*$N$3/9,2)</f>
        <v>1.88</v>
      </c>
      <c r="O213" s="30"/>
      <c r="P213" s="30"/>
      <c r="Q213" s="30"/>
      <c r="R213" s="30"/>
      <c r="S213" s="30"/>
      <c r="T213" s="30"/>
      <c r="U213" s="30"/>
      <c r="V213" s="101"/>
      <c r="W213" s="30"/>
      <c r="X213" s="31"/>
      <c r="Y213" s="59"/>
    </row>
    <row r="214" spans="2:25" s="60" customFormat="1" ht="17.25" customHeight="1" x14ac:dyDescent="0.2">
      <c r="B214" s="52" t="s">
        <v>42</v>
      </c>
      <c r="C214" s="32">
        <v>64949</v>
      </c>
      <c r="D214" s="33">
        <f t="shared" ref="D214:D215" si="103">C214+21</f>
        <v>64970</v>
      </c>
      <c r="E214" s="33"/>
      <c r="F214" s="34">
        <f>D214-C214</f>
        <v>21</v>
      </c>
      <c r="G214" s="35">
        <v>71</v>
      </c>
      <c r="H214" s="34"/>
      <c r="I214" s="64">
        <v>2547.42</v>
      </c>
      <c r="J214" s="61"/>
      <c r="K214" s="30"/>
      <c r="L214" s="30"/>
      <c r="M214" s="30"/>
      <c r="N214" s="30">
        <f>ROUND(I214*$N$3/9,2)</f>
        <v>15.57</v>
      </c>
      <c r="O214" s="30"/>
      <c r="P214" s="30"/>
      <c r="Q214" s="30">
        <f>ROUND((R214+S214+T214)*48/G214,2)</f>
        <v>17.27</v>
      </c>
      <c r="R214" s="30">
        <f>ROUND(I214*$R$3/12/27,2)</f>
        <v>13.76</v>
      </c>
      <c r="S214" s="30"/>
      <c r="T214" s="30">
        <f>ROUND(I214*$T$3/12/27,2)</f>
        <v>11.79</v>
      </c>
      <c r="U214" s="30"/>
      <c r="V214" s="101"/>
      <c r="W214" s="30"/>
      <c r="X214" s="31"/>
      <c r="Y214" s="59"/>
    </row>
    <row r="215" spans="2:25" s="60" customFormat="1" ht="17.25" customHeight="1" x14ac:dyDescent="0.2">
      <c r="B215" s="52" t="s">
        <v>34</v>
      </c>
      <c r="C215" s="32">
        <v>64949</v>
      </c>
      <c r="D215" s="33">
        <f t="shared" si="103"/>
        <v>64970</v>
      </c>
      <c r="E215" s="33"/>
      <c r="F215" s="34">
        <f t="shared" ref="F215" si="104">D215-C215</f>
        <v>21</v>
      </c>
      <c r="G215" s="35">
        <v>78</v>
      </c>
      <c r="H215" s="34"/>
      <c r="I215" s="64"/>
      <c r="J215" s="61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>
        <f>G215</f>
        <v>78</v>
      </c>
      <c r="V215" s="101"/>
      <c r="W215" s="30"/>
      <c r="X215" s="31"/>
      <c r="Y215" s="59"/>
    </row>
    <row r="216" spans="2:25" s="60" customFormat="1" ht="17.25" customHeight="1" x14ac:dyDescent="0.2">
      <c r="B216" s="52"/>
      <c r="C216" s="32"/>
      <c r="D216" s="33"/>
      <c r="E216" s="33"/>
      <c r="F216" s="34"/>
      <c r="G216" s="35"/>
      <c r="H216" s="34"/>
      <c r="I216" s="64"/>
      <c r="J216" s="61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1"/>
      <c r="Y216" s="59"/>
    </row>
    <row r="217" spans="2:25" s="60" customFormat="1" ht="17.25" customHeight="1" x14ac:dyDescent="0.2">
      <c r="B217" s="52" t="s">
        <v>50</v>
      </c>
      <c r="C217" s="32"/>
      <c r="D217" s="33"/>
      <c r="E217" s="33"/>
      <c r="F217" s="34"/>
      <c r="G217" s="35"/>
      <c r="H217" s="34"/>
      <c r="I217" s="64"/>
      <c r="J217" s="61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1"/>
      <c r="Y217" s="59"/>
    </row>
    <row r="218" spans="2:25" s="60" customFormat="1" ht="17.25" customHeight="1" x14ac:dyDescent="0.2">
      <c r="B218" s="52"/>
      <c r="C218" s="32"/>
      <c r="D218" s="33"/>
      <c r="E218" s="33"/>
      <c r="F218" s="34"/>
      <c r="G218" s="35"/>
      <c r="H218" s="34"/>
      <c r="I218" s="64"/>
      <c r="J218" s="61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1"/>
      <c r="Y218" s="59"/>
    </row>
    <row r="219" spans="2:25" s="60" customFormat="1" ht="17.25" customHeight="1" x14ac:dyDescent="0.2">
      <c r="B219" s="52" t="s">
        <v>67</v>
      </c>
      <c r="C219" s="32">
        <f>D219-17</f>
        <v>62166</v>
      </c>
      <c r="D219" s="33">
        <v>62183</v>
      </c>
      <c r="E219" s="33"/>
      <c r="F219" s="34">
        <f>D219-C219</f>
        <v>17</v>
      </c>
      <c r="G219" s="35">
        <v>71</v>
      </c>
      <c r="H219" s="34"/>
      <c r="I219" s="64">
        <v>2310.42</v>
      </c>
      <c r="J219" s="61"/>
      <c r="K219" s="30">
        <f>ROUND(I219/9,2)</f>
        <v>256.70999999999998</v>
      </c>
      <c r="L219" s="30"/>
      <c r="M219" s="30">
        <f>ROUND(I219*$M$3/9,2)</f>
        <v>23.1</v>
      </c>
      <c r="N219" s="30">
        <f>ROUND((I220-I219)*$N$3/9,2)</f>
        <v>1.98</v>
      </c>
      <c r="O219" s="30"/>
      <c r="P219" s="30"/>
      <c r="Q219" s="30"/>
      <c r="R219" s="30"/>
      <c r="S219" s="30"/>
      <c r="T219" s="30"/>
      <c r="U219" s="30"/>
      <c r="V219" s="101"/>
      <c r="W219" s="30"/>
      <c r="X219" s="31"/>
      <c r="Y219" s="59"/>
    </row>
    <row r="220" spans="2:25" s="60" customFormat="1" ht="17.25" customHeight="1" x14ac:dyDescent="0.2">
      <c r="B220" s="52" t="s">
        <v>42</v>
      </c>
      <c r="C220" s="32">
        <f t="shared" ref="C220:C221" si="105">D220-21</f>
        <v>62162</v>
      </c>
      <c r="D220" s="33">
        <v>62183</v>
      </c>
      <c r="E220" s="33"/>
      <c r="F220" s="34">
        <f>D220-C220</f>
        <v>21</v>
      </c>
      <c r="G220" s="35">
        <v>71</v>
      </c>
      <c r="H220" s="34"/>
      <c r="I220" s="64">
        <v>2635.07</v>
      </c>
      <c r="J220" s="61"/>
      <c r="K220" s="30"/>
      <c r="L220" s="30"/>
      <c r="M220" s="30"/>
      <c r="N220" s="30">
        <f>ROUND(I220*$N$3/9,2)</f>
        <v>16.100000000000001</v>
      </c>
      <c r="O220" s="30"/>
      <c r="P220" s="30"/>
      <c r="Q220" s="30">
        <f>ROUND((R220+S220+T220)*48/G220,2)</f>
        <v>17.87</v>
      </c>
      <c r="R220" s="30">
        <f>ROUND(I220*$R$3/12/27,2)</f>
        <v>14.23</v>
      </c>
      <c r="S220" s="30"/>
      <c r="T220" s="30">
        <f>ROUND(I220*$T$3/12/27,2)</f>
        <v>12.2</v>
      </c>
      <c r="U220" s="30"/>
      <c r="V220" s="101"/>
      <c r="W220" s="30"/>
      <c r="X220" s="31"/>
      <c r="Y220" s="59"/>
    </row>
    <row r="221" spans="2:25" s="60" customFormat="1" ht="17.25" customHeight="1" x14ac:dyDescent="0.2">
      <c r="B221" s="52" t="s">
        <v>34</v>
      </c>
      <c r="C221" s="32">
        <f t="shared" si="105"/>
        <v>62162</v>
      </c>
      <c r="D221" s="33">
        <v>62183</v>
      </c>
      <c r="E221" s="33"/>
      <c r="F221" s="34">
        <f t="shared" ref="F221" si="106">D221-C221</f>
        <v>21</v>
      </c>
      <c r="G221" s="35">
        <v>78</v>
      </c>
      <c r="H221" s="34"/>
      <c r="I221" s="64"/>
      <c r="J221" s="61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>
        <f>G221</f>
        <v>78</v>
      </c>
      <c r="V221" s="101"/>
      <c r="W221" s="30"/>
      <c r="X221" s="31"/>
      <c r="Y221" s="59"/>
    </row>
    <row r="222" spans="2:25" s="60" customFormat="1" ht="17.25" customHeight="1" x14ac:dyDescent="0.2">
      <c r="B222" s="52"/>
      <c r="C222" s="32"/>
      <c r="D222" s="33"/>
      <c r="E222" s="33"/>
      <c r="F222" s="34"/>
      <c r="G222" s="35"/>
      <c r="H222" s="34"/>
      <c r="I222" s="64"/>
      <c r="J222" s="61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1"/>
      <c r="Y222" s="59"/>
    </row>
    <row r="223" spans="2:25" s="60" customFormat="1" ht="17.25" customHeight="1" x14ac:dyDescent="0.2">
      <c r="B223" s="52" t="s">
        <v>38</v>
      </c>
      <c r="C223" s="32">
        <v>62183</v>
      </c>
      <c r="D223" s="33">
        <v>62820</v>
      </c>
      <c r="E223" s="33"/>
      <c r="F223" s="34">
        <f t="shared" ref="F223:F224" si="107">D223-C223</f>
        <v>637</v>
      </c>
      <c r="G223" s="35">
        <v>70</v>
      </c>
      <c r="H223" s="34">
        <f t="shared" ref="H223:H224" si="108">ROUND(F223*G223,2)</f>
        <v>44590</v>
      </c>
      <c r="I223" s="64"/>
      <c r="J223" s="61"/>
      <c r="K223" s="30"/>
      <c r="L223" s="30">
        <f>ROUND(H223/9,2)</f>
        <v>4954.4399999999996</v>
      </c>
      <c r="M223" s="30">
        <f>ROUND(H223*$M$3/9,2)</f>
        <v>445.9</v>
      </c>
      <c r="N223" s="30"/>
      <c r="O223" s="30"/>
      <c r="P223" s="30">
        <f>ROUND(H223*2*$P$3/9,2)</f>
        <v>544.99</v>
      </c>
      <c r="Q223" s="30">
        <f>ROUND((R223+S223+T223)*48/G223,2)</f>
        <v>589.82000000000005</v>
      </c>
      <c r="R223" s="30">
        <f>ROUND(H223*$R$3/12/27,2)</f>
        <v>240.84</v>
      </c>
      <c r="S223" s="30">
        <f>ROUND(H223*$S$3/12/27,2)</f>
        <v>412.87</v>
      </c>
      <c r="T223" s="30">
        <f>ROUND(H223*$T$3/12/27,2)</f>
        <v>206.44</v>
      </c>
      <c r="U223" s="30"/>
      <c r="V223" s="101">
        <f>(ROUND(F223/25,0)+1)*15</f>
        <v>390</v>
      </c>
      <c r="W223" s="30"/>
      <c r="X223" s="31"/>
      <c r="Y223" s="59"/>
    </row>
    <row r="224" spans="2:25" s="60" customFormat="1" ht="17.25" customHeight="1" x14ac:dyDescent="0.2">
      <c r="B224" s="52" t="s">
        <v>36</v>
      </c>
      <c r="C224" s="32">
        <v>62183</v>
      </c>
      <c r="D224" s="33">
        <v>62820</v>
      </c>
      <c r="E224" s="33"/>
      <c r="F224" s="34">
        <f t="shared" si="107"/>
        <v>637</v>
      </c>
      <c r="G224" s="35">
        <v>30</v>
      </c>
      <c r="H224" s="34">
        <f t="shared" si="108"/>
        <v>19110</v>
      </c>
      <c r="I224" s="64"/>
      <c r="J224" s="61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1"/>
      <c r="Y224" s="59"/>
    </row>
    <row r="225" spans="2:25" s="60" customFormat="1" ht="17.25" customHeight="1" x14ac:dyDescent="0.2">
      <c r="B225" s="52"/>
      <c r="C225" s="32"/>
      <c r="D225" s="33"/>
      <c r="E225" s="33"/>
      <c r="F225" s="34"/>
      <c r="G225" s="35"/>
      <c r="H225" s="34"/>
      <c r="I225" s="64"/>
      <c r="J225" s="61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1"/>
      <c r="Y225" s="59"/>
    </row>
    <row r="226" spans="2:25" s="60" customFormat="1" ht="17.25" customHeight="1" x14ac:dyDescent="0.2">
      <c r="B226" s="52" t="s">
        <v>38</v>
      </c>
      <c r="C226" s="32">
        <v>62820</v>
      </c>
      <c r="D226" s="33">
        <v>64510</v>
      </c>
      <c r="E226" s="33"/>
      <c r="F226" s="34">
        <f t="shared" ref="F226:F227" si="109">D226-C226</f>
        <v>1690</v>
      </c>
      <c r="G226" s="35">
        <f>AVERAGE(70,105)</f>
        <v>87.5</v>
      </c>
      <c r="H226" s="34">
        <f t="shared" ref="H226:H227" si="110">ROUND(F226*G226,2)</f>
        <v>147875</v>
      </c>
      <c r="I226" s="64"/>
      <c r="J226" s="61"/>
      <c r="K226" s="30"/>
      <c r="L226" s="30">
        <f>ROUND(H226/9,2)</f>
        <v>16430.560000000001</v>
      </c>
      <c r="M226" s="30">
        <f>ROUND(H226*$M$3/9,2)</f>
        <v>1478.75</v>
      </c>
      <c r="N226" s="30"/>
      <c r="O226" s="30"/>
      <c r="P226" s="30">
        <f>ROUND(H226*2*$P$3/9,2)</f>
        <v>1807.36</v>
      </c>
      <c r="Q226" s="30">
        <f>ROUND((R226+S226+T226)*64/G226,2)</f>
        <v>2086.42</v>
      </c>
      <c r="R226" s="30">
        <f>ROUND(H226*$R$3/12/27,2)</f>
        <v>798.71</v>
      </c>
      <c r="S226" s="30">
        <f>ROUND(H226*$S$3/12/27,2)</f>
        <v>1369.21</v>
      </c>
      <c r="T226" s="30">
        <f>ROUND(H226*$T$3/12/27,2)</f>
        <v>684.61</v>
      </c>
      <c r="U226" s="30"/>
      <c r="V226" s="101">
        <f>(ROUND(F226/25,0)+1)*15</f>
        <v>1035</v>
      </c>
      <c r="W226" s="30"/>
      <c r="X226" s="31"/>
      <c r="Y226" s="59"/>
    </row>
    <row r="227" spans="2:25" s="60" customFormat="1" ht="17.25" customHeight="1" x14ac:dyDescent="0.2">
      <c r="B227" s="52" t="s">
        <v>36</v>
      </c>
      <c r="C227" s="32">
        <v>62820</v>
      </c>
      <c r="D227" s="33">
        <v>64510</v>
      </c>
      <c r="E227" s="33"/>
      <c r="F227" s="34">
        <f t="shared" si="109"/>
        <v>1690</v>
      </c>
      <c r="G227" s="35">
        <v>30</v>
      </c>
      <c r="H227" s="34">
        <f t="shared" si="110"/>
        <v>50700</v>
      </c>
      <c r="I227" s="64"/>
      <c r="J227" s="61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1"/>
      <c r="Y227" s="59"/>
    </row>
    <row r="228" spans="2:25" s="60" customFormat="1" ht="17.25" customHeight="1" x14ac:dyDescent="0.2">
      <c r="B228" s="52"/>
      <c r="C228" s="32"/>
      <c r="D228" s="33"/>
      <c r="E228" s="33"/>
      <c r="F228" s="34"/>
      <c r="G228" s="35"/>
      <c r="H228" s="34"/>
      <c r="I228" s="64"/>
      <c r="J228" s="61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1"/>
      <c r="Y228" s="59"/>
    </row>
    <row r="229" spans="2:25" s="60" customFormat="1" ht="17.25" customHeight="1" x14ac:dyDescent="0.2">
      <c r="B229" s="52" t="s">
        <v>38</v>
      </c>
      <c r="C229" s="32">
        <v>64510</v>
      </c>
      <c r="D229" s="33">
        <v>65472</v>
      </c>
      <c r="E229" s="33"/>
      <c r="F229" s="34">
        <f t="shared" ref="F229:F230" si="111">D229-C229</f>
        <v>962</v>
      </c>
      <c r="G229" s="35">
        <v>70</v>
      </c>
      <c r="H229" s="34">
        <f t="shared" ref="H229:H230" si="112">ROUND(F229*G229,2)</f>
        <v>67340</v>
      </c>
      <c r="I229" s="64"/>
      <c r="J229" s="61"/>
      <c r="K229" s="30"/>
      <c r="L229" s="30">
        <f>ROUND(H229/9,2)</f>
        <v>7482.22</v>
      </c>
      <c r="M229" s="30">
        <f>ROUND(H229*$M$3/9,2)</f>
        <v>673.4</v>
      </c>
      <c r="N229" s="30"/>
      <c r="O229" s="30"/>
      <c r="P229" s="30">
        <f>ROUND(H229*2*$P$3/9,2)</f>
        <v>823.04</v>
      </c>
      <c r="Q229" s="30">
        <f>ROUND((R229+S229+T229)*48/G229,2)</f>
        <v>890.74</v>
      </c>
      <c r="R229" s="30">
        <f>ROUND(H229*$R$3/12/27,2)</f>
        <v>363.72</v>
      </c>
      <c r="S229" s="30">
        <f>ROUND(H229*$S$3/12/27,2)</f>
        <v>623.52</v>
      </c>
      <c r="T229" s="30">
        <f>ROUND(H229*$T$3/12/27,2)</f>
        <v>311.76</v>
      </c>
      <c r="U229" s="30"/>
      <c r="V229" s="101">
        <f>(ROUND(F229/25,0)+1)*15</f>
        <v>585</v>
      </c>
      <c r="W229" s="30"/>
      <c r="X229" s="31"/>
      <c r="Y229" s="59"/>
    </row>
    <row r="230" spans="2:25" s="60" customFormat="1" ht="17.25" customHeight="1" x14ac:dyDescent="0.2">
      <c r="B230" s="52" t="s">
        <v>36</v>
      </c>
      <c r="C230" s="32">
        <v>64510</v>
      </c>
      <c r="D230" s="33">
        <v>65472</v>
      </c>
      <c r="E230" s="33"/>
      <c r="F230" s="34">
        <f t="shared" si="111"/>
        <v>962</v>
      </c>
      <c r="G230" s="35">
        <v>30</v>
      </c>
      <c r="H230" s="34">
        <f t="shared" si="112"/>
        <v>28860</v>
      </c>
      <c r="I230" s="64"/>
      <c r="J230" s="61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1"/>
      <c r="Y230" s="59"/>
    </row>
    <row r="231" spans="2:25" s="60" customFormat="1" ht="17.25" customHeight="1" x14ac:dyDescent="0.2">
      <c r="B231" s="52"/>
      <c r="C231" s="32"/>
      <c r="D231" s="33"/>
      <c r="E231" s="33"/>
      <c r="F231" s="34"/>
      <c r="G231" s="35"/>
      <c r="H231" s="34"/>
      <c r="I231" s="64"/>
      <c r="J231" s="61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1"/>
      <c r="Y231" s="59"/>
    </row>
    <row r="232" spans="2:25" s="60" customFormat="1" ht="17.25" customHeight="1" x14ac:dyDescent="0.2">
      <c r="B232" s="52" t="s">
        <v>38</v>
      </c>
      <c r="C232" s="32">
        <v>65472</v>
      </c>
      <c r="D232" s="33">
        <v>65625</v>
      </c>
      <c r="E232" s="33"/>
      <c r="F232" s="34">
        <f t="shared" ref="F232:F233" si="113">D232-C232</f>
        <v>153</v>
      </c>
      <c r="G232" s="35">
        <f>AVERAGE(107,86)</f>
        <v>96.5</v>
      </c>
      <c r="H232" s="34">
        <f t="shared" ref="H232:H233" si="114">ROUND(F232*G232,2)</f>
        <v>14764.5</v>
      </c>
      <c r="I232" s="64"/>
      <c r="J232" s="61"/>
      <c r="K232" s="30"/>
      <c r="L232" s="30">
        <f>ROUND(H232/9,2)</f>
        <v>1640.5</v>
      </c>
      <c r="M232" s="30">
        <f>ROUND(H232*$M$3/9,2)</f>
        <v>147.65</v>
      </c>
      <c r="N232" s="30"/>
      <c r="O232" s="30"/>
      <c r="P232" s="30">
        <f>ROUND(H232*2*$P$3/9,2)</f>
        <v>180.46</v>
      </c>
      <c r="Q232" s="30">
        <f>ROUND((R232+S232+T232)*64/G232,2)</f>
        <v>188.89</v>
      </c>
      <c r="R232" s="30">
        <f>ROUND(H232*$R$3/12/27,2)</f>
        <v>79.75</v>
      </c>
      <c r="S232" s="30">
        <f>ROUND(H232*$S$3/12/27,2)</f>
        <v>136.71</v>
      </c>
      <c r="T232" s="30">
        <f>ROUND(H232*$T$3/12/27,2)</f>
        <v>68.349999999999994</v>
      </c>
      <c r="U232" s="30"/>
      <c r="V232" s="101">
        <f>(ROUND(F232/25,0)+1)*15</f>
        <v>105</v>
      </c>
      <c r="W232" s="30"/>
      <c r="X232" s="31"/>
      <c r="Y232" s="59"/>
    </row>
    <row r="233" spans="2:25" s="60" customFormat="1" ht="17.25" customHeight="1" x14ac:dyDescent="0.2">
      <c r="B233" s="52" t="s">
        <v>36</v>
      </c>
      <c r="C233" s="32">
        <v>65472</v>
      </c>
      <c r="D233" s="33">
        <v>65625</v>
      </c>
      <c r="E233" s="33"/>
      <c r="F233" s="34">
        <f t="shared" si="113"/>
        <v>153</v>
      </c>
      <c r="G233" s="35">
        <v>30</v>
      </c>
      <c r="H233" s="34">
        <f t="shared" si="114"/>
        <v>4590</v>
      </c>
      <c r="I233" s="64"/>
      <c r="J233" s="61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1"/>
      <c r="Y233" s="59"/>
    </row>
    <row r="234" spans="2:25" s="60" customFormat="1" ht="17.45" customHeight="1" x14ac:dyDescent="0.2">
      <c r="B234" s="52"/>
      <c r="C234" s="32"/>
      <c r="D234" s="33"/>
      <c r="E234" s="33"/>
      <c r="F234" s="34"/>
      <c r="G234" s="35"/>
      <c r="H234" s="34"/>
      <c r="I234" s="64"/>
      <c r="J234" s="61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1"/>
      <c r="Y234" s="59"/>
    </row>
    <row r="235" spans="2:25" s="60" customFormat="1" ht="17.25" customHeight="1" x14ac:dyDescent="0.2">
      <c r="B235" s="52" t="s">
        <v>39</v>
      </c>
      <c r="C235" s="32">
        <v>65625</v>
      </c>
      <c r="D235" s="33">
        <v>65750</v>
      </c>
      <c r="E235" s="33"/>
      <c r="F235" s="34">
        <f>D235-C235</f>
        <v>125</v>
      </c>
      <c r="G235" s="35">
        <f>AVERAGE(86,80)</f>
        <v>83</v>
      </c>
      <c r="H235" s="34">
        <f>ROUND(F235*G235,2)</f>
        <v>10375</v>
      </c>
      <c r="I235" s="64"/>
      <c r="J235" s="61"/>
      <c r="K235" s="30">
        <f>ROUND(H235/9,2)</f>
        <v>1152.78</v>
      </c>
      <c r="L235" s="30">
        <f>ROUND(H235/9,2)</f>
        <v>1152.78</v>
      </c>
      <c r="M235" s="30">
        <f>ROUND(H235*$M$3/9,2)</f>
        <v>103.75</v>
      </c>
      <c r="N235" s="30">
        <f>ROUND(H235*$N$3/9,2)</f>
        <v>63.4</v>
      </c>
      <c r="O235" s="30"/>
      <c r="P235" s="30"/>
      <c r="Q235" s="30">
        <f>ROUND((R235+S235+T235)*64/G235,2)</f>
        <v>80.25</v>
      </c>
      <c r="R235" s="30">
        <f>ROUND(H235*$R$3/12/27,2)</f>
        <v>56.04</v>
      </c>
      <c r="S235" s="30"/>
      <c r="T235" s="30">
        <f>ROUND(H235*$T$3/12/27,2)</f>
        <v>48.03</v>
      </c>
      <c r="U235" s="30"/>
      <c r="V235" s="101">
        <f>(ROUND(F235/25,0)+1)*15</f>
        <v>90</v>
      </c>
      <c r="W235" s="30"/>
      <c r="X235" s="31"/>
      <c r="Y235" s="59"/>
    </row>
    <row r="236" spans="2:25" s="60" customFormat="1" ht="17.25" customHeight="1" x14ac:dyDescent="0.2">
      <c r="B236" s="52"/>
      <c r="C236" s="32"/>
      <c r="D236" s="33"/>
      <c r="E236" s="33"/>
      <c r="F236" s="34"/>
      <c r="G236" s="35"/>
      <c r="H236" s="34"/>
      <c r="I236" s="64"/>
      <c r="J236" s="61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1"/>
      <c r="Y236" s="59"/>
    </row>
    <row r="237" spans="2:25" s="60" customFormat="1" ht="17.25" customHeight="1" x14ac:dyDescent="0.2">
      <c r="B237" s="52" t="s">
        <v>38</v>
      </c>
      <c r="C237" s="32">
        <v>65750</v>
      </c>
      <c r="D237" s="33">
        <v>66150</v>
      </c>
      <c r="E237" s="33"/>
      <c r="F237" s="34">
        <f t="shared" ref="F237:F238" si="115">D237-C237</f>
        <v>400</v>
      </c>
      <c r="G237" s="35">
        <v>80</v>
      </c>
      <c r="H237" s="34">
        <f t="shared" ref="H237:H238" si="116">ROUND(F237*G237,2)</f>
        <v>32000</v>
      </c>
      <c r="I237" s="64"/>
      <c r="J237" s="61"/>
      <c r="K237" s="30"/>
      <c r="L237" s="30">
        <f>ROUND(H237/9,2)</f>
        <v>3555.56</v>
      </c>
      <c r="M237" s="30">
        <f>ROUND(H237*$M$3/9,2)</f>
        <v>320</v>
      </c>
      <c r="N237" s="30"/>
      <c r="O237" s="30"/>
      <c r="P237" s="30">
        <f>ROUND(H237*2*$P$3/9,2)</f>
        <v>391.11</v>
      </c>
      <c r="Q237" s="30">
        <f>ROUND((R237+S237+T237)*60/G237,2)</f>
        <v>462.97</v>
      </c>
      <c r="R237" s="30">
        <f>ROUND(H237*$R$3/12/27,2)</f>
        <v>172.84</v>
      </c>
      <c r="S237" s="30">
        <f>ROUND(H237*$S$3/12/27,2)</f>
        <v>296.3</v>
      </c>
      <c r="T237" s="30">
        <f>ROUND(H237*$T$3/12/27,2)</f>
        <v>148.15</v>
      </c>
      <c r="U237" s="30"/>
      <c r="V237" s="101">
        <f>(ROUND(F237/25,0)+1)*15</f>
        <v>255</v>
      </c>
      <c r="W237" s="30"/>
      <c r="X237" s="31"/>
      <c r="Y237" s="59"/>
    </row>
    <row r="238" spans="2:25" s="60" customFormat="1" ht="17.25" customHeight="1" x14ac:dyDescent="0.2">
      <c r="B238" s="52" t="s">
        <v>36</v>
      </c>
      <c r="C238" s="32">
        <v>65750</v>
      </c>
      <c r="D238" s="33">
        <v>66150</v>
      </c>
      <c r="E238" s="33"/>
      <c r="F238" s="34">
        <f t="shared" si="115"/>
        <v>400</v>
      </c>
      <c r="G238" s="35">
        <v>30</v>
      </c>
      <c r="H238" s="34">
        <f t="shared" si="116"/>
        <v>12000</v>
      </c>
      <c r="I238" s="64"/>
      <c r="J238" s="61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1"/>
      <c r="Y238" s="59"/>
    </row>
    <row r="239" spans="2:25" s="60" customFormat="1" ht="17.25" customHeight="1" x14ac:dyDescent="0.2">
      <c r="B239" s="52"/>
      <c r="C239" s="32"/>
      <c r="D239" s="33"/>
      <c r="E239" s="33"/>
      <c r="F239" s="34"/>
      <c r="G239" s="35"/>
      <c r="H239" s="34"/>
      <c r="I239" s="64"/>
      <c r="J239" s="61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1"/>
      <c r="Y239" s="59"/>
    </row>
    <row r="240" spans="2:25" s="60" customFormat="1" ht="17.25" customHeight="1" x14ac:dyDescent="0.2">
      <c r="B240" s="52" t="s">
        <v>38</v>
      </c>
      <c r="C240" s="32">
        <v>66150</v>
      </c>
      <c r="D240" s="33">
        <v>66283</v>
      </c>
      <c r="E240" s="33"/>
      <c r="F240" s="34">
        <f t="shared" ref="F240:F241" si="117">D240-C240</f>
        <v>133</v>
      </c>
      <c r="G240" s="35">
        <f>AVERAGE(80,70)</f>
        <v>75</v>
      </c>
      <c r="H240" s="34">
        <f t="shared" ref="H240:H241" si="118">ROUND(F240*G240,2)</f>
        <v>9975</v>
      </c>
      <c r="I240" s="64"/>
      <c r="J240" s="61"/>
      <c r="K240" s="30"/>
      <c r="L240" s="30">
        <f>ROUND(H240/9,2)</f>
        <v>1108.33</v>
      </c>
      <c r="M240" s="30">
        <f>ROUND(H240*$M$3/9,2)</f>
        <v>99.75</v>
      </c>
      <c r="N240" s="30"/>
      <c r="O240" s="30"/>
      <c r="P240" s="30">
        <f>ROUND(H240*2*$P$3/9,2)</f>
        <v>121.92</v>
      </c>
      <c r="Q240" s="30">
        <f>ROUND((R240+S240+T240)*54/G240,2)</f>
        <v>138.54</v>
      </c>
      <c r="R240" s="30">
        <f>ROUND(H240*$R$3/12/27,2)</f>
        <v>53.88</v>
      </c>
      <c r="S240" s="30">
        <f>ROUND(H240*$S$3/12/27,2)</f>
        <v>92.36</v>
      </c>
      <c r="T240" s="30">
        <f>ROUND(H240*$T$3/12/27,2)</f>
        <v>46.18</v>
      </c>
      <c r="U240" s="30"/>
      <c r="V240" s="101">
        <f>(ROUND(F240/25,0)+1)*15</f>
        <v>90</v>
      </c>
      <c r="W240" s="30"/>
      <c r="X240" s="31"/>
      <c r="Y240" s="59"/>
    </row>
    <row r="241" spans="2:25" s="60" customFormat="1" ht="17.25" customHeight="1" x14ac:dyDescent="0.2">
      <c r="B241" s="52" t="s">
        <v>36</v>
      </c>
      <c r="C241" s="32">
        <v>66150</v>
      </c>
      <c r="D241" s="33">
        <v>66283</v>
      </c>
      <c r="E241" s="33"/>
      <c r="F241" s="34">
        <f t="shared" si="117"/>
        <v>133</v>
      </c>
      <c r="G241" s="35">
        <v>30</v>
      </c>
      <c r="H241" s="34">
        <f t="shared" si="118"/>
        <v>3990</v>
      </c>
      <c r="I241" s="64"/>
      <c r="J241" s="61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1"/>
      <c r="Y241" s="59"/>
    </row>
    <row r="242" spans="2:25" s="60" customFormat="1" ht="17.25" customHeight="1" x14ac:dyDescent="0.2">
      <c r="B242" s="52"/>
      <c r="C242" s="32"/>
      <c r="D242" s="33"/>
      <c r="E242" s="33"/>
      <c r="F242" s="34"/>
      <c r="G242" s="35"/>
      <c r="H242" s="34"/>
      <c r="I242" s="64"/>
      <c r="J242" s="61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1"/>
      <c r="Y242" s="59"/>
    </row>
    <row r="243" spans="2:25" s="60" customFormat="1" ht="17.25" customHeight="1" x14ac:dyDescent="0.2">
      <c r="B243" s="52" t="s">
        <v>38</v>
      </c>
      <c r="C243" s="32">
        <v>66283</v>
      </c>
      <c r="D243" s="33">
        <v>68500</v>
      </c>
      <c r="E243" s="33"/>
      <c r="F243" s="34">
        <f t="shared" ref="F243:F244" si="119">D243-C243</f>
        <v>2217</v>
      </c>
      <c r="G243" s="35">
        <v>70</v>
      </c>
      <c r="H243" s="34">
        <f t="shared" ref="H243:H244" si="120">ROUND(F243*G243,2)</f>
        <v>155190</v>
      </c>
      <c r="I243" s="64"/>
      <c r="J243" s="61"/>
      <c r="K243" s="30"/>
      <c r="L243" s="30">
        <f>ROUND(H243/9,2)</f>
        <v>17243.330000000002</v>
      </c>
      <c r="M243" s="30">
        <f>ROUND(H243*$M$3/9,2)</f>
        <v>1551.9</v>
      </c>
      <c r="N243" s="30"/>
      <c r="O243" s="30"/>
      <c r="P243" s="30">
        <f>ROUND(H243*2*$P$3/9,2)</f>
        <v>1896.77</v>
      </c>
      <c r="Q243" s="30">
        <f>ROUND((R243+S243+T243)*48/G243,2)</f>
        <v>2052.77</v>
      </c>
      <c r="R243" s="30">
        <f>ROUND(H243*$R$3/12/27,2)</f>
        <v>838.22</v>
      </c>
      <c r="S243" s="30">
        <f>ROUND(H243*$S$3/12/27,2)</f>
        <v>1436.94</v>
      </c>
      <c r="T243" s="30">
        <f>ROUND(H243*$T$3/12/27,2)</f>
        <v>718.47</v>
      </c>
      <c r="U243" s="30"/>
      <c r="V243" s="101">
        <f>(ROUND(F243/25,0)+1)*15</f>
        <v>1350</v>
      </c>
      <c r="W243" s="30"/>
      <c r="X243" s="31"/>
      <c r="Y243" s="59"/>
    </row>
    <row r="244" spans="2:25" s="60" customFormat="1" ht="17.25" customHeight="1" x14ac:dyDescent="0.2">
      <c r="B244" s="52" t="s">
        <v>36</v>
      </c>
      <c r="C244" s="32">
        <v>66283</v>
      </c>
      <c r="D244" s="33">
        <v>68500</v>
      </c>
      <c r="E244" s="33"/>
      <c r="F244" s="34">
        <f t="shared" si="119"/>
        <v>2217</v>
      </c>
      <c r="G244" s="35">
        <v>30</v>
      </c>
      <c r="H244" s="34">
        <f t="shared" si="120"/>
        <v>66510</v>
      </c>
      <c r="I244" s="64"/>
      <c r="J244" s="61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1"/>
      <c r="Y244" s="59"/>
    </row>
    <row r="245" spans="2:25" s="60" customFormat="1" ht="17.25" customHeight="1" x14ac:dyDescent="0.2">
      <c r="B245" s="52"/>
      <c r="C245" s="32"/>
      <c r="D245" s="33"/>
      <c r="E245" s="33"/>
      <c r="F245" s="34"/>
      <c r="G245" s="35"/>
      <c r="H245" s="34"/>
      <c r="I245" s="64"/>
      <c r="J245" s="61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1"/>
      <c r="Y245" s="59"/>
    </row>
    <row r="246" spans="2:25" s="60" customFormat="1" ht="17.25" customHeight="1" x14ac:dyDescent="0.2">
      <c r="B246" s="52" t="s">
        <v>44</v>
      </c>
      <c r="C246" s="32"/>
      <c r="D246" s="33"/>
      <c r="E246" s="33"/>
      <c r="F246" s="34"/>
      <c r="G246" s="35"/>
      <c r="H246" s="34"/>
      <c r="I246" s="64"/>
      <c r="J246" s="61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1"/>
      <c r="Y246" s="59"/>
    </row>
    <row r="247" spans="2:25" s="60" customFormat="1" ht="17.25" customHeight="1" x14ac:dyDescent="0.2">
      <c r="B247" s="52" t="s">
        <v>58</v>
      </c>
      <c r="C247" s="32"/>
      <c r="D247" s="33"/>
      <c r="E247" s="33"/>
      <c r="F247" s="34"/>
      <c r="G247" s="35"/>
      <c r="H247" s="34"/>
      <c r="I247" s="64"/>
      <c r="J247" s="61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1"/>
      <c r="Y247" s="59"/>
    </row>
    <row r="248" spans="2:25" s="60" customFormat="1" ht="17.25" customHeight="1" x14ac:dyDescent="0.2">
      <c r="B248" s="52"/>
      <c r="C248" s="32"/>
      <c r="D248" s="33"/>
      <c r="E248" s="33"/>
      <c r="F248" s="34"/>
      <c r="G248" s="35"/>
      <c r="H248" s="34"/>
      <c r="I248" s="64"/>
      <c r="J248" s="61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1"/>
      <c r="Y248" s="59"/>
    </row>
    <row r="249" spans="2:25" s="60" customFormat="1" ht="17.25" customHeight="1" x14ac:dyDescent="0.2">
      <c r="B249" s="52" t="s">
        <v>38</v>
      </c>
      <c r="C249" s="32">
        <v>68500</v>
      </c>
      <c r="D249" s="33">
        <v>69388</v>
      </c>
      <c r="E249" s="33"/>
      <c r="F249" s="34">
        <f t="shared" ref="F249:F250" si="121">D249-C249</f>
        <v>888</v>
      </c>
      <c r="G249" s="35">
        <f>AVERAGE(70,94)</f>
        <v>82</v>
      </c>
      <c r="H249" s="34">
        <f t="shared" ref="H249:H250" si="122">ROUND(F249*G249,2)</f>
        <v>72816</v>
      </c>
      <c r="I249" s="64"/>
      <c r="J249" s="61"/>
      <c r="K249" s="30"/>
      <c r="L249" s="30">
        <f>ROUND(H249/9,2)</f>
        <v>8090.67</v>
      </c>
      <c r="M249" s="30">
        <f>ROUND(H249*$M$3/9,2)</f>
        <v>728.16</v>
      </c>
      <c r="N249" s="30"/>
      <c r="O249" s="30"/>
      <c r="P249" s="30">
        <f>ROUND(H249*2*$P$3/9,2)</f>
        <v>889.97</v>
      </c>
      <c r="Q249" s="30">
        <f>ROUND((R249+S249+T249)*52/G249,2)</f>
        <v>890.74</v>
      </c>
      <c r="R249" s="30">
        <f>ROUND(H249*$R$3/12/27,2)</f>
        <v>393.3</v>
      </c>
      <c r="S249" s="30">
        <f>ROUND(H249*$S$3/12/27,2)</f>
        <v>674.22</v>
      </c>
      <c r="T249" s="30">
        <f>ROUND(H249*$T$3/12/27,2)</f>
        <v>337.11</v>
      </c>
      <c r="U249" s="30"/>
      <c r="V249" s="101">
        <f>(ROUND(F249/25,0)+1)*15</f>
        <v>555</v>
      </c>
      <c r="W249" s="30"/>
      <c r="X249" s="31"/>
      <c r="Y249" s="59"/>
    </row>
    <row r="250" spans="2:25" s="60" customFormat="1" ht="17.25" customHeight="1" x14ac:dyDescent="0.2">
      <c r="B250" s="52" t="s">
        <v>36</v>
      </c>
      <c r="C250" s="32">
        <v>68500</v>
      </c>
      <c r="D250" s="33">
        <v>69388</v>
      </c>
      <c r="E250" s="33"/>
      <c r="F250" s="34">
        <f t="shared" si="121"/>
        <v>888</v>
      </c>
      <c r="G250" s="35">
        <v>30</v>
      </c>
      <c r="H250" s="34">
        <f t="shared" si="122"/>
        <v>26640</v>
      </c>
      <c r="I250" s="64"/>
      <c r="J250" s="61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1"/>
      <c r="Y250" s="59"/>
    </row>
    <row r="251" spans="2:25" s="60" customFormat="1" ht="17.25" customHeight="1" x14ac:dyDescent="0.2">
      <c r="B251" s="52"/>
      <c r="C251" s="32"/>
      <c r="D251" s="33"/>
      <c r="E251" s="33"/>
      <c r="F251" s="34"/>
      <c r="G251" s="35"/>
      <c r="H251" s="34"/>
      <c r="I251" s="64"/>
      <c r="J251" s="61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1"/>
      <c r="Y251" s="59"/>
    </row>
    <row r="252" spans="2:25" s="60" customFormat="1" ht="17.25" customHeight="1" x14ac:dyDescent="0.2">
      <c r="B252" s="52" t="s">
        <v>38</v>
      </c>
      <c r="C252" s="32">
        <v>69388</v>
      </c>
      <c r="D252" s="33">
        <v>70125</v>
      </c>
      <c r="E252" s="33"/>
      <c r="F252" s="34">
        <f t="shared" ref="F252:F253" si="123">D252-C252</f>
        <v>737</v>
      </c>
      <c r="G252" s="35">
        <f>AVERAGE(58,82)</f>
        <v>70</v>
      </c>
      <c r="H252" s="34">
        <f t="shared" ref="H252:H253" si="124">ROUND(F252*G252,2)</f>
        <v>51590</v>
      </c>
      <c r="I252" s="64"/>
      <c r="J252" s="61"/>
      <c r="K252" s="30"/>
      <c r="L252" s="30">
        <f>ROUND(H252/9,2)</f>
        <v>5732.22</v>
      </c>
      <c r="M252" s="30">
        <f>ROUND(H252*$M$3/9,2)</f>
        <v>515.9</v>
      </c>
      <c r="N252" s="30"/>
      <c r="O252" s="30"/>
      <c r="P252" s="30">
        <f>ROUND(H252*2*$P$3/9,2)</f>
        <v>630.54</v>
      </c>
      <c r="Q252" s="30">
        <f>ROUND((R252+S252+T252)*40/G252,2)</f>
        <v>568.66999999999996</v>
      </c>
      <c r="R252" s="30">
        <f>ROUND(H252*$R$3/12/27,2)</f>
        <v>278.64999999999998</v>
      </c>
      <c r="S252" s="30">
        <f>ROUND(H252*$S$3/12/27,2)</f>
        <v>477.69</v>
      </c>
      <c r="T252" s="30">
        <f>ROUND(H252*$T$3/12/27,2)</f>
        <v>238.84</v>
      </c>
      <c r="U252" s="30"/>
      <c r="V252" s="101">
        <f>(ROUND(F252/25,0)+1)*15</f>
        <v>450</v>
      </c>
      <c r="W252" s="30"/>
      <c r="X252" s="31"/>
      <c r="Y252" s="59"/>
    </row>
    <row r="253" spans="2:25" s="60" customFormat="1" ht="17.25" customHeight="1" x14ac:dyDescent="0.2">
      <c r="B253" s="52" t="s">
        <v>36</v>
      </c>
      <c r="C253" s="32">
        <v>69388</v>
      </c>
      <c r="D253" s="33">
        <v>70125</v>
      </c>
      <c r="E253" s="33"/>
      <c r="F253" s="34">
        <f t="shared" si="123"/>
        <v>737</v>
      </c>
      <c r="G253" s="35">
        <v>30</v>
      </c>
      <c r="H253" s="34">
        <f t="shared" si="124"/>
        <v>22110</v>
      </c>
      <c r="I253" s="64"/>
      <c r="J253" s="61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1"/>
      <c r="Y253" s="59"/>
    </row>
    <row r="254" spans="2:25" s="60" customFormat="1" ht="17.25" customHeight="1" x14ac:dyDescent="0.2">
      <c r="B254" s="52"/>
      <c r="C254" s="32"/>
      <c r="D254" s="33"/>
      <c r="E254" s="33"/>
      <c r="F254" s="34"/>
      <c r="G254" s="35"/>
      <c r="H254" s="34"/>
      <c r="I254" s="64"/>
      <c r="J254" s="61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1"/>
      <c r="Y254" s="59"/>
    </row>
    <row r="255" spans="2:25" s="60" customFormat="1" ht="17.25" customHeight="1" x14ac:dyDescent="0.2">
      <c r="B255" s="52" t="s">
        <v>38</v>
      </c>
      <c r="C255" s="32">
        <v>70125</v>
      </c>
      <c r="D255" s="33">
        <v>71521</v>
      </c>
      <c r="E255" s="33"/>
      <c r="F255" s="34">
        <f t="shared" ref="F255:F256" si="125">D255-C255</f>
        <v>1396</v>
      </c>
      <c r="G255" s="35">
        <f>4+24+10</f>
        <v>38</v>
      </c>
      <c r="H255" s="34">
        <f t="shared" ref="H255:H256" si="126">ROUND(F255*G255,2)</f>
        <v>53048</v>
      </c>
      <c r="I255" s="64"/>
      <c r="J255" s="61"/>
      <c r="K255" s="30"/>
      <c r="L255" s="30">
        <f>ROUND(H255/9,2)</f>
        <v>5894.22</v>
      </c>
      <c r="M255" s="30">
        <f>ROUND(H255*$M$3/9,2)</f>
        <v>530.48</v>
      </c>
      <c r="N255" s="30"/>
      <c r="O255" s="30"/>
      <c r="P255" s="30">
        <f>ROUND(H255*2*$P$3/9,2)</f>
        <v>648.36</v>
      </c>
      <c r="Q255" s="30">
        <f>ROUND((R255+S255+T255)*24/G255,2)</f>
        <v>646.29</v>
      </c>
      <c r="R255" s="30">
        <f>ROUND(H255*$R$3/12/27,2)</f>
        <v>286.52</v>
      </c>
      <c r="S255" s="30">
        <f>ROUND(H255*$S$3/12/27,2)</f>
        <v>491.19</v>
      </c>
      <c r="T255" s="30">
        <f>ROUND(H255*$T$3/12/27,2)</f>
        <v>245.59</v>
      </c>
      <c r="U255" s="30"/>
      <c r="V255" s="101">
        <f>(ROUND(F255/25,0)+1)*15</f>
        <v>855</v>
      </c>
      <c r="W255" s="30"/>
      <c r="X255" s="31"/>
      <c r="Y255" s="59"/>
    </row>
    <row r="256" spans="2:25" s="60" customFormat="1" ht="17.25" customHeight="1" x14ac:dyDescent="0.2">
      <c r="B256" s="52" t="s">
        <v>36</v>
      </c>
      <c r="C256" s="32">
        <v>70125</v>
      </c>
      <c r="D256" s="33">
        <v>71521</v>
      </c>
      <c r="E256" s="33"/>
      <c r="F256" s="34">
        <f t="shared" si="125"/>
        <v>1396</v>
      </c>
      <c r="G256" s="35">
        <v>30</v>
      </c>
      <c r="H256" s="34">
        <f t="shared" si="126"/>
        <v>41880</v>
      </c>
      <c r="I256" s="64"/>
      <c r="J256" s="61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1"/>
      <c r="Y256" s="59"/>
    </row>
    <row r="257" spans="2:25" s="60" customFormat="1" ht="17.25" customHeight="1" x14ac:dyDescent="0.2">
      <c r="B257" s="52"/>
      <c r="C257" s="32"/>
      <c r="D257" s="33"/>
      <c r="E257" s="33"/>
      <c r="F257" s="34"/>
      <c r="G257" s="35"/>
      <c r="H257" s="34"/>
      <c r="I257" s="64"/>
      <c r="J257" s="61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1"/>
      <c r="Y257" s="59"/>
    </row>
    <row r="258" spans="2:25" s="60" customFormat="1" ht="17.25" customHeight="1" x14ac:dyDescent="0.2">
      <c r="B258" s="52" t="s">
        <v>38</v>
      </c>
      <c r="C258" s="32">
        <v>71521</v>
      </c>
      <c r="D258" s="33">
        <v>71950</v>
      </c>
      <c r="E258" s="33"/>
      <c r="F258" s="34">
        <f t="shared" ref="F258:F259" si="127">D258-C258</f>
        <v>429</v>
      </c>
      <c r="G258" s="35">
        <f>AVERAGE(78,50)</f>
        <v>64</v>
      </c>
      <c r="H258" s="34">
        <f t="shared" ref="H258:H259" si="128">ROUND(F258*G258,2)</f>
        <v>27456</v>
      </c>
      <c r="I258" s="64"/>
      <c r="J258" s="61"/>
      <c r="K258" s="30"/>
      <c r="L258" s="30">
        <f>ROUND(H258/9,2)</f>
        <v>3050.67</v>
      </c>
      <c r="M258" s="30">
        <f>ROUND(H258*$M$3/9,2)</f>
        <v>274.56</v>
      </c>
      <c r="N258" s="30"/>
      <c r="O258" s="30"/>
      <c r="P258" s="30">
        <f>ROUND(H258*2*$P$3/9,2)</f>
        <v>335.57</v>
      </c>
      <c r="Q258" s="30">
        <f>ROUND((R258+S258+T258)*40/G258,2)</f>
        <v>331.02</v>
      </c>
      <c r="R258" s="30">
        <f>ROUND(H258*$R$3/12/27,2)</f>
        <v>148.30000000000001</v>
      </c>
      <c r="S258" s="30">
        <f>ROUND(H258*$S$3/12/27,2)</f>
        <v>254.22</v>
      </c>
      <c r="T258" s="30">
        <f>ROUND(H258*$T$3/12/27,2)</f>
        <v>127.11</v>
      </c>
      <c r="U258" s="30"/>
      <c r="V258" s="101">
        <f>(ROUND(F258/25,0)+1)*15</f>
        <v>270</v>
      </c>
      <c r="W258" s="30"/>
      <c r="X258" s="31"/>
      <c r="Y258" s="59"/>
    </row>
    <row r="259" spans="2:25" s="60" customFormat="1" ht="17.25" customHeight="1" x14ac:dyDescent="0.2">
      <c r="B259" s="52" t="s">
        <v>36</v>
      </c>
      <c r="C259" s="32">
        <v>71521</v>
      </c>
      <c r="D259" s="33">
        <v>71950</v>
      </c>
      <c r="E259" s="33"/>
      <c r="F259" s="34">
        <f t="shared" si="127"/>
        <v>429</v>
      </c>
      <c r="G259" s="35">
        <v>30</v>
      </c>
      <c r="H259" s="34">
        <f t="shared" si="128"/>
        <v>12870</v>
      </c>
      <c r="I259" s="64"/>
      <c r="J259" s="61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1"/>
      <c r="Y259" s="59"/>
    </row>
    <row r="260" spans="2:25" s="60" customFormat="1" ht="17.25" customHeight="1" x14ac:dyDescent="0.2">
      <c r="B260" s="52"/>
      <c r="C260" s="32"/>
      <c r="D260" s="33"/>
      <c r="E260" s="33"/>
      <c r="F260" s="34"/>
      <c r="G260" s="35"/>
      <c r="H260" s="34"/>
      <c r="I260" s="64"/>
      <c r="J260" s="61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1"/>
      <c r="Y260" s="59"/>
    </row>
    <row r="261" spans="2:25" s="60" customFormat="1" ht="17.25" customHeight="1" x14ac:dyDescent="0.2">
      <c r="B261" s="52" t="s">
        <v>38</v>
      </c>
      <c r="C261" s="32">
        <v>71950</v>
      </c>
      <c r="D261" s="33">
        <v>72339</v>
      </c>
      <c r="E261" s="33"/>
      <c r="F261" s="34">
        <f t="shared" ref="F261:F262" si="129">D261-C261</f>
        <v>389</v>
      </c>
      <c r="G261" s="35">
        <f>AVERAGE(50,60)</f>
        <v>55</v>
      </c>
      <c r="H261" s="34">
        <f t="shared" ref="H261:H262" si="130">ROUND(F261*G261,2)</f>
        <v>21395</v>
      </c>
      <c r="I261" s="64"/>
      <c r="J261" s="61"/>
      <c r="K261" s="30"/>
      <c r="L261" s="30">
        <f>ROUND(H261/9,2)</f>
        <v>2377.2199999999998</v>
      </c>
      <c r="M261" s="30">
        <f>ROUND(H261*$M$3/9,2)</f>
        <v>213.95</v>
      </c>
      <c r="N261" s="30"/>
      <c r="O261" s="30"/>
      <c r="P261" s="30">
        <f>ROUND(H261*2*$P$3/9,2)</f>
        <v>261.49</v>
      </c>
      <c r="Q261" s="30">
        <f>ROUND((R261+S261+T261)*36/G261,2)</f>
        <v>270.14</v>
      </c>
      <c r="R261" s="30">
        <f>ROUND(H261*$R$3/12/27,2)</f>
        <v>115.56</v>
      </c>
      <c r="S261" s="30">
        <f>ROUND(H261*$S$3/12/27,2)</f>
        <v>198.1</v>
      </c>
      <c r="T261" s="30">
        <f>ROUND(H261*$T$3/12/27,2)</f>
        <v>99.05</v>
      </c>
      <c r="U261" s="30"/>
      <c r="V261" s="101">
        <f>(ROUND(F261/25,0)+1)*15</f>
        <v>255</v>
      </c>
      <c r="W261" s="30"/>
      <c r="X261" s="31"/>
      <c r="Y261" s="59"/>
    </row>
    <row r="262" spans="2:25" s="60" customFormat="1" ht="17.25" customHeight="1" x14ac:dyDescent="0.2">
      <c r="B262" s="52" t="s">
        <v>36</v>
      </c>
      <c r="C262" s="32">
        <v>71950</v>
      </c>
      <c r="D262" s="33">
        <v>72339</v>
      </c>
      <c r="E262" s="33"/>
      <c r="F262" s="34">
        <f t="shared" si="129"/>
        <v>389</v>
      </c>
      <c r="G262" s="35">
        <v>30</v>
      </c>
      <c r="H262" s="34">
        <f t="shared" si="130"/>
        <v>11670</v>
      </c>
      <c r="I262" s="64"/>
      <c r="J262" s="61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1"/>
      <c r="Y262" s="59"/>
    </row>
    <row r="263" spans="2:25" s="60" customFormat="1" ht="17.25" customHeight="1" x14ac:dyDescent="0.2">
      <c r="B263" s="52"/>
      <c r="C263" s="32"/>
      <c r="D263" s="33"/>
      <c r="E263" s="33"/>
      <c r="F263" s="34"/>
      <c r="G263" s="35"/>
      <c r="H263" s="34"/>
      <c r="I263" s="64"/>
      <c r="J263" s="61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1"/>
      <c r="Y263" s="59"/>
    </row>
    <row r="264" spans="2:25" s="60" customFormat="1" ht="17.25" customHeight="1" x14ac:dyDescent="0.2">
      <c r="B264" s="52" t="s">
        <v>67</v>
      </c>
      <c r="C264" s="32">
        <v>72339</v>
      </c>
      <c r="D264" s="33">
        <f>C264+17</f>
        <v>72356</v>
      </c>
      <c r="E264" s="33"/>
      <c r="F264" s="34">
        <f>D264-C264</f>
        <v>17</v>
      </c>
      <c r="G264" s="35">
        <v>60</v>
      </c>
      <c r="H264" s="34"/>
      <c r="I264" s="64">
        <v>1235.28</v>
      </c>
      <c r="J264" s="61"/>
      <c r="K264" s="30">
        <f>ROUND(I264/9,2)</f>
        <v>137.25</v>
      </c>
      <c r="L264" s="30"/>
      <c r="M264" s="30">
        <f>ROUND(I264*$M$3/9,2)</f>
        <v>12.35</v>
      </c>
      <c r="N264" s="30">
        <f>ROUND((I265-I264)*$N$3/9,2)</f>
        <v>1.44</v>
      </c>
      <c r="O264" s="30"/>
      <c r="P264" s="30"/>
      <c r="Q264" s="30"/>
      <c r="R264" s="30"/>
      <c r="S264" s="30"/>
      <c r="T264" s="30"/>
      <c r="U264" s="30"/>
      <c r="V264" s="101"/>
      <c r="W264" s="30"/>
      <c r="X264" s="31"/>
      <c r="Y264" s="59"/>
    </row>
    <row r="265" spans="2:25" s="60" customFormat="1" ht="17.25" customHeight="1" x14ac:dyDescent="0.2">
      <c r="B265" s="52" t="s">
        <v>42</v>
      </c>
      <c r="C265" s="32">
        <v>72339</v>
      </c>
      <c r="D265" s="33">
        <f t="shared" ref="D265:D266" si="131">C265+21</f>
        <v>72360</v>
      </c>
      <c r="E265" s="33"/>
      <c r="F265" s="34">
        <f>D265-C265</f>
        <v>21</v>
      </c>
      <c r="G265" s="35">
        <v>60</v>
      </c>
      <c r="H265" s="34"/>
      <c r="I265" s="64">
        <v>1471.08</v>
      </c>
      <c r="J265" s="61"/>
      <c r="K265" s="30"/>
      <c r="L265" s="30"/>
      <c r="M265" s="30"/>
      <c r="N265" s="30">
        <f>ROUND(I265*$N$3/9,2)</f>
        <v>8.99</v>
      </c>
      <c r="O265" s="30"/>
      <c r="P265" s="30"/>
      <c r="Q265" s="30">
        <f>ROUND((R265+S265+T265)*36/G265,2)</f>
        <v>8.86</v>
      </c>
      <c r="R265" s="30">
        <f>ROUND(I265*$R$3/12/27,2)</f>
        <v>7.95</v>
      </c>
      <c r="S265" s="30"/>
      <c r="T265" s="30">
        <f>ROUND(I265*$T$3/12/27,2)</f>
        <v>6.81</v>
      </c>
      <c r="U265" s="30"/>
      <c r="V265" s="101"/>
      <c r="W265" s="30"/>
      <c r="X265" s="31"/>
      <c r="Y265" s="59"/>
    </row>
    <row r="266" spans="2:25" s="60" customFormat="1" ht="17.25" customHeight="1" x14ac:dyDescent="0.2">
      <c r="B266" s="52" t="s">
        <v>34</v>
      </c>
      <c r="C266" s="32">
        <v>72339</v>
      </c>
      <c r="D266" s="33">
        <f t="shared" si="131"/>
        <v>72360</v>
      </c>
      <c r="E266" s="33"/>
      <c r="F266" s="34">
        <f t="shared" ref="F266" si="132">D266-C266</f>
        <v>21</v>
      </c>
      <c r="G266" s="35">
        <v>61</v>
      </c>
      <c r="H266" s="34"/>
      <c r="I266" s="64"/>
      <c r="J266" s="61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>
        <f>G266</f>
        <v>61</v>
      </c>
      <c r="V266" s="101"/>
      <c r="W266" s="30"/>
      <c r="X266" s="31"/>
      <c r="Y266" s="59"/>
    </row>
    <row r="267" spans="2:25" s="60" customFormat="1" ht="17.25" customHeight="1" x14ac:dyDescent="0.2">
      <c r="B267" s="52"/>
      <c r="C267" s="32"/>
      <c r="D267" s="33"/>
      <c r="E267" s="33"/>
      <c r="F267" s="34"/>
      <c r="G267" s="35"/>
      <c r="H267" s="34"/>
      <c r="I267" s="64"/>
      <c r="J267" s="61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1"/>
      <c r="Y267" s="59"/>
    </row>
    <row r="268" spans="2:25" s="60" customFormat="1" ht="17.25" customHeight="1" x14ac:dyDescent="0.2">
      <c r="B268" s="52" t="s">
        <v>63</v>
      </c>
      <c r="C268" s="113">
        <v>44500</v>
      </c>
      <c r="D268" s="114">
        <v>49505</v>
      </c>
      <c r="E268" s="33"/>
      <c r="F268" s="34">
        <f t="shared" ref="F268:F271" si="133">D268-C268</f>
        <v>5005</v>
      </c>
      <c r="G268" s="35"/>
      <c r="H268" s="34"/>
      <c r="I268" s="64"/>
      <c r="J268" s="61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>
        <f>ROUND(F268*2/5280,2)</f>
        <v>1.9</v>
      </c>
      <c r="X268" s="31"/>
      <c r="Y268" s="59"/>
    </row>
    <row r="269" spans="2:25" s="60" customFormat="1" ht="17.25" customHeight="1" x14ac:dyDescent="0.2">
      <c r="B269" s="52" t="s">
        <v>63</v>
      </c>
      <c r="C269" s="113">
        <v>49698</v>
      </c>
      <c r="D269" s="114">
        <v>51995</v>
      </c>
      <c r="E269" s="33"/>
      <c r="F269" s="34">
        <f t="shared" si="133"/>
        <v>2297</v>
      </c>
      <c r="G269" s="35"/>
      <c r="H269" s="34"/>
      <c r="I269" s="64"/>
      <c r="J269" s="61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>
        <f>ROUND(F269*2/5280,2)</f>
        <v>0.87</v>
      </c>
      <c r="X269" s="31"/>
      <c r="Y269" s="59"/>
    </row>
    <row r="270" spans="2:25" s="60" customFormat="1" ht="17.25" customHeight="1" x14ac:dyDescent="0.2">
      <c r="B270" s="52" t="s">
        <v>63</v>
      </c>
      <c r="C270" s="113">
        <v>54572</v>
      </c>
      <c r="D270" s="114">
        <v>58463</v>
      </c>
      <c r="E270" s="33"/>
      <c r="F270" s="34">
        <f t="shared" si="133"/>
        <v>3891</v>
      </c>
      <c r="G270" s="35"/>
      <c r="H270" s="34"/>
      <c r="I270" s="64"/>
      <c r="J270" s="61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>
        <f>ROUND(F270*2/5280,2)</f>
        <v>1.47</v>
      </c>
      <c r="X270" s="31"/>
      <c r="Y270" s="59"/>
    </row>
    <row r="271" spans="2:25" s="60" customFormat="1" ht="17.25" customHeight="1" x14ac:dyDescent="0.2">
      <c r="B271" s="52" t="s">
        <v>63</v>
      </c>
      <c r="C271" s="113">
        <v>58656</v>
      </c>
      <c r="D271" s="114">
        <v>61984</v>
      </c>
      <c r="E271" s="33"/>
      <c r="F271" s="34">
        <f t="shared" si="133"/>
        <v>3328</v>
      </c>
      <c r="G271" s="35"/>
      <c r="H271" s="34"/>
      <c r="I271" s="64"/>
      <c r="J271" s="61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>
        <f>ROUND(F271*2/5280,2)</f>
        <v>1.26</v>
      </c>
      <c r="X271" s="31"/>
      <c r="Y271" s="59"/>
    </row>
    <row r="272" spans="2:25" s="60" customFormat="1" ht="17.25" customHeight="1" x14ac:dyDescent="0.2">
      <c r="B272" s="52" t="s">
        <v>63</v>
      </c>
      <c r="C272" s="113">
        <v>62147</v>
      </c>
      <c r="D272" s="114">
        <v>72364</v>
      </c>
      <c r="E272" s="33"/>
      <c r="F272" s="34">
        <f t="shared" ref="F272" si="134">D272-C272</f>
        <v>10217</v>
      </c>
      <c r="G272" s="35"/>
      <c r="H272" s="34"/>
      <c r="I272" s="64"/>
      <c r="J272" s="61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>
        <f>ROUND(F272*2/5280,2)</f>
        <v>3.87</v>
      </c>
      <c r="X272" s="31"/>
      <c r="Y272" s="59"/>
    </row>
    <row r="273" spans="2:25" s="60" customFormat="1" ht="17.25" customHeight="1" x14ac:dyDescent="0.2">
      <c r="B273" s="52"/>
      <c r="C273" s="32"/>
      <c r="D273" s="33"/>
      <c r="E273" s="33"/>
      <c r="F273" s="34"/>
      <c r="G273" s="35"/>
      <c r="H273" s="34"/>
      <c r="I273" s="64"/>
      <c r="J273" s="61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1"/>
      <c r="Y273" s="59"/>
    </row>
    <row r="274" spans="2:25" s="60" customFormat="1" ht="17.45" customHeight="1" x14ac:dyDescent="0.2">
      <c r="B274" s="102"/>
      <c r="C274" s="135" t="s">
        <v>41</v>
      </c>
      <c r="D274" s="136"/>
      <c r="E274" s="136"/>
      <c r="F274" s="136"/>
      <c r="G274" s="136"/>
      <c r="H274" s="136"/>
      <c r="I274" s="137"/>
      <c r="J274" s="103"/>
      <c r="K274" s="104"/>
      <c r="L274" s="104"/>
      <c r="M274" s="104"/>
      <c r="N274" s="104"/>
      <c r="O274" s="104"/>
      <c r="P274" s="104"/>
      <c r="Q274" s="104"/>
      <c r="R274" s="104"/>
      <c r="S274" s="104"/>
      <c r="T274" s="104"/>
      <c r="U274" s="104"/>
      <c r="V274" s="104"/>
      <c r="W274" s="104"/>
      <c r="X274" s="105"/>
      <c r="Y274" s="59"/>
    </row>
    <row r="275" spans="2:25" s="60" customFormat="1" ht="17.25" customHeight="1" x14ac:dyDescent="0.2">
      <c r="B275" s="52" t="s">
        <v>38</v>
      </c>
      <c r="C275" s="32">
        <v>48603</v>
      </c>
      <c r="D275" s="33">
        <v>48818</v>
      </c>
      <c r="E275" s="33"/>
      <c r="F275" s="34">
        <f t="shared" ref="F275:F276" si="135">D275-C275</f>
        <v>215</v>
      </c>
      <c r="G275" s="35">
        <v>32</v>
      </c>
      <c r="H275" s="34">
        <f t="shared" ref="H275:H276" si="136">ROUND(F275*G275,2)</f>
        <v>6880</v>
      </c>
      <c r="I275" s="64"/>
      <c r="J275" s="61"/>
      <c r="K275" s="30"/>
      <c r="L275" s="30">
        <f>ROUND(H275/9,2)</f>
        <v>764.44</v>
      </c>
      <c r="M275" s="30">
        <f>ROUND(H275*$M$3/9,2)</f>
        <v>68.8</v>
      </c>
      <c r="N275" s="30"/>
      <c r="O275" s="30"/>
      <c r="P275" s="30">
        <f>ROUND(H275*2*$P$3/9,2)</f>
        <v>84.09</v>
      </c>
      <c r="Q275" s="30">
        <f>ROUND((R275+S275+T275)*16/G275,2)</f>
        <v>66.36</v>
      </c>
      <c r="R275" s="30">
        <f>ROUND(H275*$R$3/12/27,2)</f>
        <v>37.159999999999997</v>
      </c>
      <c r="S275" s="30">
        <f>ROUND(H275*$S$3/12/27,2)</f>
        <v>63.7</v>
      </c>
      <c r="T275" s="30">
        <f>ROUND(H275*$T$3/12/27,2)</f>
        <v>31.85</v>
      </c>
      <c r="U275" s="30"/>
      <c r="V275" s="101">
        <f>(ROUND(F275/25,0)+1)*15</f>
        <v>150</v>
      </c>
      <c r="W275" s="30"/>
      <c r="X275" s="31"/>
      <c r="Y275" s="59"/>
    </row>
    <row r="276" spans="2:25" s="60" customFormat="1" ht="17.25" customHeight="1" x14ac:dyDescent="0.2">
      <c r="B276" s="52" t="s">
        <v>36</v>
      </c>
      <c r="C276" s="32">
        <v>48603</v>
      </c>
      <c r="D276" s="33">
        <v>48818</v>
      </c>
      <c r="E276" s="33"/>
      <c r="F276" s="34">
        <f t="shared" si="135"/>
        <v>215</v>
      </c>
      <c r="G276" s="35">
        <v>30</v>
      </c>
      <c r="H276" s="34">
        <f t="shared" si="136"/>
        <v>6450</v>
      </c>
      <c r="I276" s="64"/>
      <c r="J276" s="61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1"/>
      <c r="Y276" s="59"/>
    </row>
    <row r="277" spans="2:25" s="60" customFormat="1" ht="17.25" customHeight="1" x14ac:dyDescent="0.2">
      <c r="B277" s="52"/>
      <c r="C277" s="32"/>
      <c r="D277" s="33"/>
      <c r="E277" s="33"/>
      <c r="F277" s="34"/>
      <c r="G277" s="35"/>
      <c r="H277" s="34"/>
      <c r="I277" s="64"/>
      <c r="J277" s="61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1"/>
      <c r="Y277" s="59"/>
    </row>
    <row r="278" spans="2:25" s="60" customFormat="1" ht="17.45" customHeight="1" x14ac:dyDescent="0.2">
      <c r="B278" s="102"/>
      <c r="C278" s="135" t="s">
        <v>51</v>
      </c>
      <c r="D278" s="136"/>
      <c r="E278" s="136"/>
      <c r="F278" s="136"/>
      <c r="G278" s="136"/>
      <c r="H278" s="136"/>
      <c r="I278" s="137"/>
      <c r="J278" s="103"/>
      <c r="K278" s="104"/>
      <c r="L278" s="104"/>
      <c r="M278" s="104"/>
      <c r="N278" s="104"/>
      <c r="O278" s="104"/>
      <c r="P278" s="104"/>
      <c r="Q278" s="104"/>
      <c r="R278" s="104"/>
      <c r="S278" s="104"/>
      <c r="T278" s="104"/>
      <c r="U278" s="104"/>
      <c r="V278" s="104"/>
      <c r="W278" s="104"/>
      <c r="X278" s="105"/>
      <c r="Y278" s="59"/>
    </row>
    <row r="279" spans="2:25" s="60" customFormat="1" ht="17.25" customHeight="1" x14ac:dyDescent="0.2">
      <c r="B279" s="52" t="s">
        <v>38</v>
      </c>
      <c r="C279" s="32">
        <v>64683</v>
      </c>
      <c r="D279" s="33">
        <v>65228</v>
      </c>
      <c r="E279" s="33"/>
      <c r="F279" s="107">
        <v>562</v>
      </c>
      <c r="G279" s="35">
        <v>28</v>
      </c>
      <c r="H279" s="34">
        <f t="shared" ref="H279:H280" si="137">ROUND(F279*G279,2)</f>
        <v>15736</v>
      </c>
      <c r="I279" s="64"/>
      <c r="J279" s="61"/>
      <c r="K279" s="30"/>
      <c r="L279" s="30">
        <f>ROUND(H279/9,2)</f>
        <v>1748.44</v>
      </c>
      <c r="M279" s="30">
        <f>ROUND(H279*$M$3/9,2)</f>
        <v>157.36000000000001</v>
      </c>
      <c r="N279" s="30"/>
      <c r="O279" s="30"/>
      <c r="P279" s="30">
        <f>ROUND(H279*2*$P$3/9,2)</f>
        <v>192.33</v>
      </c>
      <c r="Q279" s="30">
        <f>ROUND((R279+S279+T279)*16/G279,2)</f>
        <v>173.45</v>
      </c>
      <c r="R279" s="30">
        <f>ROUND(H279*$R$3/12/27,2)</f>
        <v>84.99</v>
      </c>
      <c r="S279" s="30">
        <f>ROUND(H279*$S$3/12/27,2)</f>
        <v>145.69999999999999</v>
      </c>
      <c r="T279" s="30">
        <f>ROUND(H279*$T$3/12/27,2)</f>
        <v>72.849999999999994</v>
      </c>
      <c r="U279" s="30"/>
      <c r="V279" s="101">
        <f>(ROUND(F279/25,0)+1)*15</f>
        <v>345</v>
      </c>
      <c r="W279" s="30"/>
      <c r="X279" s="31"/>
      <c r="Y279" s="59"/>
    </row>
    <row r="280" spans="2:25" s="60" customFormat="1" ht="17.25" customHeight="1" x14ac:dyDescent="0.2">
      <c r="B280" s="52" t="s">
        <v>36</v>
      </c>
      <c r="C280" s="32">
        <v>64683</v>
      </c>
      <c r="D280" s="33">
        <v>65228</v>
      </c>
      <c r="E280" s="33"/>
      <c r="F280" s="107">
        <v>562</v>
      </c>
      <c r="G280" s="35">
        <v>30</v>
      </c>
      <c r="H280" s="34">
        <f t="shared" si="137"/>
        <v>16860</v>
      </c>
      <c r="I280" s="64"/>
      <c r="J280" s="61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1"/>
      <c r="Y280" s="59"/>
    </row>
    <row r="281" spans="2:25" s="60" customFormat="1" ht="17.25" customHeight="1" x14ac:dyDescent="0.2">
      <c r="B281" s="52"/>
      <c r="C281" s="32"/>
      <c r="D281" s="33"/>
      <c r="E281" s="33"/>
      <c r="F281" s="34"/>
      <c r="G281" s="35"/>
      <c r="H281" s="34"/>
      <c r="I281" s="64"/>
      <c r="J281" s="61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1"/>
      <c r="Y281" s="59"/>
    </row>
    <row r="282" spans="2:25" s="60" customFormat="1" ht="17.45" customHeight="1" x14ac:dyDescent="0.2">
      <c r="B282" s="102"/>
      <c r="C282" s="135" t="s">
        <v>54</v>
      </c>
      <c r="D282" s="136"/>
      <c r="E282" s="136"/>
      <c r="F282" s="136"/>
      <c r="G282" s="136"/>
      <c r="H282" s="136"/>
      <c r="I282" s="137"/>
      <c r="J282" s="103"/>
      <c r="K282" s="104"/>
      <c r="L282" s="104"/>
      <c r="M282" s="104"/>
      <c r="N282" s="104"/>
      <c r="O282" s="104"/>
      <c r="P282" s="104"/>
      <c r="Q282" s="104"/>
      <c r="R282" s="104"/>
      <c r="S282" s="104"/>
      <c r="T282" s="104"/>
      <c r="U282" s="104"/>
      <c r="V282" s="104"/>
      <c r="W282" s="104"/>
      <c r="X282" s="105"/>
      <c r="Y282" s="59"/>
    </row>
    <row r="283" spans="2:25" s="60" customFormat="1" ht="17.25" customHeight="1" x14ac:dyDescent="0.2">
      <c r="B283" s="52" t="s">
        <v>38</v>
      </c>
      <c r="C283" s="32">
        <v>46240</v>
      </c>
      <c r="D283" s="33">
        <v>46444</v>
      </c>
      <c r="E283" s="33"/>
      <c r="F283" s="107">
        <v>220</v>
      </c>
      <c r="G283" s="35">
        <v>28</v>
      </c>
      <c r="H283" s="34">
        <f t="shared" ref="H283:H284" si="138">ROUND(F283*G283,2)</f>
        <v>6160</v>
      </c>
      <c r="I283" s="64"/>
      <c r="J283" s="61"/>
      <c r="K283" s="30"/>
      <c r="L283" s="30">
        <f>ROUND(H283/9,2)</f>
        <v>684.44</v>
      </c>
      <c r="M283" s="30">
        <f>ROUND(H283*$M$3/9,2)</f>
        <v>61.6</v>
      </c>
      <c r="N283" s="30"/>
      <c r="O283" s="30"/>
      <c r="P283" s="30">
        <f>ROUND(H283*2*$P$3/9,2)</f>
        <v>75.290000000000006</v>
      </c>
      <c r="Q283" s="30">
        <f>ROUND((R283+S283+T283)*16/G283,2)</f>
        <v>67.900000000000006</v>
      </c>
      <c r="R283" s="30">
        <f>ROUND(H283*$R$3/12/27,2)</f>
        <v>33.270000000000003</v>
      </c>
      <c r="S283" s="30">
        <f>ROUND(H283*$S$3/12/27,2)</f>
        <v>57.04</v>
      </c>
      <c r="T283" s="30">
        <f>ROUND(H283*$T$3/12/27,2)</f>
        <v>28.52</v>
      </c>
      <c r="U283" s="30"/>
      <c r="V283" s="101">
        <f>(ROUND(F283/25,0)+1)*15</f>
        <v>150</v>
      </c>
      <c r="W283" s="30"/>
      <c r="X283" s="31"/>
      <c r="Y283" s="59"/>
    </row>
    <row r="284" spans="2:25" s="60" customFormat="1" ht="17.25" customHeight="1" x14ac:dyDescent="0.2">
      <c r="B284" s="52" t="s">
        <v>36</v>
      </c>
      <c r="C284" s="32">
        <v>46240</v>
      </c>
      <c r="D284" s="33">
        <v>46444</v>
      </c>
      <c r="E284" s="33"/>
      <c r="F284" s="107">
        <v>220</v>
      </c>
      <c r="G284" s="35">
        <v>30</v>
      </c>
      <c r="H284" s="34">
        <f t="shared" si="138"/>
        <v>6600</v>
      </c>
      <c r="I284" s="64"/>
      <c r="J284" s="61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1"/>
      <c r="Y284" s="59"/>
    </row>
    <row r="285" spans="2:25" s="60" customFormat="1" ht="17.25" customHeight="1" x14ac:dyDescent="0.2">
      <c r="B285" s="52"/>
      <c r="C285" s="32"/>
      <c r="D285" s="33"/>
      <c r="E285" s="33"/>
      <c r="F285" s="34"/>
      <c r="G285" s="35"/>
      <c r="H285" s="34"/>
      <c r="I285" s="64"/>
      <c r="J285" s="61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1"/>
      <c r="Y285" s="59"/>
    </row>
    <row r="286" spans="2:25" s="60" customFormat="1" ht="17.45" customHeight="1" x14ac:dyDescent="0.2">
      <c r="B286" s="102"/>
      <c r="C286" s="135" t="s">
        <v>55</v>
      </c>
      <c r="D286" s="136"/>
      <c r="E286" s="136"/>
      <c r="F286" s="136"/>
      <c r="G286" s="136"/>
      <c r="H286" s="136"/>
      <c r="I286" s="137"/>
      <c r="J286" s="103"/>
      <c r="K286" s="104"/>
      <c r="L286" s="104"/>
      <c r="M286" s="104"/>
      <c r="N286" s="104"/>
      <c r="O286" s="104"/>
      <c r="P286" s="104"/>
      <c r="Q286" s="104"/>
      <c r="R286" s="104"/>
      <c r="S286" s="104"/>
      <c r="T286" s="104"/>
      <c r="U286" s="104"/>
      <c r="V286" s="104"/>
      <c r="W286" s="104"/>
      <c r="X286" s="105"/>
      <c r="Y286" s="59"/>
    </row>
    <row r="287" spans="2:25" s="60" customFormat="1" ht="17.25" customHeight="1" x14ac:dyDescent="0.2">
      <c r="B287" s="52" t="s">
        <v>38</v>
      </c>
      <c r="C287" s="32">
        <v>47279</v>
      </c>
      <c r="D287" s="33">
        <v>47497</v>
      </c>
      <c r="E287" s="33"/>
      <c r="F287" s="107">
        <v>220</v>
      </c>
      <c r="G287" s="35">
        <f>4+24+10</f>
        <v>38</v>
      </c>
      <c r="H287" s="34">
        <f t="shared" ref="H287:H288" si="139">ROUND(F287*G287,2)</f>
        <v>8360</v>
      </c>
      <c r="I287" s="64"/>
      <c r="J287" s="61"/>
      <c r="K287" s="30"/>
      <c r="L287" s="30">
        <f>ROUND(H287/9,2)</f>
        <v>928.89</v>
      </c>
      <c r="M287" s="30">
        <f>ROUND(H287*$M$3/9,2)</f>
        <v>83.6</v>
      </c>
      <c r="N287" s="30"/>
      <c r="O287" s="30"/>
      <c r="P287" s="30">
        <f>ROUND(H287*2*$P$3/9,2)</f>
        <v>102.18</v>
      </c>
      <c r="Q287" s="30">
        <f>ROUND((R287+S287+T287)*24/G287,2)</f>
        <v>101.85</v>
      </c>
      <c r="R287" s="30">
        <f>ROUND(H287*$R$3/12/27,2)</f>
        <v>45.15</v>
      </c>
      <c r="S287" s="30">
        <f>ROUND(H287*$S$3/12/27,2)</f>
        <v>77.41</v>
      </c>
      <c r="T287" s="30">
        <f>ROUND(H287*$T$3/12/27,2)</f>
        <v>38.700000000000003</v>
      </c>
      <c r="U287" s="30"/>
      <c r="V287" s="101">
        <f>(ROUND(F287/25,0)+1)*15</f>
        <v>150</v>
      </c>
      <c r="W287" s="30"/>
      <c r="X287" s="31"/>
      <c r="Y287" s="59"/>
    </row>
    <row r="288" spans="2:25" s="60" customFormat="1" ht="17.25" customHeight="1" x14ac:dyDescent="0.2">
      <c r="B288" s="52" t="s">
        <v>36</v>
      </c>
      <c r="C288" s="32">
        <v>47279</v>
      </c>
      <c r="D288" s="33">
        <v>47497</v>
      </c>
      <c r="E288" s="33"/>
      <c r="F288" s="107">
        <v>220</v>
      </c>
      <c r="G288" s="35">
        <v>30</v>
      </c>
      <c r="H288" s="34">
        <f t="shared" si="139"/>
        <v>6600</v>
      </c>
      <c r="I288" s="64"/>
      <c r="J288" s="61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1"/>
      <c r="Y288" s="59"/>
    </row>
    <row r="289" spans="2:25" s="60" customFormat="1" ht="17.25" customHeight="1" x14ac:dyDescent="0.2">
      <c r="B289" s="52"/>
      <c r="C289" s="32"/>
      <c r="D289" s="33"/>
      <c r="E289" s="33"/>
      <c r="F289" s="34"/>
      <c r="G289" s="35"/>
      <c r="H289" s="34"/>
      <c r="I289" s="64"/>
      <c r="J289" s="61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1"/>
      <c r="Y289" s="59"/>
    </row>
    <row r="290" spans="2:25" s="60" customFormat="1" ht="17.45" customHeight="1" x14ac:dyDescent="0.2">
      <c r="B290" s="102"/>
      <c r="C290" s="135" t="s">
        <v>56</v>
      </c>
      <c r="D290" s="136"/>
      <c r="E290" s="136"/>
      <c r="F290" s="136"/>
      <c r="G290" s="136"/>
      <c r="H290" s="136"/>
      <c r="I290" s="137"/>
      <c r="J290" s="103"/>
      <c r="K290" s="104"/>
      <c r="L290" s="104"/>
      <c r="M290" s="104"/>
      <c r="N290" s="104"/>
      <c r="O290" s="104"/>
      <c r="P290" s="104"/>
      <c r="Q290" s="104"/>
      <c r="R290" s="104"/>
      <c r="S290" s="104"/>
      <c r="T290" s="104"/>
      <c r="U290" s="104"/>
      <c r="V290" s="104"/>
      <c r="W290" s="104"/>
      <c r="X290" s="105"/>
      <c r="Y290" s="59"/>
    </row>
    <row r="291" spans="2:25" s="60" customFormat="1" ht="17.25" customHeight="1" x14ac:dyDescent="0.2">
      <c r="B291" s="52" t="s">
        <v>38</v>
      </c>
      <c r="C291" s="32">
        <v>64510</v>
      </c>
      <c r="D291" s="33">
        <v>64562</v>
      </c>
      <c r="E291" s="33"/>
      <c r="F291" s="34">
        <f t="shared" ref="F291:F292" si="140">D291-C291</f>
        <v>52</v>
      </c>
      <c r="G291" s="35">
        <v>26</v>
      </c>
      <c r="H291" s="34">
        <f t="shared" ref="H291:H292" si="141">ROUND(F291*G291,2)</f>
        <v>1352</v>
      </c>
      <c r="I291" s="64"/>
      <c r="J291" s="61"/>
      <c r="K291" s="30"/>
      <c r="L291" s="30">
        <f>ROUND(H291/9,2)</f>
        <v>150.22</v>
      </c>
      <c r="M291" s="30">
        <f>ROUND(H291*$M$3/9,2)</f>
        <v>13.52</v>
      </c>
      <c r="N291" s="30"/>
      <c r="O291" s="30"/>
      <c r="P291" s="30">
        <f>ROUND(H291*2*$P$3/9,2)</f>
        <v>16.52</v>
      </c>
      <c r="Q291" s="30">
        <f>ROUND((R291+S291+T291)*16/G291,2)</f>
        <v>16.05</v>
      </c>
      <c r="R291" s="30">
        <f>ROUND(H291*$R$3/12/27,2)</f>
        <v>7.3</v>
      </c>
      <c r="S291" s="30">
        <f>ROUND(H291*$S$3/12/27,2)</f>
        <v>12.52</v>
      </c>
      <c r="T291" s="30">
        <f>ROUND(H291*$T$3/12/27,2)</f>
        <v>6.26</v>
      </c>
      <c r="U291" s="30"/>
      <c r="V291" s="101">
        <f>(ROUND(F291/25,0)+1)*15</f>
        <v>45</v>
      </c>
      <c r="W291" s="30"/>
      <c r="X291" s="31"/>
      <c r="Y291" s="59"/>
    </row>
    <row r="292" spans="2:25" s="60" customFormat="1" ht="17.25" customHeight="1" x14ac:dyDescent="0.2">
      <c r="B292" s="52" t="s">
        <v>36</v>
      </c>
      <c r="C292" s="32">
        <v>64510</v>
      </c>
      <c r="D292" s="33">
        <v>64562</v>
      </c>
      <c r="E292" s="33"/>
      <c r="F292" s="34">
        <f t="shared" si="140"/>
        <v>52</v>
      </c>
      <c r="G292" s="35">
        <v>30</v>
      </c>
      <c r="H292" s="34">
        <f t="shared" si="141"/>
        <v>1560</v>
      </c>
      <c r="I292" s="64"/>
      <c r="J292" s="61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1"/>
      <c r="Y292" s="59"/>
    </row>
    <row r="293" spans="2:25" s="60" customFormat="1" ht="17.25" customHeight="1" x14ac:dyDescent="0.2">
      <c r="B293" s="52"/>
      <c r="C293" s="32"/>
      <c r="D293" s="33"/>
      <c r="E293" s="33"/>
      <c r="F293" s="34"/>
      <c r="G293" s="35"/>
      <c r="H293" s="34"/>
      <c r="I293" s="64"/>
      <c r="J293" s="61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1"/>
      <c r="Y293" s="59"/>
    </row>
    <row r="294" spans="2:25" s="60" customFormat="1" ht="17.25" customHeight="1" x14ac:dyDescent="0.2">
      <c r="B294" s="52" t="s">
        <v>52</v>
      </c>
      <c r="C294" s="32">
        <v>64562</v>
      </c>
      <c r="D294" s="33">
        <v>64772</v>
      </c>
      <c r="E294" s="33"/>
      <c r="F294" s="107">
        <v>220</v>
      </c>
      <c r="G294" s="35">
        <v>26</v>
      </c>
      <c r="H294" s="34">
        <f t="shared" ref="H294:H295" si="142">ROUND(F294*G294,2)</f>
        <v>5720</v>
      </c>
      <c r="I294" s="64"/>
      <c r="J294" s="61"/>
      <c r="K294" s="30"/>
      <c r="L294" s="30"/>
      <c r="M294" s="30"/>
      <c r="N294" s="30"/>
      <c r="O294" s="30">
        <f>ROUND(H294*$O$3/9,2)</f>
        <v>54.02</v>
      </c>
      <c r="P294" s="30">
        <f>ROUND(H294*2*$P$3/9,2)</f>
        <v>69.91</v>
      </c>
      <c r="Q294" s="30">
        <f>ROUND((R294+S294+T294)*16/G294,2)</f>
        <v>67.900000000000006</v>
      </c>
      <c r="R294" s="30">
        <f>ROUND(H294*$R$3/12/27,2)</f>
        <v>30.9</v>
      </c>
      <c r="S294" s="30">
        <f>ROUND(H294*$S$3/12/27,2)</f>
        <v>52.96</v>
      </c>
      <c r="T294" s="30">
        <f>ROUND(H294*$T$3/12/27,2)</f>
        <v>26.48</v>
      </c>
      <c r="U294" s="30"/>
      <c r="V294" s="101">
        <f>(ROUND(F294/25,0)+1)*15</f>
        <v>150</v>
      </c>
      <c r="W294" s="30"/>
      <c r="X294" s="31"/>
      <c r="Y294" s="59"/>
    </row>
    <row r="295" spans="2:25" s="60" customFormat="1" ht="17.25" customHeight="1" x14ac:dyDescent="0.2">
      <c r="B295" s="52" t="s">
        <v>36</v>
      </c>
      <c r="C295" s="32">
        <v>64562</v>
      </c>
      <c r="D295" s="33">
        <v>64772</v>
      </c>
      <c r="E295" s="33"/>
      <c r="F295" s="107">
        <v>220</v>
      </c>
      <c r="G295" s="35">
        <v>30</v>
      </c>
      <c r="H295" s="34">
        <f t="shared" si="142"/>
        <v>6600</v>
      </c>
      <c r="I295" s="64"/>
      <c r="J295" s="61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1"/>
      <c r="Y295" s="59"/>
    </row>
    <row r="296" spans="2:25" s="60" customFormat="1" ht="17.25" customHeight="1" x14ac:dyDescent="0.2">
      <c r="B296" s="52"/>
      <c r="C296" s="32"/>
      <c r="D296" s="33"/>
      <c r="E296" s="33"/>
      <c r="F296" s="34"/>
      <c r="G296" s="35"/>
      <c r="H296" s="34"/>
      <c r="I296" s="64"/>
      <c r="J296" s="61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1"/>
      <c r="Y296" s="59"/>
    </row>
    <row r="297" spans="2:25" s="60" customFormat="1" ht="17.45" customHeight="1" x14ac:dyDescent="0.2">
      <c r="B297" s="102"/>
      <c r="C297" s="135" t="s">
        <v>57</v>
      </c>
      <c r="D297" s="136"/>
      <c r="E297" s="136"/>
      <c r="F297" s="136"/>
      <c r="G297" s="136"/>
      <c r="H297" s="136"/>
      <c r="I297" s="137"/>
      <c r="J297" s="103"/>
      <c r="K297" s="104"/>
      <c r="L297" s="104"/>
      <c r="M297" s="104"/>
      <c r="N297" s="104"/>
      <c r="O297" s="104"/>
      <c r="P297" s="104"/>
      <c r="Q297" s="104"/>
      <c r="R297" s="104"/>
      <c r="S297" s="104"/>
      <c r="T297" s="104"/>
      <c r="U297" s="104"/>
      <c r="V297" s="104"/>
      <c r="W297" s="104"/>
      <c r="X297" s="105"/>
      <c r="Y297" s="59"/>
    </row>
    <row r="298" spans="2:25" s="60" customFormat="1" ht="17.25" customHeight="1" x14ac:dyDescent="0.2">
      <c r="B298" s="52" t="s">
        <v>38</v>
      </c>
      <c r="C298" s="32">
        <v>65437</v>
      </c>
      <c r="D298" s="33">
        <v>65472</v>
      </c>
      <c r="E298" s="33"/>
      <c r="F298" s="34">
        <f t="shared" ref="F298:F299" si="143">D298-C298</f>
        <v>35</v>
      </c>
      <c r="G298" s="35">
        <v>28</v>
      </c>
      <c r="H298" s="34">
        <f t="shared" ref="H298:H299" si="144">ROUND(F298*G298,2)</f>
        <v>980</v>
      </c>
      <c r="I298" s="64"/>
      <c r="J298" s="61"/>
      <c r="K298" s="30"/>
      <c r="L298" s="30">
        <f>ROUND(H298/9,2)</f>
        <v>108.89</v>
      </c>
      <c r="M298" s="30">
        <f>ROUND(H298*$M$3/9,2)</f>
        <v>9.8000000000000007</v>
      </c>
      <c r="N298" s="30"/>
      <c r="O298" s="30"/>
      <c r="P298" s="30">
        <f>ROUND(H298*2*$P$3/9,2)</f>
        <v>11.98</v>
      </c>
      <c r="Q298" s="30">
        <f>ROUND((R298+S298+T298)*16/G298,2)</f>
        <v>10.8</v>
      </c>
      <c r="R298" s="30">
        <f>ROUND(H298*$R$3/12/27,2)</f>
        <v>5.29</v>
      </c>
      <c r="S298" s="30">
        <f>ROUND(H298*$S$3/12/27,2)</f>
        <v>9.07</v>
      </c>
      <c r="T298" s="30">
        <f>ROUND(H298*$T$3/12/27,2)</f>
        <v>4.54</v>
      </c>
      <c r="U298" s="30"/>
      <c r="V298" s="101">
        <f>(ROUND(F298/25,0)+1)*15</f>
        <v>30</v>
      </c>
      <c r="W298" s="30"/>
      <c r="X298" s="31"/>
      <c r="Y298" s="59"/>
    </row>
    <row r="299" spans="2:25" s="60" customFormat="1" ht="17.25" customHeight="1" x14ac:dyDescent="0.2">
      <c r="B299" s="52" t="s">
        <v>36</v>
      </c>
      <c r="C299" s="32">
        <v>65437</v>
      </c>
      <c r="D299" s="33">
        <v>65472</v>
      </c>
      <c r="E299" s="33"/>
      <c r="F299" s="34">
        <f t="shared" si="143"/>
        <v>35</v>
      </c>
      <c r="G299" s="35">
        <v>30</v>
      </c>
      <c r="H299" s="34">
        <f t="shared" si="144"/>
        <v>1050</v>
      </c>
      <c r="I299" s="64"/>
      <c r="J299" s="61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1"/>
      <c r="Y299" s="59"/>
    </row>
    <row r="300" spans="2:25" s="60" customFormat="1" ht="17.25" customHeight="1" x14ac:dyDescent="0.2">
      <c r="B300" s="52"/>
      <c r="C300" s="32"/>
      <c r="D300" s="33"/>
      <c r="E300" s="33"/>
      <c r="F300" s="34"/>
      <c r="G300" s="35"/>
      <c r="H300" s="34"/>
      <c r="I300" s="64"/>
      <c r="J300" s="61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1"/>
      <c r="Y300" s="59"/>
    </row>
    <row r="301" spans="2:25" s="60" customFormat="1" ht="17.45" customHeight="1" x14ac:dyDescent="0.2">
      <c r="B301" s="102"/>
      <c r="C301" s="135" t="s">
        <v>59</v>
      </c>
      <c r="D301" s="136"/>
      <c r="E301" s="136"/>
      <c r="F301" s="136"/>
      <c r="G301" s="136"/>
      <c r="H301" s="136"/>
      <c r="I301" s="137"/>
      <c r="J301" s="103"/>
      <c r="K301" s="104"/>
      <c r="L301" s="104"/>
      <c r="M301" s="104"/>
      <c r="N301" s="104"/>
      <c r="O301" s="104"/>
      <c r="P301" s="104"/>
      <c r="Q301" s="104"/>
      <c r="R301" s="104"/>
      <c r="S301" s="104"/>
      <c r="T301" s="104"/>
      <c r="U301" s="104"/>
      <c r="V301" s="104"/>
      <c r="W301" s="104"/>
      <c r="X301" s="105"/>
      <c r="Y301" s="59"/>
    </row>
    <row r="302" spans="2:25" s="60" customFormat="1" ht="17.25" customHeight="1" x14ac:dyDescent="0.2">
      <c r="B302" s="52" t="s">
        <v>38</v>
      </c>
      <c r="C302" s="32">
        <v>69388</v>
      </c>
      <c r="D302" s="33">
        <v>69614</v>
      </c>
      <c r="E302" s="33"/>
      <c r="F302" s="34">
        <f t="shared" ref="F302:F303" si="145">D302-C302</f>
        <v>226</v>
      </c>
      <c r="G302" s="35">
        <v>26</v>
      </c>
      <c r="H302" s="34">
        <f t="shared" ref="H302:H303" si="146">ROUND(F302*G302,2)</f>
        <v>5876</v>
      </c>
      <c r="I302" s="64"/>
      <c r="J302" s="61"/>
      <c r="K302" s="30"/>
      <c r="L302" s="30">
        <f>ROUND(H302/9,2)</f>
        <v>652.89</v>
      </c>
      <c r="M302" s="30">
        <f>ROUND(H302*$M$3/9,2)</f>
        <v>58.76</v>
      </c>
      <c r="N302" s="30"/>
      <c r="O302" s="30"/>
      <c r="P302" s="30">
        <f>ROUND(H302*2*$P$3/9,2)</f>
        <v>71.819999999999993</v>
      </c>
      <c r="Q302" s="30">
        <f>ROUND((R302+S302+T302)*16/G302,2)</f>
        <v>69.75</v>
      </c>
      <c r="R302" s="30">
        <f>ROUND(H302*$R$3/12/27,2)</f>
        <v>31.74</v>
      </c>
      <c r="S302" s="30">
        <f>ROUND(H302*$S$3/12/27,2)</f>
        <v>54.41</v>
      </c>
      <c r="T302" s="30">
        <f>ROUND(H302*$T$3/12/27,2)</f>
        <v>27.2</v>
      </c>
      <c r="U302" s="30"/>
      <c r="V302" s="101">
        <f>(ROUND(F302/25,0)+1)*15</f>
        <v>150</v>
      </c>
      <c r="W302" s="30"/>
      <c r="X302" s="31"/>
      <c r="Y302" s="59"/>
    </row>
    <row r="303" spans="2:25" s="60" customFormat="1" ht="17.25" customHeight="1" x14ac:dyDescent="0.2">
      <c r="B303" s="52" t="s">
        <v>36</v>
      </c>
      <c r="C303" s="32">
        <v>69388</v>
      </c>
      <c r="D303" s="33">
        <v>69614</v>
      </c>
      <c r="E303" s="33"/>
      <c r="F303" s="34">
        <f t="shared" si="145"/>
        <v>226</v>
      </c>
      <c r="G303" s="35">
        <v>15</v>
      </c>
      <c r="H303" s="34">
        <f t="shared" si="146"/>
        <v>3390</v>
      </c>
      <c r="I303" s="64"/>
      <c r="J303" s="61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1"/>
      <c r="Y303" s="59"/>
    </row>
    <row r="304" spans="2:25" s="60" customFormat="1" ht="17.25" customHeight="1" x14ac:dyDescent="0.2">
      <c r="B304" s="52"/>
      <c r="C304" s="32"/>
      <c r="D304" s="33"/>
      <c r="E304" s="33"/>
      <c r="F304" s="34"/>
      <c r="G304" s="35"/>
      <c r="H304" s="34"/>
      <c r="I304" s="64"/>
      <c r="J304" s="61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1"/>
      <c r="Y304" s="59"/>
    </row>
    <row r="305" spans="2:25" s="60" customFormat="1" ht="17.25" customHeight="1" x14ac:dyDescent="0.2">
      <c r="B305" s="52" t="s">
        <v>52</v>
      </c>
      <c r="C305" s="32">
        <v>69614</v>
      </c>
      <c r="D305" s="33">
        <v>69828</v>
      </c>
      <c r="E305" s="33"/>
      <c r="F305" s="107">
        <v>220</v>
      </c>
      <c r="G305" s="35">
        <v>25</v>
      </c>
      <c r="H305" s="34">
        <f t="shared" ref="H305:H306" si="147">ROUND(F305*G305,2)</f>
        <v>5500</v>
      </c>
      <c r="I305" s="64"/>
      <c r="J305" s="61"/>
      <c r="K305" s="30"/>
      <c r="L305" s="30"/>
      <c r="M305" s="30"/>
      <c r="N305" s="30"/>
      <c r="O305" s="30">
        <f>ROUND(H305*$O$3/9,2)</f>
        <v>51.94</v>
      </c>
      <c r="P305" s="30">
        <f>ROUND(H305*2*$P$3/9,2)</f>
        <v>67.22</v>
      </c>
      <c r="Q305" s="30">
        <f>ROUND((R305+S305+T305)*16/G305,2)</f>
        <v>67.900000000000006</v>
      </c>
      <c r="R305" s="30">
        <f>ROUND(H305*$R$3/12/27,2)</f>
        <v>29.71</v>
      </c>
      <c r="S305" s="30">
        <f>ROUND(H305*$S$3/12/27,2)</f>
        <v>50.93</v>
      </c>
      <c r="T305" s="30">
        <f>ROUND(H305*$T$3/12/27,2)</f>
        <v>25.46</v>
      </c>
      <c r="U305" s="30"/>
      <c r="V305" s="101">
        <f>(ROUND(F305/25,0)+1)*15</f>
        <v>150</v>
      </c>
      <c r="W305" s="30"/>
      <c r="X305" s="31"/>
      <c r="Y305" s="59"/>
    </row>
    <row r="306" spans="2:25" s="60" customFormat="1" ht="17.25" customHeight="1" x14ac:dyDescent="0.2">
      <c r="B306" s="52" t="s">
        <v>36</v>
      </c>
      <c r="C306" s="32">
        <v>69614</v>
      </c>
      <c r="D306" s="33">
        <v>69828</v>
      </c>
      <c r="E306" s="33"/>
      <c r="F306" s="107">
        <v>220</v>
      </c>
      <c r="G306" s="35">
        <v>30</v>
      </c>
      <c r="H306" s="34">
        <f t="shared" si="147"/>
        <v>6600</v>
      </c>
      <c r="I306" s="64"/>
      <c r="J306" s="61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1"/>
      <c r="Y306" s="59"/>
    </row>
    <row r="307" spans="2:25" s="60" customFormat="1" ht="17.25" customHeight="1" x14ac:dyDescent="0.2">
      <c r="B307" s="52"/>
      <c r="C307" s="32"/>
      <c r="D307" s="33"/>
      <c r="E307" s="33"/>
      <c r="F307" s="34"/>
      <c r="G307" s="35"/>
      <c r="H307" s="34"/>
      <c r="I307" s="64"/>
      <c r="J307" s="61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1"/>
      <c r="Y307" s="59"/>
    </row>
    <row r="308" spans="2:25" s="60" customFormat="1" ht="17.45" customHeight="1" x14ac:dyDescent="0.2">
      <c r="B308" s="102"/>
      <c r="C308" s="135" t="s">
        <v>60</v>
      </c>
      <c r="D308" s="136"/>
      <c r="E308" s="136"/>
      <c r="F308" s="136"/>
      <c r="G308" s="136"/>
      <c r="H308" s="136"/>
      <c r="I308" s="137"/>
      <c r="J308" s="103"/>
      <c r="K308" s="104"/>
      <c r="L308" s="104"/>
      <c r="M308" s="104"/>
      <c r="N308" s="104"/>
      <c r="O308" s="104"/>
      <c r="P308" s="104"/>
      <c r="Q308" s="104"/>
      <c r="R308" s="104"/>
      <c r="S308" s="104"/>
      <c r="T308" s="104"/>
      <c r="U308" s="104"/>
      <c r="V308" s="104"/>
      <c r="W308" s="104"/>
      <c r="X308" s="105"/>
      <c r="Y308" s="59"/>
    </row>
    <row r="309" spans="2:25" s="60" customFormat="1" ht="17.25" customHeight="1" x14ac:dyDescent="0.2">
      <c r="B309" s="52" t="s">
        <v>38</v>
      </c>
      <c r="C309" s="32">
        <v>70125</v>
      </c>
      <c r="D309" s="33">
        <v>70637</v>
      </c>
      <c r="E309" s="33"/>
      <c r="F309" s="107">
        <v>521</v>
      </c>
      <c r="G309" s="35">
        <v>37</v>
      </c>
      <c r="H309" s="34">
        <f t="shared" ref="H309:H310" si="148">ROUND(F309*G309,2)</f>
        <v>19277</v>
      </c>
      <c r="I309" s="64"/>
      <c r="J309" s="61"/>
      <c r="K309" s="30"/>
      <c r="L309" s="30">
        <f>ROUND(H309/9,2)</f>
        <v>2141.89</v>
      </c>
      <c r="M309" s="30">
        <f>ROUND(H309*$M$3/9,2)</f>
        <v>192.77</v>
      </c>
      <c r="N309" s="30"/>
      <c r="O309" s="30"/>
      <c r="P309" s="30">
        <f>ROUND(H309*2*$P$3/9,2)</f>
        <v>235.61</v>
      </c>
      <c r="Q309" s="30">
        <f>ROUND((R309+S309+T309)*16/G309,2)</f>
        <v>160.80000000000001</v>
      </c>
      <c r="R309" s="30">
        <f>ROUND(H309*$R$3/12/27,2)</f>
        <v>104.12</v>
      </c>
      <c r="S309" s="30">
        <f>ROUND(H309*$S$3/12/27,2)</f>
        <v>178.49</v>
      </c>
      <c r="T309" s="30">
        <f>ROUND(H309*$T$3/12/27,2)</f>
        <v>89.25</v>
      </c>
      <c r="U309" s="30"/>
      <c r="V309" s="101">
        <f>(ROUND(F309/25,0)+1)*15</f>
        <v>330</v>
      </c>
      <c r="W309" s="30"/>
      <c r="X309" s="31"/>
      <c r="Y309" s="59"/>
    </row>
    <row r="310" spans="2:25" s="60" customFormat="1" ht="17.25" customHeight="1" x14ac:dyDescent="0.2">
      <c r="B310" s="52" t="s">
        <v>36</v>
      </c>
      <c r="C310" s="32">
        <v>70125</v>
      </c>
      <c r="D310" s="33">
        <v>70637</v>
      </c>
      <c r="E310" s="33"/>
      <c r="F310" s="107">
        <v>521</v>
      </c>
      <c r="G310" s="35">
        <v>30</v>
      </c>
      <c r="H310" s="34">
        <f t="shared" si="148"/>
        <v>15630</v>
      </c>
      <c r="I310" s="64"/>
      <c r="J310" s="61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1"/>
      <c r="Y310" s="59"/>
    </row>
    <row r="311" spans="2:25" s="60" customFormat="1" ht="17.25" customHeight="1" x14ac:dyDescent="0.2">
      <c r="B311" s="52"/>
      <c r="C311" s="32"/>
      <c r="D311" s="33"/>
      <c r="E311" s="33"/>
      <c r="F311" s="34"/>
      <c r="G311" s="35"/>
      <c r="H311" s="34"/>
      <c r="I311" s="64"/>
      <c r="J311" s="61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1"/>
      <c r="Y311" s="59"/>
    </row>
    <row r="312" spans="2:25" s="60" customFormat="1" ht="17.45" customHeight="1" x14ac:dyDescent="0.2">
      <c r="B312" s="102"/>
      <c r="C312" s="135" t="s">
        <v>61</v>
      </c>
      <c r="D312" s="136"/>
      <c r="E312" s="136"/>
      <c r="F312" s="136"/>
      <c r="G312" s="136"/>
      <c r="H312" s="136"/>
      <c r="I312" s="137"/>
      <c r="J312" s="103"/>
      <c r="K312" s="104"/>
      <c r="L312" s="104"/>
      <c r="M312" s="104"/>
      <c r="N312" s="104"/>
      <c r="O312" s="104"/>
      <c r="P312" s="104"/>
      <c r="Q312" s="104"/>
      <c r="R312" s="104"/>
      <c r="S312" s="104"/>
      <c r="T312" s="104"/>
      <c r="U312" s="104"/>
      <c r="V312" s="104"/>
      <c r="W312" s="104"/>
      <c r="X312" s="105"/>
      <c r="Y312" s="59"/>
    </row>
    <row r="313" spans="2:25" s="60" customFormat="1" ht="17.25" customHeight="1" x14ac:dyDescent="0.2">
      <c r="B313" s="52" t="s">
        <v>67</v>
      </c>
      <c r="C313" s="32">
        <f>D313-17</f>
        <v>71145</v>
      </c>
      <c r="D313" s="33">
        <v>71162</v>
      </c>
      <c r="E313" s="33"/>
      <c r="F313" s="34">
        <f>D313-C313</f>
        <v>17</v>
      </c>
      <c r="G313" s="35">
        <v>30</v>
      </c>
      <c r="H313" s="34"/>
      <c r="I313" s="64">
        <v>1159.8800000000001</v>
      </c>
      <c r="J313" s="61"/>
      <c r="K313" s="30">
        <f>ROUND(I313/9,2)</f>
        <v>128.88</v>
      </c>
      <c r="L313" s="30"/>
      <c r="M313" s="30">
        <f>ROUND(I313*$M$3/9,2)</f>
        <v>11.6</v>
      </c>
      <c r="N313" s="30">
        <f>ROUND((I314-I313)*$N$3/9,2)</f>
        <v>1.52</v>
      </c>
      <c r="O313" s="30"/>
      <c r="P313" s="30"/>
      <c r="Q313" s="30"/>
      <c r="R313" s="30"/>
      <c r="S313" s="30"/>
      <c r="T313" s="30"/>
      <c r="U313" s="30"/>
      <c r="V313" s="101"/>
      <c r="W313" s="30"/>
      <c r="X313" s="31"/>
      <c r="Y313" s="59"/>
    </row>
    <row r="314" spans="2:25" s="60" customFormat="1" ht="17.25" customHeight="1" x14ac:dyDescent="0.2">
      <c r="B314" s="52" t="s">
        <v>42</v>
      </c>
      <c r="C314" s="32">
        <f t="shared" ref="C314:C315" si="149">D314-21</f>
        <v>71141</v>
      </c>
      <c r="D314" s="33">
        <v>71162</v>
      </c>
      <c r="E314" s="33"/>
      <c r="F314" s="34">
        <f>D314-C314</f>
        <v>21</v>
      </c>
      <c r="G314" s="35">
        <v>30</v>
      </c>
      <c r="H314" s="34"/>
      <c r="I314" s="64">
        <v>1407.83</v>
      </c>
      <c r="J314" s="61"/>
      <c r="K314" s="30"/>
      <c r="L314" s="30"/>
      <c r="M314" s="30"/>
      <c r="N314" s="30">
        <f>ROUND(I314*$N$3/9,2)</f>
        <v>8.6</v>
      </c>
      <c r="O314" s="30"/>
      <c r="P314" s="30"/>
      <c r="Q314" s="30">
        <f>ROUND((R314+S314+T314)*16/G314,2)</f>
        <v>7.53</v>
      </c>
      <c r="R314" s="30">
        <f>ROUND(I314*$R$3/12/27,2)</f>
        <v>7.6</v>
      </c>
      <c r="S314" s="30"/>
      <c r="T314" s="30">
        <f>ROUND(I314*$T$3/12/27,2)</f>
        <v>6.52</v>
      </c>
      <c r="U314" s="30"/>
      <c r="V314" s="101"/>
      <c r="W314" s="30"/>
      <c r="X314" s="31"/>
      <c r="Y314" s="59"/>
    </row>
    <row r="315" spans="2:25" s="60" customFormat="1" ht="17.25" customHeight="1" x14ac:dyDescent="0.2">
      <c r="B315" s="52" t="s">
        <v>34</v>
      </c>
      <c r="C315" s="32">
        <f t="shared" si="149"/>
        <v>71141</v>
      </c>
      <c r="D315" s="33">
        <v>71162</v>
      </c>
      <c r="E315" s="33"/>
      <c r="F315" s="34">
        <f t="shared" ref="F315" si="150">D315-C315</f>
        <v>21</v>
      </c>
      <c r="G315" s="35">
        <v>56</v>
      </c>
      <c r="H315" s="34"/>
      <c r="I315" s="64"/>
      <c r="J315" s="61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>
        <f>G315</f>
        <v>56</v>
      </c>
      <c r="V315" s="101"/>
      <c r="W315" s="30"/>
      <c r="X315" s="31"/>
      <c r="Y315" s="59"/>
    </row>
    <row r="316" spans="2:25" s="60" customFormat="1" ht="17.25" customHeight="1" x14ac:dyDescent="0.2">
      <c r="B316" s="52"/>
      <c r="C316" s="32"/>
      <c r="D316" s="33"/>
      <c r="E316" s="33"/>
      <c r="F316" s="34"/>
      <c r="G316" s="35"/>
      <c r="H316" s="34"/>
      <c r="I316" s="64"/>
      <c r="J316" s="61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1"/>
      <c r="Y316" s="59"/>
    </row>
    <row r="317" spans="2:25" s="60" customFormat="1" ht="17.25" customHeight="1" x14ac:dyDescent="0.2">
      <c r="B317" s="52" t="s">
        <v>38</v>
      </c>
      <c r="C317" s="32">
        <v>71162</v>
      </c>
      <c r="D317" s="33">
        <v>71521</v>
      </c>
      <c r="E317" s="33"/>
      <c r="F317" s="107">
        <v>373</v>
      </c>
      <c r="G317" s="35">
        <v>30</v>
      </c>
      <c r="H317" s="34">
        <f t="shared" ref="H317:H318" si="151">ROUND(F317*G317,2)</f>
        <v>11190</v>
      </c>
      <c r="I317" s="64"/>
      <c r="J317" s="61"/>
      <c r="K317" s="30"/>
      <c r="L317" s="30">
        <f>ROUND(H317/9,2)</f>
        <v>1243.33</v>
      </c>
      <c r="M317" s="30">
        <f>ROUND(H317*$M$3/9,2)</f>
        <v>111.9</v>
      </c>
      <c r="N317" s="30"/>
      <c r="O317" s="30"/>
      <c r="P317" s="30">
        <f>ROUND(H317*2*$P$3/9,2)</f>
        <v>136.77000000000001</v>
      </c>
      <c r="Q317" s="30">
        <f>ROUND((R317+S317+T317)*16/G317,2)</f>
        <v>115.13</v>
      </c>
      <c r="R317" s="30">
        <f>ROUND(H317*$R$3/12/27,2)</f>
        <v>60.44</v>
      </c>
      <c r="S317" s="30">
        <f>ROUND(H317*$S$3/12/27,2)</f>
        <v>103.61</v>
      </c>
      <c r="T317" s="30">
        <f>ROUND(H317*$T$3/12/27,2)</f>
        <v>51.81</v>
      </c>
      <c r="U317" s="30"/>
      <c r="V317" s="101">
        <f>(ROUND(F317/25,0)+1)*15</f>
        <v>240</v>
      </c>
      <c r="W317" s="30"/>
      <c r="X317" s="31"/>
      <c r="Y317" s="59"/>
    </row>
    <row r="318" spans="2:25" s="60" customFormat="1" ht="17.25" customHeight="1" x14ac:dyDescent="0.2">
      <c r="B318" s="52" t="s">
        <v>36</v>
      </c>
      <c r="C318" s="32">
        <v>71162</v>
      </c>
      <c r="D318" s="33">
        <v>71521</v>
      </c>
      <c r="E318" s="33"/>
      <c r="F318" s="107">
        <v>373</v>
      </c>
      <c r="G318" s="35">
        <v>30</v>
      </c>
      <c r="H318" s="34">
        <f t="shared" si="151"/>
        <v>11190</v>
      </c>
      <c r="I318" s="64"/>
      <c r="J318" s="61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1"/>
      <c r="Y318" s="59"/>
    </row>
    <row r="319" spans="2:25" s="60" customFormat="1" ht="17.25" customHeight="1" x14ac:dyDescent="0.2">
      <c r="B319" s="52"/>
      <c r="C319" s="32"/>
      <c r="D319" s="33"/>
      <c r="E319" s="33"/>
      <c r="F319" s="34"/>
      <c r="G319" s="35"/>
      <c r="H319" s="34"/>
      <c r="I319" s="64"/>
      <c r="J319" s="61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1"/>
      <c r="Y319" s="59"/>
    </row>
    <row r="320" spans="2:25" s="60" customFormat="1" ht="17.45" customHeight="1" x14ac:dyDescent="0.2">
      <c r="B320" s="102"/>
      <c r="C320" s="135" t="s">
        <v>43</v>
      </c>
      <c r="D320" s="136"/>
      <c r="E320" s="136"/>
      <c r="F320" s="136"/>
      <c r="G320" s="136"/>
      <c r="H320" s="136"/>
      <c r="I320" s="137"/>
      <c r="J320" s="103"/>
      <c r="K320" s="104"/>
      <c r="L320" s="104"/>
      <c r="M320" s="104"/>
      <c r="N320" s="104"/>
      <c r="O320" s="104"/>
      <c r="P320" s="104"/>
      <c r="Q320" s="104"/>
      <c r="R320" s="104"/>
      <c r="S320" s="104"/>
      <c r="T320" s="104"/>
      <c r="U320" s="104"/>
      <c r="V320" s="104"/>
      <c r="W320" s="104"/>
      <c r="X320" s="105"/>
      <c r="Y320" s="59"/>
    </row>
    <row r="321" spans="2:25" s="60" customFormat="1" ht="17.25" customHeight="1" x14ac:dyDescent="0.2">
      <c r="B321" s="52" t="s">
        <v>38</v>
      </c>
      <c r="C321" s="32">
        <v>50029</v>
      </c>
      <c r="D321" s="33">
        <v>50606</v>
      </c>
      <c r="E321" s="33"/>
      <c r="F321" s="107"/>
      <c r="G321" s="35"/>
      <c r="H321" s="34">
        <f t="shared" ref="H321:H322" si="152">ROUND(F321*G321,2)</f>
        <v>0</v>
      </c>
      <c r="I321" s="64">
        <v>18464.97</v>
      </c>
      <c r="J321" s="61"/>
      <c r="K321" s="30"/>
      <c r="L321" s="30">
        <f>ROUND(I321/9,2)</f>
        <v>2051.66</v>
      </c>
      <c r="M321" s="30">
        <f>ROUND(I321*$M$3/9,2)</f>
        <v>184.65</v>
      </c>
      <c r="N321" s="30"/>
      <c r="O321" s="30"/>
      <c r="P321" s="30">
        <f>ROUND(I321*2*$P$3/9,2)</f>
        <v>225.68</v>
      </c>
      <c r="Q321" s="30"/>
      <c r="R321" s="30">
        <f>ROUND(I321*$R$3/12/27,2)</f>
        <v>99.73</v>
      </c>
      <c r="S321" s="30">
        <f>ROUND(I321*$S$3/12/27,2)</f>
        <v>170.97</v>
      </c>
      <c r="T321" s="30">
        <f>ROUND(I321*$T$3/12/27,2)</f>
        <v>85.49</v>
      </c>
      <c r="U321" s="30"/>
      <c r="V321" s="101"/>
      <c r="W321" s="30"/>
      <c r="X321" s="31"/>
      <c r="Y321" s="59"/>
    </row>
    <row r="322" spans="2:25" s="60" customFormat="1" ht="17.25" customHeight="1" x14ac:dyDescent="0.2">
      <c r="B322" s="52" t="s">
        <v>36</v>
      </c>
      <c r="C322" s="32">
        <v>50029</v>
      </c>
      <c r="D322" s="33">
        <v>50606</v>
      </c>
      <c r="E322" s="33"/>
      <c r="F322" s="107">
        <v>741</v>
      </c>
      <c r="G322" s="35">
        <v>15</v>
      </c>
      <c r="H322" s="34">
        <f t="shared" si="152"/>
        <v>11115</v>
      </c>
      <c r="I322" s="64"/>
      <c r="J322" s="61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1"/>
      <c r="Y322" s="59"/>
    </row>
    <row r="323" spans="2:25" s="60" customFormat="1" ht="17.25" customHeight="1" x14ac:dyDescent="0.2">
      <c r="B323" s="52"/>
      <c r="C323" s="32"/>
      <c r="D323" s="33"/>
      <c r="E323" s="33"/>
      <c r="F323" s="34"/>
      <c r="G323" s="35"/>
      <c r="H323" s="34"/>
      <c r="I323" s="64"/>
      <c r="J323" s="61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1"/>
      <c r="Y323" s="59"/>
    </row>
    <row r="324" spans="2:25" s="60" customFormat="1" ht="17.25" customHeight="1" x14ac:dyDescent="0.2">
      <c r="B324" s="52" t="s">
        <v>38</v>
      </c>
      <c r="C324" s="32">
        <v>57570</v>
      </c>
      <c r="D324" s="33">
        <v>58039</v>
      </c>
      <c r="E324" s="33"/>
      <c r="F324" s="107"/>
      <c r="G324" s="35"/>
      <c r="H324" s="34">
        <f t="shared" ref="H324:H325" si="153">ROUND(F324*G324,2)</f>
        <v>0</v>
      </c>
      <c r="I324" s="64">
        <v>11878.61</v>
      </c>
      <c r="J324" s="61"/>
      <c r="K324" s="30"/>
      <c r="L324" s="30">
        <f>ROUND(I324/9,2)</f>
        <v>1319.85</v>
      </c>
      <c r="M324" s="30">
        <f>ROUND(I324*$M$3/9,2)</f>
        <v>118.79</v>
      </c>
      <c r="N324" s="30"/>
      <c r="O324" s="30"/>
      <c r="P324" s="30">
        <f>ROUND(I324*2*$P$3/9,2)</f>
        <v>145.18</v>
      </c>
      <c r="Q324" s="30"/>
      <c r="R324" s="30">
        <f>ROUND(I324*$R$3/12/27,2)</f>
        <v>64.16</v>
      </c>
      <c r="S324" s="30">
        <f>ROUND(I324*$S$3/12/27,2)</f>
        <v>109.99</v>
      </c>
      <c r="T324" s="30">
        <f>ROUND(I324*$T$3/12/27,2)</f>
        <v>54.99</v>
      </c>
      <c r="U324" s="30"/>
      <c r="V324" s="101"/>
      <c r="W324" s="30"/>
      <c r="X324" s="31"/>
      <c r="Y324" s="59"/>
    </row>
    <row r="325" spans="2:25" s="60" customFormat="1" ht="17.25" customHeight="1" x14ac:dyDescent="0.2">
      <c r="B325" s="52" t="s">
        <v>36</v>
      </c>
      <c r="C325" s="32">
        <v>57570</v>
      </c>
      <c r="D325" s="33">
        <v>58039</v>
      </c>
      <c r="E325" s="33"/>
      <c r="F325" s="107">
        <v>488</v>
      </c>
      <c r="G325" s="35">
        <v>15</v>
      </c>
      <c r="H325" s="34">
        <f t="shared" si="153"/>
        <v>7320</v>
      </c>
      <c r="I325" s="64"/>
      <c r="J325" s="61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1"/>
      <c r="Y325" s="59"/>
    </row>
    <row r="326" spans="2:25" s="60" customFormat="1" ht="17.25" customHeight="1" x14ac:dyDescent="0.2">
      <c r="B326" s="52"/>
      <c r="C326" s="32"/>
      <c r="D326" s="33"/>
      <c r="E326" s="33"/>
      <c r="F326" s="34"/>
      <c r="G326" s="35"/>
      <c r="H326" s="34"/>
      <c r="I326" s="64"/>
      <c r="J326" s="61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1"/>
      <c r="Y326" s="59"/>
    </row>
    <row r="327" spans="2:25" s="60" customFormat="1" ht="17.25" customHeight="1" x14ac:dyDescent="0.2">
      <c r="B327" s="52" t="s">
        <v>38</v>
      </c>
      <c r="C327" s="32">
        <v>60959</v>
      </c>
      <c r="D327" s="33">
        <v>61030</v>
      </c>
      <c r="E327" s="33"/>
      <c r="F327" s="107"/>
      <c r="G327" s="35"/>
      <c r="H327" s="34">
        <f t="shared" ref="H327:H328" si="154">ROUND(F327*G327,2)</f>
        <v>0</v>
      </c>
      <c r="I327" s="64">
        <v>967.9</v>
      </c>
      <c r="J327" s="61"/>
      <c r="K327" s="30"/>
      <c r="L327" s="30">
        <f>ROUND(I327/9,2)</f>
        <v>107.54</v>
      </c>
      <c r="M327" s="30">
        <f>ROUND(I327*$M$3/9,2)</f>
        <v>9.68</v>
      </c>
      <c r="N327" s="30"/>
      <c r="O327" s="30"/>
      <c r="P327" s="30">
        <f>ROUND(I327*2*$P$3/9,2)</f>
        <v>11.83</v>
      </c>
      <c r="Q327" s="30"/>
      <c r="R327" s="30">
        <f>ROUND(I327*$R$3/12/27,2)</f>
        <v>5.23</v>
      </c>
      <c r="S327" s="30">
        <f>ROUND(I327*$S$3/12/27,2)</f>
        <v>8.9600000000000009</v>
      </c>
      <c r="T327" s="30">
        <f>ROUND(I327*$T$3/12/27,2)</f>
        <v>4.4800000000000004</v>
      </c>
      <c r="U327" s="30"/>
      <c r="V327" s="101"/>
      <c r="W327" s="30"/>
      <c r="X327" s="31"/>
      <c r="Y327" s="59"/>
    </row>
    <row r="328" spans="2:25" s="60" customFormat="1" ht="17.25" customHeight="1" x14ac:dyDescent="0.2">
      <c r="B328" s="52" t="s">
        <v>36</v>
      </c>
      <c r="C328" s="32">
        <v>60959</v>
      </c>
      <c r="D328" s="33">
        <v>61030</v>
      </c>
      <c r="E328" s="33"/>
      <c r="F328" s="107">
        <v>94</v>
      </c>
      <c r="G328" s="35">
        <v>15</v>
      </c>
      <c r="H328" s="34">
        <f t="shared" si="154"/>
        <v>1410</v>
      </c>
      <c r="I328" s="64"/>
      <c r="J328" s="61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1"/>
      <c r="Y328" s="59"/>
    </row>
    <row r="329" spans="2:25" s="60" customFormat="1" ht="17.45" customHeight="1" thickBot="1" x14ac:dyDescent="0.25">
      <c r="B329" s="69"/>
      <c r="C329" s="62"/>
      <c r="D329" s="63"/>
      <c r="E329" s="65"/>
      <c r="F329" s="53"/>
      <c r="G329" s="66"/>
      <c r="H329" s="53"/>
      <c r="I329" s="67"/>
      <c r="J329" s="68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93"/>
      <c r="Y329" s="59"/>
    </row>
    <row r="330" spans="2:25" s="71" customFormat="1" ht="20.100000000000001" customHeight="1" thickBot="1" x14ac:dyDescent="0.3">
      <c r="B330" s="115" t="s">
        <v>13</v>
      </c>
      <c r="C330" s="116"/>
      <c r="D330" s="116"/>
      <c r="E330" s="116"/>
      <c r="F330" s="116"/>
      <c r="G330" s="116"/>
      <c r="H330" s="116"/>
      <c r="I330" s="117"/>
      <c r="J330" s="55"/>
      <c r="K330" s="54">
        <f t="shared" ref="K330:W330" si="155">ROUND(SUM(K11:K329),2)</f>
        <v>9273.57</v>
      </c>
      <c r="L330" s="54">
        <f t="shared" si="155"/>
        <v>297672.65999999997</v>
      </c>
      <c r="M330" s="54">
        <f t="shared" si="155"/>
        <v>27052.75</v>
      </c>
      <c r="N330" s="54">
        <f t="shared" si="155"/>
        <v>569.74</v>
      </c>
      <c r="O330" s="54">
        <f t="shared" si="155"/>
        <v>200.18</v>
      </c>
      <c r="P330" s="54">
        <f t="shared" si="155"/>
        <v>32303.42</v>
      </c>
      <c r="Q330" s="54">
        <f t="shared" si="155"/>
        <v>32344.04</v>
      </c>
      <c r="R330" s="54">
        <f t="shared" si="155"/>
        <v>14752.74</v>
      </c>
      <c r="S330" s="54">
        <f t="shared" si="155"/>
        <v>24472.31</v>
      </c>
      <c r="T330" s="54">
        <f t="shared" si="155"/>
        <v>12645.15</v>
      </c>
      <c r="U330" s="54">
        <f t="shared" si="155"/>
        <v>1171.5</v>
      </c>
      <c r="V330" s="54">
        <f t="shared" si="155"/>
        <v>28590</v>
      </c>
      <c r="W330" s="111">
        <f t="shared" si="155"/>
        <v>16.55</v>
      </c>
      <c r="X330" s="55"/>
      <c r="Y330" s="70"/>
    </row>
    <row r="331" spans="2:25" s="73" customFormat="1" ht="21.95" customHeight="1" thickBot="1" x14ac:dyDescent="0.3">
      <c r="B331" s="118" t="s">
        <v>6</v>
      </c>
      <c r="C331" s="119"/>
      <c r="D331" s="119"/>
      <c r="E331" s="119"/>
      <c r="F331" s="119"/>
      <c r="G331" s="119"/>
      <c r="H331" s="119"/>
      <c r="I331" s="120"/>
      <c r="J331" s="56"/>
      <c r="K331" s="38">
        <f t="shared" ref="K331" si="156">ROUND(K330,0)</f>
        <v>9274</v>
      </c>
      <c r="L331" s="38">
        <f t="shared" ref="L331:M331" si="157">ROUND(L330,0)</f>
        <v>297673</v>
      </c>
      <c r="M331" s="38">
        <f t="shared" si="157"/>
        <v>27053</v>
      </c>
      <c r="N331" s="123">
        <f>ROUND(N330+O330+P330,0)</f>
        <v>33073</v>
      </c>
      <c r="O331" s="124"/>
      <c r="P331" s="125"/>
      <c r="Q331" s="38">
        <f t="shared" ref="Q331:S331" si="158">ROUND(Q330,0)</f>
        <v>32344</v>
      </c>
      <c r="R331" s="38">
        <f t="shared" si="158"/>
        <v>14753</v>
      </c>
      <c r="S331" s="38">
        <f t="shared" si="158"/>
        <v>24472</v>
      </c>
      <c r="T331" s="38">
        <f t="shared" ref="T331" si="159">ROUND(T330,0)</f>
        <v>12645</v>
      </c>
      <c r="U331" s="38">
        <f t="shared" ref="U331" si="160">ROUND(U330,0)</f>
        <v>1172</v>
      </c>
      <c r="V331" s="38">
        <f t="shared" ref="V331" si="161">ROUND(V330,0)</f>
        <v>28590</v>
      </c>
      <c r="W331" s="112">
        <f>W330</f>
        <v>16.55</v>
      </c>
      <c r="X331" s="56"/>
      <c r="Y331" s="72"/>
    </row>
    <row r="332" spans="2:25" ht="20.100000000000001" customHeight="1" x14ac:dyDescent="0.2">
      <c r="C332" s="6"/>
      <c r="D332" s="6"/>
      <c r="E332" s="6"/>
      <c r="F332" s="6"/>
      <c r="G332" s="6"/>
      <c r="H332" s="6"/>
      <c r="I332" s="6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</row>
    <row r="333" spans="2:25" s="76" customFormat="1" ht="20.100000000000001" customHeight="1" x14ac:dyDescent="0.2">
      <c r="B333" s="94"/>
      <c r="C333" s="6"/>
      <c r="D333" s="6"/>
      <c r="E333" s="6"/>
      <c r="F333" s="6"/>
      <c r="G333" s="6"/>
      <c r="I333" s="77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</row>
    <row r="334" spans="2:25" ht="20.100000000000001" customHeight="1" x14ac:dyDescent="0.2">
      <c r="B334" s="94"/>
      <c r="C334" s="6"/>
      <c r="D334" s="6"/>
      <c r="E334" s="6"/>
      <c r="F334" s="6"/>
      <c r="G334" s="6"/>
      <c r="H334" s="6"/>
      <c r="I334" s="77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</row>
    <row r="335" spans="2:25" ht="20.100000000000001" customHeight="1" x14ac:dyDescent="0.2">
      <c r="B335" s="94"/>
      <c r="C335" s="6"/>
      <c r="D335" s="6"/>
      <c r="E335" s="6"/>
      <c r="F335" s="6"/>
      <c r="G335" s="6"/>
      <c r="H335" s="6"/>
      <c r="I335" s="6"/>
      <c r="M335" s="6"/>
      <c r="Q335" s="6"/>
      <c r="R335" s="6"/>
      <c r="S335" s="6"/>
      <c r="T335" s="6"/>
      <c r="U335" s="6"/>
      <c r="V335" s="6"/>
      <c r="W335" s="6"/>
    </row>
    <row r="336" spans="2:25" s="15" customFormat="1" ht="20.100000000000001" customHeight="1" x14ac:dyDescent="0.2">
      <c r="I336" s="77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</row>
    <row r="337" spans="3:23" ht="20.100000000000001" customHeight="1" x14ac:dyDescent="0.2">
      <c r="C337" s="6"/>
      <c r="D337" s="6"/>
      <c r="E337" s="6"/>
      <c r="F337" s="6"/>
      <c r="G337" s="6"/>
      <c r="H337" s="6"/>
      <c r="I337" s="6"/>
      <c r="K337" s="74"/>
      <c r="L337" s="74"/>
      <c r="M337" s="74"/>
      <c r="N337" s="74"/>
      <c r="O337" s="74"/>
      <c r="P337" s="74"/>
      <c r="Q337" s="74"/>
      <c r="R337" s="74"/>
      <c r="S337" s="74"/>
      <c r="T337" s="74"/>
      <c r="U337" s="74"/>
      <c r="V337" s="74"/>
      <c r="W337" s="74"/>
    </row>
    <row r="338" spans="3:23" ht="20.100000000000001" customHeight="1" x14ac:dyDescent="0.2">
      <c r="C338" s="6"/>
      <c r="D338" s="6"/>
      <c r="E338" s="6"/>
      <c r="F338" s="6"/>
      <c r="G338" s="6"/>
      <c r="H338" s="6"/>
      <c r="I338" s="6"/>
      <c r="K338" s="74"/>
      <c r="L338" s="74"/>
      <c r="M338" s="74"/>
      <c r="N338" s="74"/>
      <c r="O338" s="74"/>
      <c r="P338" s="74"/>
      <c r="Q338" s="74"/>
      <c r="R338" s="74"/>
      <c r="S338" s="74"/>
      <c r="T338" s="74"/>
      <c r="U338" s="74"/>
      <c r="V338" s="74"/>
      <c r="W338" s="74"/>
    </row>
    <row r="339" spans="3:23" ht="20.100000000000001" customHeight="1" x14ac:dyDescent="0.2">
      <c r="C339" s="6"/>
      <c r="D339" s="6"/>
      <c r="E339" s="6"/>
      <c r="F339" s="6"/>
      <c r="G339" s="6"/>
      <c r="H339" s="6"/>
      <c r="I339" s="6"/>
      <c r="K339" s="74"/>
      <c r="L339" s="74"/>
      <c r="M339" s="74"/>
      <c r="N339" s="74"/>
      <c r="O339" s="74"/>
      <c r="P339" s="74"/>
      <c r="Q339" s="74"/>
      <c r="R339" s="74"/>
      <c r="S339" s="74"/>
      <c r="T339" s="74"/>
      <c r="U339" s="74"/>
      <c r="V339" s="74"/>
      <c r="W339" s="74"/>
    </row>
    <row r="340" spans="3:23" ht="20.100000000000001" customHeight="1" x14ac:dyDescent="0.2">
      <c r="C340" s="6"/>
      <c r="D340" s="6"/>
      <c r="E340" s="6"/>
      <c r="F340" s="6"/>
      <c r="G340" s="6"/>
      <c r="H340" s="6"/>
      <c r="I340" s="6"/>
      <c r="K340" s="74"/>
      <c r="L340" s="74"/>
      <c r="M340" s="74"/>
      <c r="N340" s="74"/>
      <c r="O340" s="74"/>
      <c r="P340" s="74"/>
      <c r="Q340" s="74"/>
      <c r="R340" s="74"/>
      <c r="S340" s="74"/>
      <c r="T340" s="74"/>
      <c r="U340" s="74"/>
      <c r="V340" s="74"/>
      <c r="W340" s="74"/>
    </row>
    <row r="341" spans="3:23" ht="20.100000000000001" customHeight="1" x14ac:dyDescent="0.2">
      <c r="C341" s="6"/>
      <c r="D341" s="6"/>
      <c r="E341" s="6"/>
      <c r="F341" s="6"/>
      <c r="G341" s="6"/>
      <c r="H341" s="6"/>
      <c r="I341" s="6"/>
      <c r="K341" s="74"/>
      <c r="L341" s="74"/>
      <c r="M341" s="74"/>
      <c r="N341" s="74"/>
      <c r="O341" s="74"/>
      <c r="P341" s="74"/>
      <c r="Q341" s="74"/>
      <c r="R341" s="74"/>
      <c r="S341" s="74"/>
      <c r="T341" s="74"/>
      <c r="U341" s="74"/>
      <c r="V341" s="74"/>
      <c r="W341" s="74"/>
    </row>
    <row r="342" spans="3:23" ht="20.100000000000001" customHeight="1" x14ac:dyDescent="0.2">
      <c r="C342" s="6"/>
      <c r="D342" s="6"/>
      <c r="E342" s="6"/>
      <c r="F342" s="6"/>
      <c r="G342" s="6"/>
      <c r="H342" s="6"/>
      <c r="I342" s="6"/>
      <c r="K342" s="74"/>
      <c r="L342" s="74"/>
      <c r="M342" s="74"/>
      <c r="N342" s="74"/>
      <c r="O342" s="74"/>
      <c r="P342" s="74"/>
      <c r="Q342" s="74"/>
      <c r="R342" s="74"/>
      <c r="S342" s="74"/>
      <c r="T342" s="74"/>
      <c r="U342" s="74"/>
      <c r="V342" s="74"/>
      <c r="W342" s="74"/>
    </row>
    <row r="343" spans="3:23" ht="20.100000000000001" customHeight="1" x14ac:dyDescent="0.2">
      <c r="C343" s="6"/>
      <c r="D343" s="6"/>
      <c r="E343" s="6"/>
      <c r="F343" s="6"/>
      <c r="G343" s="6"/>
      <c r="H343" s="6"/>
      <c r="I343" s="6"/>
      <c r="K343" s="74"/>
      <c r="L343" s="74"/>
      <c r="M343" s="74"/>
      <c r="N343" s="74"/>
      <c r="O343" s="74"/>
      <c r="P343" s="74"/>
      <c r="Q343" s="74"/>
      <c r="R343" s="74"/>
      <c r="S343" s="74"/>
      <c r="T343" s="74"/>
      <c r="U343" s="74"/>
      <c r="V343" s="74"/>
      <c r="W343" s="74"/>
    </row>
    <row r="344" spans="3:23" ht="20.100000000000001" customHeight="1" x14ac:dyDescent="0.2">
      <c r="C344" s="6"/>
      <c r="D344" s="6"/>
      <c r="E344" s="6"/>
      <c r="F344" s="6"/>
      <c r="G344" s="6"/>
      <c r="H344" s="6"/>
      <c r="I344" s="6"/>
      <c r="K344" s="74"/>
      <c r="L344" s="74"/>
      <c r="M344" s="74"/>
      <c r="N344" s="74"/>
      <c r="O344" s="74"/>
      <c r="P344" s="74"/>
      <c r="Q344" s="74"/>
      <c r="R344" s="74"/>
      <c r="S344" s="74"/>
      <c r="T344" s="74"/>
      <c r="U344" s="74"/>
      <c r="V344" s="74"/>
      <c r="W344" s="74"/>
    </row>
    <row r="345" spans="3:23" ht="20.100000000000001" customHeight="1" x14ac:dyDescent="0.2">
      <c r="C345" s="6"/>
      <c r="D345" s="6"/>
      <c r="E345" s="6"/>
      <c r="F345" s="6"/>
      <c r="G345" s="6"/>
      <c r="H345" s="6"/>
      <c r="I345" s="6"/>
      <c r="K345" s="74"/>
      <c r="L345" s="74"/>
      <c r="M345" s="74"/>
      <c r="N345" s="74"/>
      <c r="O345" s="74"/>
      <c r="P345" s="74"/>
      <c r="Q345" s="74"/>
      <c r="R345" s="74"/>
      <c r="S345" s="74"/>
      <c r="T345" s="74"/>
      <c r="U345" s="74"/>
      <c r="V345" s="74"/>
      <c r="W345" s="74"/>
    </row>
    <row r="346" spans="3:23" ht="20.100000000000001" customHeight="1" x14ac:dyDescent="0.2">
      <c r="C346" s="6"/>
      <c r="D346" s="6"/>
      <c r="E346" s="6"/>
      <c r="F346" s="6"/>
      <c r="G346" s="6"/>
      <c r="H346" s="6"/>
      <c r="I346" s="6"/>
      <c r="M346" s="6"/>
      <c r="Q346" s="6"/>
      <c r="R346" s="6"/>
      <c r="S346" s="6"/>
      <c r="T346" s="6"/>
      <c r="U346" s="6"/>
      <c r="V346" s="6"/>
      <c r="W346" s="6"/>
    </row>
    <row r="347" spans="3:23" ht="20.100000000000001" customHeight="1" x14ac:dyDescent="0.2">
      <c r="C347" s="6"/>
      <c r="D347" s="6"/>
      <c r="E347" s="6"/>
      <c r="F347" s="6"/>
      <c r="G347" s="6"/>
      <c r="H347" s="6"/>
      <c r="I347" s="6"/>
      <c r="M347" s="6"/>
      <c r="Q347" s="6"/>
      <c r="R347" s="6"/>
      <c r="S347" s="6"/>
      <c r="T347" s="6"/>
      <c r="U347" s="6"/>
      <c r="V347" s="6"/>
      <c r="W347" s="6"/>
    </row>
    <row r="348" spans="3:23" ht="20.100000000000001" customHeight="1" x14ac:dyDescent="0.2">
      <c r="C348" s="6"/>
      <c r="D348" s="6"/>
      <c r="E348" s="6"/>
      <c r="F348" s="6"/>
      <c r="G348" s="6"/>
      <c r="H348" s="6"/>
      <c r="I348" s="6"/>
      <c r="M348" s="6"/>
      <c r="Q348" s="6"/>
      <c r="R348" s="6"/>
      <c r="S348" s="6"/>
      <c r="T348" s="6"/>
      <c r="U348" s="6"/>
      <c r="V348" s="6"/>
      <c r="W348" s="6"/>
    </row>
    <row r="349" spans="3:23" ht="20.100000000000001" customHeight="1" x14ac:dyDescent="0.2">
      <c r="C349" s="6"/>
      <c r="D349" s="6"/>
      <c r="E349" s="6"/>
      <c r="F349" s="6"/>
      <c r="G349" s="6"/>
      <c r="H349" s="6"/>
      <c r="I349" s="6"/>
      <c r="M349" s="6"/>
      <c r="Q349" s="6"/>
      <c r="R349" s="6"/>
      <c r="S349" s="6"/>
      <c r="T349" s="6"/>
      <c r="U349" s="6"/>
      <c r="V349" s="6"/>
      <c r="W349" s="6"/>
    </row>
    <row r="350" spans="3:23" ht="20.100000000000001" customHeight="1" x14ac:dyDescent="0.2">
      <c r="C350" s="6"/>
      <c r="D350" s="6"/>
      <c r="E350" s="6"/>
      <c r="F350" s="6"/>
      <c r="G350" s="6"/>
      <c r="H350" s="6"/>
      <c r="I350" s="6"/>
      <c r="M350" s="6"/>
      <c r="Q350" s="6"/>
      <c r="R350" s="6"/>
      <c r="S350" s="6"/>
      <c r="T350" s="6"/>
      <c r="U350" s="6"/>
      <c r="V350" s="6"/>
      <c r="W350" s="6"/>
    </row>
    <row r="351" spans="3:23" ht="20.100000000000001" customHeight="1" x14ac:dyDescent="0.2">
      <c r="C351" s="6"/>
      <c r="D351" s="6"/>
      <c r="E351" s="6"/>
      <c r="F351" s="6"/>
      <c r="G351" s="6"/>
      <c r="H351" s="6"/>
      <c r="I351" s="6"/>
      <c r="M351" s="6"/>
      <c r="Q351" s="6"/>
      <c r="R351" s="6"/>
      <c r="S351" s="6"/>
      <c r="T351" s="6"/>
      <c r="U351" s="6"/>
      <c r="V351" s="6"/>
      <c r="W351" s="6"/>
    </row>
    <row r="352" spans="3:23" ht="20.100000000000001" customHeight="1" x14ac:dyDescent="0.2">
      <c r="C352" s="6"/>
      <c r="D352" s="6"/>
      <c r="E352" s="6"/>
      <c r="F352" s="6"/>
      <c r="G352" s="6"/>
      <c r="H352" s="6"/>
      <c r="I352" s="6"/>
      <c r="M352" s="6"/>
      <c r="Q352" s="6"/>
      <c r="R352" s="6"/>
      <c r="S352" s="6"/>
      <c r="T352" s="6"/>
      <c r="U352" s="6"/>
      <c r="V352" s="6"/>
      <c r="W352" s="6"/>
    </row>
    <row r="353" s="6" customFormat="1" ht="20.100000000000001" customHeight="1" x14ac:dyDescent="0.2"/>
    <row r="354" s="6" customFormat="1" ht="20.100000000000001" customHeight="1" x14ac:dyDescent="0.2"/>
    <row r="355" s="6" customFormat="1" ht="20.100000000000001" customHeight="1" x14ac:dyDescent="0.2"/>
    <row r="356" s="6" customFormat="1" ht="20.100000000000001" customHeight="1" x14ac:dyDescent="0.2"/>
    <row r="357" s="6" customFormat="1" ht="20.100000000000001" customHeight="1" x14ac:dyDescent="0.2"/>
    <row r="358" s="6" customFormat="1" ht="20.100000000000001" customHeight="1" x14ac:dyDescent="0.2"/>
    <row r="359" s="6" customFormat="1" ht="20.100000000000001" customHeight="1" x14ac:dyDescent="0.2"/>
    <row r="360" s="6" customFormat="1" ht="20.100000000000001" customHeight="1" x14ac:dyDescent="0.2"/>
    <row r="361" s="6" customFormat="1" ht="20.100000000000001" customHeight="1" x14ac:dyDescent="0.2"/>
    <row r="362" s="6" customFormat="1" ht="20.100000000000001" customHeight="1" x14ac:dyDescent="0.2"/>
    <row r="363" s="6" customFormat="1" ht="20.100000000000001" customHeight="1" x14ac:dyDescent="0.2"/>
    <row r="364" s="6" customFormat="1" ht="20.100000000000001" customHeight="1" x14ac:dyDescent="0.2"/>
    <row r="365" s="6" customFormat="1" ht="20.100000000000001" customHeight="1" x14ac:dyDescent="0.2"/>
    <row r="366" s="6" customFormat="1" ht="20.100000000000001" customHeight="1" x14ac:dyDescent="0.2"/>
    <row r="367" s="6" customFormat="1" ht="20.100000000000001" customHeight="1" x14ac:dyDescent="0.2"/>
    <row r="368" s="6" customFormat="1" ht="20.100000000000001" customHeight="1" x14ac:dyDescent="0.2"/>
    <row r="369" s="6" customFormat="1" ht="20.100000000000001" customHeight="1" x14ac:dyDescent="0.2"/>
    <row r="370" s="6" customFormat="1" ht="20.100000000000001" customHeight="1" x14ac:dyDescent="0.2"/>
    <row r="371" s="6" customFormat="1" ht="20.100000000000001" customHeight="1" x14ac:dyDescent="0.2"/>
    <row r="372" s="6" customFormat="1" ht="20.100000000000001" customHeight="1" x14ac:dyDescent="0.2"/>
    <row r="373" s="6" customFormat="1" ht="20.100000000000001" customHeight="1" x14ac:dyDescent="0.2"/>
    <row r="374" s="6" customFormat="1" ht="20.100000000000001" customHeight="1" x14ac:dyDescent="0.2"/>
    <row r="375" s="6" customFormat="1" ht="20.100000000000001" customHeight="1" x14ac:dyDescent="0.2"/>
    <row r="376" s="6" customFormat="1" ht="20.100000000000001" customHeight="1" x14ac:dyDescent="0.2"/>
    <row r="377" s="6" customFormat="1" ht="20.100000000000001" customHeight="1" x14ac:dyDescent="0.2"/>
    <row r="378" s="6" customFormat="1" ht="20.100000000000001" customHeight="1" x14ac:dyDescent="0.2"/>
    <row r="379" s="6" customFormat="1" ht="20.100000000000001" customHeight="1" x14ac:dyDescent="0.2"/>
    <row r="380" s="6" customFormat="1" ht="20.100000000000001" customHeight="1" x14ac:dyDescent="0.2"/>
    <row r="381" s="6" customFormat="1" ht="20.100000000000001" customHeight="1" x14ac:dyDescent="0.2"/>
    <row r="382" s="6" customFormat="1" ht="20.100000000000001" customHeight="1" x14ac:dyDescent="0.2"/>
    <row r="383" s="6" customFormat="1" ht="20.100000000000001" customHeight="1" x14ac:dyDescent="0.2"/>
    <row r="384" s="6" customFormat="1" ht="20.100000000000001" customHeight="1" x14ac:dyDescent="0.2"/>
    <row r="385" s="6" customFormat="1" ht="20.100000000000001" customHeight="1" x14ac:dyDescent="0.2"/>
    <row r="386" s="6" customFormat="1" ht="20.100000000000001" customHeight="1" x14ac:dyDescent="0.2"/>
    <row r="387" s="6" customFormat="1" ht="20.100000000000001" customHeight="1" x14ac:dyDescent="0.2"/>
    <row r="388" s="6" customFormat="1" ht="20.100000000000001" customHeight="1" x14ac:dyDescent="0.2"/>
    <row r="389" s="6" customFormat="1" ht="20.100000000000001" customHeight="1" x14ac:dyDescent="0.2"/>
    <row r="390" s="6" customFormat="1" ht="20.100000000000001" customHeight="1" x14ac:dyDescent="0.2"/>
    <row r="391" s="6" customFormat="1" ht="20.100000000000001" customHeight="1" x14ac:dyDescent="0.2"/>
    <row r="392" s="6" customFormat="1" ht="20.100000000000001" customHeight="1" x14ac:dyDescent="0.2"/>
    <row r="393" s="6" customFormat="1" ht="20.100000000000001" customHeight="1" x14ac:dyDescent="0.2"/>
    <row r="394" s="6" customFormat="1" ht="20.100000000000001" customHeight="1" x14ac:dyDescent="0.2"/>
    <row r="395" s="6" customFormat="1" ht="20.100000000000001" customHeight="1" x14ac:dyDescent="0.2"/>
    <row r="396" s="6" customFormat="1" ht="20.100000000000001" customHeight="1" x14ac:dyDescent="0.2"/>
    <row r="397" s="6" customFormat="1" ht="20.100000000000001" customHeight="1" x14ac:dyDescent="0.2"/>
    <row r="398" s="6" customFormat="1" ht="20.100000000000001" customHeight="1" x14ac:dyDescent="0.2"/>
    <row r="399" s="6" customFormat="1" ht="20.100000000000001" customHeight="1" x14ac:dyDescent="0.2"/>
    <row r="400" s="6" customFormat="1" ht="20.100000000000001" customHeight="1" x14ac:dyDescent="0.2"/>
  </sheetData>
  <mergeCells count="27">
    <mergeCell ref="C274:I274"/>
    <mergeCell ref="C320:I320"/>
    <mergeCell ref="N1:P1"/>
    <mergeCell ref="N6:P6"/>
    <mergeCell ref="N5:P5"/>
    <mergeCell ref="N4:P4"/>
    <mergeCell ref="C297:I297"/>
    <mergeCell ref="C301:I301"/>
    <mergeCell ref="C308:I308"/>
    <mergeCell ref="C312:I312"/>
    <mergeCell ref="C278:I278"/>
    <mergeCell ref="B330:I330"/>
    <mergeCell ref="B331:I331"/>
    <mergeCell ref="B5:B8"/>
    <mergeCell ref="N331:P331"/>
    <mergeCell ref="F1:I1"/>
    <mergeCell ref="C4:D5"/>
    <mergeCell ref="E4:E5"/>
    <mergeCell ref="F4:F5"/>
    <mergeCell ref="H4:H5"/>
    <mergeCell ref="I4:I5"/>
    <mergeCell ref="G4:G5"/>
    <mergeCell ref="C134:I134"/>
    <mergeCell ref="C282:I282"/>
    <mergeCell ref="C286:I286"/>
    <mergeCell ref="C290:I290"/>
    <mergeCell ref="C10:I10"/>
  </mergeCells>
  <phoneticPr fontId="0" type="noConversion"/>
  <hyperlinks>
    <hyperlink ref="C3" r:id="rId1" display="Return to Table of Contents" xr:uid="{00000000-0004-0000-0000-000000000000}"/>
  </hyperlinks>
  <pageMargins left="0.75" right="0.75" top="0" bottom="0" header="0.5" footer="0.5"/>
  <pageSetup paperSize="17" scale="59" fitToHeight="4" orientation="landscape" r:id="rId2"/>
  <headerFooter alignWithMargins="0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OfficeCalcs</vt:lpstr>
      <vt:lpstr>OfficeCalcs!Print_Area</vt:lpstr>
      <vt:lpstr>OfficeCalcs!Spanner_Auto_Select</vt:lpstr>
    </vt:vector>
  </TitlesOfParts>
  <Company>URS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J. Thompson</dc:creator>
  <cp:lastModifiedBy>Philips, Matthew</cp:lastModifiedBy>
  <cp:lastPrinted>2008-01-11T19:52:05Z</cp:lastPrinted>
  <dcterms:created xsi:type="dcterms:W3CDTF">2000-07-26T18:06:19Z</dcterms:created>
  <dcterms:modified xsi:type="dcterms:W3CDTF">2025-10-29T10:56:10Z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