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hilip1\appdata\local\bentley\projectwise\workingdir\ohiodot-pw.bentley.com_ohiodot-pw-02\matthew.philips@dot.ohio.gov\d1052627\"/>
    </mc:Choice>
  </mc:AlternateContent>
  <xr:revisionPtr revIDLastSave="0" documentId="13_ncr:1_{4ADC73CE-641C-4F79-A670-0B3E0479884B}" xr6:coauthVersionLast="47" xr6:coauthVersionMax="47" xr10:uidLastSave="{00000000-0000-0000-0000-000000000000}"/>
  <bookViews>
    <workbookView xWindow="28680" yWindow="-120" windowWidth="29040" windowHeight="15720" tabRatio="306" xr2:uid="{00000000-000D-0000-FFFF-FFFF00000000}"/>
  </bookViews>
  <sheets>
    <sheet name="OfficeCalcs" sheetId="3" r:id="rId1"/>
  </sheets>
  <definedNames>
    <definedName name="_xlnm.Print_Area" localSheetId="0">OfficeCalcs!$C$3:$AR$134</definedName>
    <definedName name="Spanner_Auto_File">"J:\1617800\DATA\EXCEL\DRIVES.x2a"</definedName>
    <definedName name="Spanner_Auto_Select" localSheetId="0">OfficeCalcs!$C$4:$AH$134</definedName>
    <definedName name="Spanner_Auto_Selec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31" i="3" l="1"/>
  <c r="AB131" i="3"/>
  <c r="P131" i="3"/>
  <c r="V131" i="3" s="1"/>
  <c r="H132" i="3"/>
  <c r="P132" i="3" s="1"/>
  <c r="V132" i="3" s="1"/>
  <c r="AL124" i="3"/>
  <c r="AK127" i="3"/>
  <c r="F128" i="3"/>
  <c r="H128" i="3" s="1"/>
  <c r="AK128" i="3" s="1"/>
  <c r="F127" i="3"/>
  <c r="H127" i="3" s="1"/>
  <c r="AA127" i="3" s="1"/>
  <c r="F132" i="3"/>
  <c r="F131" i="3"/>
  <c r="C126" i="3"/>
  <c r="F126" i="3" s="1"/>
  <c r="C125" i="3"/>
  <c r="F124" i="3"/>
  <c r="H124" i="3" s="1"/>
  <c r="P124" i="3" s="1"/>
  <c r="O134" i="3"/>
  <c r="O135" i="3" s="1"/>
  <c r="AN134" i="3"/>
  <c r="AN135" i="3" s="1"/>
  <c r="G120" i="3"/>
  <c r="F121" i="3"/>
  <c r="H121" i="3" s="1"/>
  <c r="F120" i="3"/>
  <c r="F118" i="3"/>
  <c r="H118" i="3" s="1"/>
  <c r="AO118" i="3" s="1"/>
  <c r="F117" i="3"/>
  <c r="G114" i="3"/>
  <c r="F115" i="3"/>
  <c r="H115" i="3" s="1"/>
  <c r="F114" i="3"/>
  <c r="G109" i="3"/>
  <c r="G110" i="3" s="1"/>
  <c r="F112" i="3"/>
  <c r="H112" i="3" s="1"/>
  <c r="AO112" i="3" s="1"/>
  <c r="F111" i="3"/>
  <c r="F110" i="3"/>
  <c r="F109" i="3"/>
  <c r="G106" i="3"/>
  <c r="G105" i="3"/>
  <c r="F107" i="3"/>
  <c r="H107" i="3" s="1"/>
  <c r="F106" i="3"/>
  <c r="F105" i="3"/>
  <c r="F104" i="3"/>
  <c r="H104" i="3" s="1"/>
  <c r="AI104" i="3" s="1"/>
  <c r="AI99" i="3"/>
  <c r="AB100" i="3"/>
  <c r="Q101" i="3"/>
  <c r="U101" i="3" s="1"/>
  <c r="P101" i="3"/>
  <c r="F102" i="3"/>
  <c r="H102" i="3" s="1"/>
  <c r="AO102" i="3" s="1"/>
  <c r="F101" i="3"/>
  <c r="F100" i="3"/>
  <c r="F99" i="3"/>
  <c r="S75" i="3"/>
  <c r="U75" i="3" s="1"/>
  <c r="Q76" i="3"/>
  <c r="P77" i="3"/>
  <c r="V77" i="3" s="1"/>
  <c r="P76" i="3"/>
  <c r="F76" i="3"/>
  <c r="F77" i="3"/>
  <c r="P75" i="3"/>
  <c r="X75" i="3" s="1"/>
  <c r="F75" i="3"/>
  <c r="AB74" i="3"/>
  <c r="F74" i="3"/>
  <c r="AI73" i="3"/>
  <c r="F73" i="3"/>
  <c r="F71" i="3"/>
  <c r="F70" i="3"/>
  <c r="H70" i="3" s="1"/>
  <c r="G69" i="3"/>
  <c r="G71" i="3" s="1"/>
  <c r="F69" i="3"/>
  <c r="F68" i="3"/>
  <c r="H68" i="3" s="1"/>
  <c r="AI68" i="3" s="1"/>
  <c r="R61" i="3"/>
  <c r="T61" i="3" s="1"/>
  <c r="G64" i="3"/>
  <c r="G66" i="3" s="1"/>
  <c r="F66" i="3"/>
  <c r="F65" i="3"/>
  <c r="H65" i="3" s="1"/>
  <c r="F64" i="3"/>
  <c r="F63" i="3"/>
  <c r="H63" i="3" s="1"/>
  <c r="AI63" i="3" s="1"/>
  <c r="AB59" i="3"/>
  <c r="S60" i="3"/>
  <c r="U60" i="3" s="1"/>
  <c r="P60" i="3"/>
  <c r="X60" i="3" s="1"/>
  <c r="P61" i="3"/>
  <c r="X61" i="3" s="1"/>
  <c r="F59" i="3"/>
  <c r="F61" i="3"/>
  <c r="F60" i="3"/>
  <c r="AI58" i="3"/>
  <c r="F58" i="3"/>
  <c r="G94" i="3"/>
  <c r="G95" i="3" s="1"/>
  <c r="F97" i="3"/>
  <c r="H97" i="3" s="1"/>
  <c r="AO97" i="3" s="1"/>
  <c r="F96" i="3"/>
  <c r="F95" i="3"/>
  <c r="F94" i="3"/>
  <c r="G89" i="3"/>
  <c r="G91" i="3" s="1"/>
  <c r="F92" i="3"/>
  <c r="H92" i="3" s="1"/>
  <c r="AO92" i="3" s="1"/>
  <c r="F91" i="3"/>
  <c r="F90" i="3"/>
  <c r="F89" i="3"/>
  <c r="F87" i="3"/>
  <c r="H87" i="3" s="1"/>
  <c r="F86" i="3"/>
  <c r="F85" i="3"/>
  <c r="G86" i="3"/>
  <c r="F84" i="3"/>
  <c r="H84" i="3" s="1"/>
  <c r="AI84" i="3" s="1"/>
  <c r="G79" i="3"/>
  <c r="G81" i="3" s="1"/>
  <c r="F82" i="3"/>
  <c r="H82" i="3" s="1"/>
  <c r="AO82" i="3" s="1"/>
  <c r="F81" i="3"/>
  <c r="F80" i="3"/>
  <c r="F79" i="3"/>
  <c r="AI55" i="3"/>
  <c r="AB56" i="3"/>
  <c r="S56" i="3"/>
  <c r="U56" i="3" s="1"/>
  <c r="P56" i="3"/>
  <c r="X56" i="3" s="1"/>
  <c r="F56" i="3"/>
  <c r="F55" i="3"/>
  <c r="AB132" i="3" l="1"/>
  <c r="P127" i="3"/>
  <c r="AJ132" i="3"/>
  <c r="AJ134" i="3" s="1"/>
  <c r="AJ135" i="3" s="1"/>
  <c r="AA128" i="3"/>
  <c r="P128" i="3"/>
  <c r="F125" i="3"/>
  <c r="H125" i="3" s="1"/>
  <c r="H126" i="3"/>
  <c r="AL126" i="3" s="1"/>
  <c r="AL134" i="3" s="1"/>
  <c r="AL135" i="3" s="1"/>
  <c r="H120" i="3"/>
  <c r="Y120" i="3" s="1"/>
  <c r="AO121" i="3"/>
  <c r="AF121" i="3"/>
  <c r="H117" i="3"/>
  <c r="AF118" i="3"/>
  <c r="AO115" i="3"/>
  <c r="AF115" i="3"/>
  <c r="H114" i="3"/>
  <c r="G111" i="3"/>
  <c r="H111" i="3" s="1"/>
  <c r="P111" i="3" s="1"/>
  <c r="V111" i="3" s="1"/>
  <c r="H109" i="3"/>
  <c r="AI109" i="3" s="1"/>
  <c r="H110" i="3"/>
  <c r="AB110" i="3" s="1"/>
  <c r="H105" i="3"/>
  <c r="AB105" i="3" s="1"/>
  <c r="AF112" i="3"/>
  <c r="AO107" i="3"/>
  <c r="AF107" i="3"/>
  <c r="H106" i="3"/>
  <c r="H64" i="3"/>
  <c r="AB64" i="3" s="1"/>
  <c r="AM68" i="3"/>
  <c r="AM134" i="3" s="1"/>
  <c r="AM135" i="3" s="1"/>
  <c r="AF102" i="3"/>
  <c r="U76" i="3"/>
  <c r="H71" i="3"/>
  <c r="AB71" i="3" s="1"/>
  <c r="V75" i="3"/>
  <c r="W61" i="3"/>
  <c r="H69" i="3"/>
  <c r="AB69" i="3" s="1"/>
  <c r="H66" i="3"/>
  <c r="R66" i="3" s="1"/>
  <c r="T66" i="3" s="1"/>
  <c r="S65" i="3"/>
  <c r="U65" i="3" s="1"/>
  <c r="P65" i="3"/>
  <c r="P70" i="3"/>
  <c r="S70" i="3"/>
  <c r="U70" i="3" s="1"/>
  <c r="V60" i="3"/>
  <c r="H79" i="3"/>
  <c r="AI79" i="3" s="1"/>
  <c r="H94" i="3"/>
  <c r="AI94" i="3" s="1"/>
  <c r="H95" i="3"/>
  <c r="AB95" i="3" s="1"/>
  <c r="G96" i="3"/>
  <c r="H96" i="3" s="1"/>
  <c r="Q96" i="3" s="1"/>
  <c r="Q134" i="3" s="1"/>
  <c r="AF97" i="3"/>
  <c r="H89" i="3"/>
  <c r="AI89" i="3" s="1"/>
  <c r="G90" i="3"/>
  <c r="H91" i="3"/>
  <c r="S91" i="3" s="1"/>
  <c r="U91" i="3" s="1"/>
  <c r="AF82" i="3"/>
  <c r="AF92" i="3"/>
  <c r="H86" i="3"/>
  <c r="S86" i="3" s="1"/>
  <c r="U86" i="3" s="1"/>
  <c r="AF87" i="3"/>
  <c r="AO87" i="3"/>
  <c r="G85" i="3"/>
  <c r="G80" i="3"/>
  <c r="H81" i="3"/>
  <c r="V56" i="3"/>
  <c r="G52" i="3"/>
  <c r="G51" i="3"/>
  <c r="F53" i="3"/>
  <c r="H53" i="3" s="1"/>
  <c r="AO53" i="3" s="1"/>
  <c r="F52" i="3"/>
  <c r="F51" i="3"/>
  <c r="F50" i="3"/>
  <c r="H50" i="3" s="1"/>
  <c r="AI50" i="3" s="1"/>
  <c r="F48" i="3"/>
  <c r="H48" i="3" s="1"/>
  <c r="AO48" i="3" s="1"/>
  <c r="F47" i="3"/>
  <c r="F46" i="3"/>
  <c r="G45" i="3"/>
  <c r="G47" i="3" s="1"/>
  <c r="F45" i="3"/>
  <c r="G40" i="3"/>
  <c r="G42" i="3" s="1"/>
  <c r="F43" i="3"/>
  <c r="H43" i="3" s="1"/>
  <c r="AO43" i="3" s="1"/>
  <c r="F42" i="3"/>
  <c r="F41" i="3"/>
  <c r="F40" i="3"/>
  <c r="G33" i="3"/>
  <c r="F38" i="3"/>
  <c r="H38" i="3" s="1"/>
  <c r="G37" i="3"/>
  <c r="F37" i="3"/>
  <c r="F36" i="3"/>
  <c r="G35" i="3"/>
  <c r="G36" i="3" s="1"/>
  <c r="F35" i="3"/>
  <c r="F34" i="3"/>
  <c r="H34" i="3" s="1"/>
  <c r="F33" i="3"/>
  <c r="G30" i="3"/>
  <c r="G28" i="3"/>
  <c r="G29" i="3" s="1"/>
  <c r="G26" i="3"/>
  <c r="F30" i="3"/>
  <c r="F29" i="3"/>
  <c r="F28" i="3"/>
  <c r="F27" i="3"/>
  <c r="AP27" i="3" s="1"/>
  <c r="F31" i="3"/>
  <c r="H31" i="3" s="1"/>
  <c r="F26" i="3"/>
  <c r="G23" i="3"/>
  <c r="F24" i="3"/>
  <c r="H24" i="3" s="1"/>
  <c r="F23" i="3"/>
  <c r="F21" i="3"/>
  <c r="H21" i="3" s="1"/>
  <c r="AF21" i="3" s="1"/>
  <c r="G20" i="3"/>
  <c r="F20" i="3"/>
  <c r="F17" i="3"/>
  <c r="F16" i="3"/>
  <c r="H16" i="3" s="1"/>
  <c r="M16" i="3" s="1"/>
  <c r="I15" i="3"/>
  <c r="N15" i="3" s="1"/>
  <c r="N134" i="3" s="1"/>
  <c r="N135" i="3" s="1"/>
  <c r="I14" i="3"/>
  <c r="K14" i="3" s="1"/>
  <c r="H15" i="3"/>
  <c r="F14" i="3"/>
  <c r="H14" i="3" s="1"/>
  <c r="F13" i="3"/>
  <c r="H13" i="3" s="1"/>
  <c r="L13" i="3" s="1"/>
  <c r="F12" i="3"/>
  <c r="H12" i="3" s="1"/>
  <c r="M12" i="3" s="1"/>
  <c r="F11" i="3"/>
  <c r="H11" i="3" s="1"/>
  <c r="M11" i="3" s="1"/>
  <c r="AK125" i="3" l="1"/>
  <c r="AA125" i="3"/>
  <c r="P125" i="3"/>
  <c r="AG120" i="3"/>
  <c r="AC120" i="3"/>
  <c r="AK134" i="3"/>
  <c r="AK135" i="3" s="1"/>
  <c r="P126" i="3"/>
  <c r="H90" i="3"/>
  <c r="AB90" i="3" s="1"/>
  <c r="H80" i="3"/>
  <c r="AB80" i="3" s="1"/>
  <c r="H85" i="3"/>
  <c r="AB85" i="3" s="1"/>
  <c r="M134" i="3"/>
  <c r="M135" i="3" s="1"/>
  <c r="AH120" i="3"/>
  <c r="AE120" i="3"/>
  <c r="P71" i="3"/>
  <c r="V71" i="3" s="1"/>
  <c r="AH114" i="3"/>
  <c r="AG114" i="3"/>
  <c r="AE114" i="3"/>
  <c r="AC114" i="3"/>
  <c r="AG117" i="3"/>
  <c r="AH117" i="3"/>
  <c r="AE117" i="3"/>
  <c r="AC117" i="3"/>
  <c r="Y117" i="3"/>
  <c r="Y114" i="3"/>
  <c r="P106" i="3"/>
  <c r="V106" i="3" s="1"/>
  <c r="P66" i="3"/>
  <c r="X66" i="3" s="1"/>
  <c r="X76" i="3"/>
  <c r="V76" i="3"/>
  <c r="X70" i="3"/>
  <c r="V70" i="3"/>
  <c r="X65" i="3"/>
  <c r="V65" i="3"/>
  <c r="U96" i="3"/>
  <c r="P96" i="3"/>
  <c r="V96" i="3" s="1"/>
  <c r="H51" i="3"/>
  <c r="AB51" i="3" s="1"/>
  <c r="P86" i="3"/>
  <c r="X86" i="3" s="1"/>
  <c r="P91" i="3"/>
  <c r="X91" i="3" s="1"/>
  <c r="H47" i="3"/>
  <c r="S47" i="3" s="1"/>
  <c r="S81" i="3"/>
  <c r="U81" i="3" s="1"/>
  <c r="P81" i="3"/>
  <c r="AF53" i="3"/>
  <c r="H52" i="3"/>
  <c r="AF48" i="3"/>
  <c r="AF43" i="3"/>
  <c r="H40" i="3"/>
  <c r="AI40" i="3" s="1"/>
  <c r="G41" i="3"/>
  <c r="H45" i="3"/>
  <c r="G46" i="3"/>
  <c r="H36" i="3"/>
  <c r="AB36" i="3" s="1"/>
  <c r="H42" i="3"/>
  <c r="R42" i="3" s="1"/>
  <c r="H29" i="3"/>
  <c r="AB29" i="3" s="1"/>
  <c r="H37" i="3"/>
  <c r="R37" i="3" s="1"/>
  <c r="H30" i="3"/>
  <c r="R30" i="3" s="1"/>
  <c r="H35" i="3"/>
  <c r="Z35" i="3" s="1"/>
  <c r="H33" i="3"/>
  <c r="Y33" i="3" s="1"/>
  <c r="AD34" i="3"/>
  <c r="AG34" i="3"/>
  <c r="AH34" i="3"/>
  <c r="AO38" i="3"/>
  <c r="AF38" i="3"/>
  <c r="H28" i="3"/>
  <c r="Z28" i="3" s="1"/>
  <c r="Z134" i="3" s="1"/>
  <c r="Z135" i="3" s="1"/>
  <c r="AP34" i="3"/>
  <c r="AP134" i="3" s="1"/>
  <c r="AP135" i="3" s="1"/>
  <c r="H26" i="3"/>
  <c r="AG26" i="3" s="1"/>
  <c r="H27" i="3"/>
  <c r="H23" i="3"/>
  <c r="AG23" i="3" s="1"/>
  <c r="AO31" i="3"/>
  <c r="AF31" i="3"/>
  <c r="AO24" i="3"/>
  <c r="AF24" i="3"/>
  <c r="AO21" i="3"/>
  <c r="H20" i="3"/>
  <c r="H17" i="3"/>
  <c r="L17" i="3" s="1"/>
  <c r="L134" i="3" s="1"/>
  <c r="L135" i="3" s="1"/>
  <c r="AO134" i="3" l="1"/>
  <c r="AO135" i="3" s="1"/>
  <c r="AF134" i="3"/>
  <c r="AF135" i="3" s="1"/>
  <c r="H46" i="3"/>
  <c r="AB46" i="3" s="1"/>
  <c r="H41" i="3"/>
  <c r="AB41" i="3" s="1"/>
  <c r="AB134" i="3" s="1"/>
  <c r="AA134" i="3"/>
  <c r="R134" i="3"/>
  <c r="Q135" i="3" s="1"/>
  <c r="U47" i="3"/>
  <c r="W66" i="3"/>
  <c r="X101" i="3"/>
  <c r="V101" i="3"/>
  <c r="V91" i="3"/>
  <c r="V86" i="3"/>
  <c r="P47" i="3"/>
  <c r="X96" i="3"/>
  <c r="V81" i="3"/>
  <c r="X81" i="3"/>
  <c r="S52" i="3"/>
  <c r="U52" i="3" s="1"/>
  <c r="P52" i="3"/>
  <c r="X47" i="3"/>
  <c r="V47" i="3"/>
  <c r="AI45" i="3"/>
  <c r="AI134" i="3" s="1"/>
  <c r="AI135" i="3" s="1"/>
  <c r="T30" i="3"/>
  <c r="T37" i="3"/>
  <c r="P37" i="3"/>
  <c r="W37" i="3" s="1"/>
  <c r="P42" i="3"/>
  <c r="W42" i="3" s="1"/>
  <c r="P30" i="3"/>
  <c r="AC33" i="3"/>
  <c r="AE33" i="3"/>
  <c r="AG33" i="3"/>
  <c r="AH33" i="3"/>
  <c r="AE26" i="3"/>
  <c r="AD27" i="3"/>
  <c r="AD134" i="3" s="1"/>
  <c r="AH27" i="3"/>
  <c r="AG27" i="3"/>
  <c r="Y26" i="3"/>
  <c r="AH26" i="3"/>
  <c r="AC26" i="3"/>
  <c r="AC23" i="3"/>
  <c r="AE23" i="3"/>
  <c r="Y23" i="3"/>
  <c r="AH23" i="3"/>
  <c r="Y20" i="3"/>
  <c r="Y134" i="3" s="1"/>
  <c r="Y135" i="3" s="1"/>
  <c r="AH20" i="3"/>
  <c r="AH134" i="3" s="1"/>
  <c r="AH135" i="3" s="1"/>
  <c r="AG20" i="3"/>
  <c r="AG134" i="3" s="1"/>
  <c r="AG135" i="3" s="1"/>
  <c r="AC20" i="3"/>
  <c r="AE20" i="3"/>
  <c r="K134" i="3"/>
  <c r="K135" i="3" s="1"/>
  <c r="AA135" i="3" l="1"/>
  <c r="W30" i="3"/>
  <c r="W134" i="3" s="1"/>
  <c r="P134" i="3"/>
  <c r="P135" i="3" s="1"/>
  <c r="AE134" i="3"/>
  <c r="S134" i="3"/>
  <c r="S135" i="3" s="1"/>
  <c r="AC134" i="3"/>
  <c r="AC135" i="3" s="1"/>
  <c r="U134" i="3"/>
  <c r="X37" i="3"/>
  <c r="X30" i="3"/>
  <c r="X52" i="3"/>
  <c r="V52" i="3"/>
  <c r="V134" i="3" s="1"/>
  <c r="V135" i="3" s="1"/>
  <c r="T42" i="3"/>
  <c r="T134" i="3" s="1"/>
  <c r="X42" i="3"/>
  <c r="T135" i="3" l="1"/>
  <c r="X134" i="3"/>
  <c r="X135" i="3" s="1"/>
</calcChain>
</file>

<file path=xl/sharedStrings.xml><?xml version="1.0" encoding="utf-8"?>
<sst xmlns="http://schemas.openxmlformats.org/spreadsheetml/2006/main" count="378" uniqueCount="152">
  <si>
    <t>STATION</t>
  </si>
  <si>
    <t>TO</t>
  </si>
  <si>
    <t>FROM</t>
  </si>
  <si>
    <t>SIDE</t>
  </si>
  <si>
    <t>LENGTH (L)</t>
  </si>
  <si>
    <t>AVERAGE WIDTH (W)</t>
  </si>
  <si>
    <t>TOTALS CARRIED TO GENERAL SUMMARY</t>
  </si>
  <si>
    <t>FOR INFORMATION ONLY</t>
  </si>
  <si>
    <t>NOTES:</t>
  </si>
  <si>
    <t>FT</t>
  </si>
  <si>
    <t>SF</t>
  </si>
  <si>
    <t>SURFACE AREA (A)</t>
  </si>
  <si>
    <t>LxW</t>
  </si>
  <si>
    <t>CADD AREA (A)</t>
  </si>
  <si>
    <t>SUBTOTALS</t>
  </si>
  <si>
    <t>A</t>
  </si>
  <si>
    <t>12*27</t>
  </si>
  <si>
    <t>A*6</t>
  </si>
  <si>
    <t>A*12</t>
  </si>
  <si>
    <t>204e45000</t>
  </si>
  <si>
    <t>254e01000</t>
  </si>
  <si>
    <t>407e20000</t>
  </si>
  <si>
    <t>A*0.085</t>
  </si>
  <si>
    <t>A*4</t>
  </si>
  <si>
    <t>L</t>
  </si>
  <si>
    <t>A*1.50</t>
  </si>
  <si>
    <t>408e10001</t>
  </si>
  <si>
    <t>A*0.40</t>
  </si>
  <si>
    <t>204E10000</t>
  </si>
  <si>
    <t>204E13000</t>
  </si>
  <si>
    <t>690E12060</t>
  </si>
  <si>
    <t>L*30</t>
  </si>
  <si>
    <t>Subgrade</t>
  </si>
  <si>
    <t>12*9</t>
  </si>
  <si>
    <t>204E50000</t>
  </si>
  <si>
    <t>204E30010</t>
  </si>
  <si>
    <t>SPECIAL</t>
  </si>
  <si>
    <t>PAVEMENT OVERLAY FABRIC COMPOSITE</t>
  </si>
  <si>
    <t>202E23000</t>
  </si>
  <si>
    <t>202E30000</t>
  </si>
  <si>
    <t>202E32000</t>
  </si>
  <si>
    <t>Supplemental Description --&gt;</t>
  </si>
  <si>
    <t xml:space="preserve">
[2" ASPHALT ON 10" REINFORCED CONCRETE]</t>
  </si>
  <si>
    <t xml:space="preserve">
[9.5" ASPHALT ON 10" REINFORCED CONCRETE]</t>
  </si>
  <si>
    <t xml:space="preserve">
[9.5" ASPHALT]</t>
  </si>
  <si>
    <t xml:space="preserve">
[SUBGRADE ROCK CUT]</t>
  </si>
  <si>
    <t>, 712.09, TYPE D</t>
  </si>
  <si>
    <t xml:space="preserve"> [T = 3"]</t>
  </si>
  <si>
    <t>A*7</t>
  </si>
  <si>
    <t>302E56000</t>
  </si>
  <si>
    <t>304E20000</t>
  </si>
  <si>
    <t>2*A*0.055</t>
  </si>
  <si>
    <t>442E22100</t>
  </si>
  <si>
    <t>442E22300</t>
  </si>
  <si>
    <t>451E14010</t>
  </si>
  <si>
    <t>452E12010</t>
  </si>
  <si>
    <t>609E26000</t>
  </si>
  <si>
    <t>609E28000</t>
  </si>
  <si>
    <t>617E10101</t>
  </si>
  <si>
    <t>A*1</t>
  </si>
  <si>
    <t>REMOVAL CALCULATIONS</t>
  </si>
  <si>
    <t>LT</t>
  </si>
  <si>
    <t>LT/RT</t>
  </si>
  <si>
    <t>RT</t>
  </si>
  <si>
    <t>PAVEMENT CALCULATIONS</t>
  </si>
  <si>
    <t>A*0.055</t>
  </si>
  <si>
    <t>STATION EQUATION: STA. 601+92.96, 96.61' LT CL EX. R/W I.R.80 = STA. 2+00.00 BL CONST. TRUCK PARKING</t>
  </si>
  <si>
    <t>STATION EQUATION: STA. 627+05.44, 78' LT CL EX. R/W I.R.80 = STA. 26+60.33 BL CONST. TRUCK PARKING</t>
  </si>
  <si>
    <t>RAMP G WIDENING - 442</t>
  </si>
  <si>
    <t>RAMP G WIDENING - 302</t>
  </si>
  <si>
    <t>RAMP G WIDENING - 304</t>
  </si>
  <si>
    <t>RAMP G - 451</t>
  </si>
  <si>
    <t>RAMP G - 304</t>
  </si>
  <si>
    <t>RAMP G - SHOULDER REMOVAL</t>
  </si>
  <si>
    <t>RAMP G - PAVEMENT REMOVAL</t>
  </si>
  <si>
    <t>PARKING LOT - REMOVAL</t>
  </si>
  <si>
    <t>REST AREA - REMOVAL</t>
  </si>
  <si>
    <t>RAMP H - SHOULDER REMOVAL</t>
  </si>
  <si>
    <t>RAMP H - PAVEMENT REMOVAL</t>
  </si>
  <si>
    <t>RAMP G - RESURFACING</t>
  </si>
  <si>
    <t>RAMP G - 408 &amp; 617</t>
  </si>
  <si>
    <t>2*Subgrade</t>
  </si>
  <si>
    <t>RAMP G WIDENING - UNSTABLE SUBGRADE</t>
  </si>
  <si>
    <t>TRUCK PARKING AREA - 451</t>
  </si>
  <si>
    <t>TRUCK PARKING AREA - 304</t>
  </si>
  <si>
    <t>TRUCK PARKING AREA - 408 &amp; 617</t>
  </si>
  <si>
    <t>RAMP G - UNSUITABLE SUBGRADE (ROCK)</t>
  </si>
  <si>
    <t>TRUCK PARKING AREA - UNSUITABLE SUBGRADE (ROCK)</t>
  </si>
  <si>
    <t>TRUCK PARKING AREA - 304 &amp; UNSUITABLE SUBGRADE (ROCK)</t>
  </si>
  <si>
    <t>TRUCK PARKING AREA - UNSUITABLE SUBGRADE (A-4b)</t>
  </si>
  <si>
    <t>TRUCK PARKING AREA - UNSTABLE SUBGRADE</t>
  </si>
  <si>
    <t>TRUCK PARKING AREA - SUBGRADE</t>
  </si>
  <si>
    <t>RAMP H - 451</t>
  </si>
  <si>
    <t>RAMP H - 304</t>
  </si>
  <si>
    <t>RAMP H - UNSUITABLE SUBGRADE (A-4b)</t>
  </si>
  <si>
    <t>RAMP H - 408 &amp; 617</t>
  </si>
  <si>
    <t>RAMP H - SUBGRADE</t>
  </si>
  <si>
    <t>RAMP H - RESURFACING</t>
  </si>
  <si>
    <t>608E12000</t>
  </si>
  <si>
    <t>608E52000</t>
  </si>
  <si>
    <t>SIDEWALK AND CURB RAMP CALCULATIONS</t>
  </si>
  <si>
    <t>TRUCK PARKING AREA - CURB RAMP</t>
  </si>
  <si>
    <t>TRUCK PARKING AREA - SIDEWALK</t>
  </si>
  <si>
    <t>DRIVEWAY CALCULATIONS</t>
  </si>
  <si>
    <t>DUMPSTER DRIVE</t>
  </si>
  <si>
    <t>SHED DRIVE</t>
  </si>
  <si>
    <t>TRUCK PARKING AREA - PICNIC TABLE CONCRETE PAD</t>
  </si>
  <si>
    <t>Calc'd by:
MEP 250630</t>
  </si>
  <si>
    <t>Checked by: KMK 250811</t>
  </si>
  <si>
    <r>
      <t xml:space="preserve">Revised by: </t>
    </r>
    <r>
      <rPr>
        <b/>
        <sz val="10"/>
        <color rgb="FFFF0000"/>
        <rFont val="Arial"/>
        <family val="2"/>
      </rPr>
      <t>N/A</t>
    </r>
  </si>
  <si>
    <t>202</t>
  </si>
  <si>
    <t>204</t>
  </si>
  <si>
    <t>254</t>
  </si>
  <si>
    <t>302</t>
  </si>
  <si>
    <t>304</t>
  </si>
  <si>
    <t>407</t>
  </si>
  <si>
    <t>408</t>
  </si>
  <si>
    <t>442</t>
  </si>
  <si>
    <t>451</t>
  </si>
  <si>
    <t>452</t>
  </si>
  <si>
    <t>608</t>
  </si>
  <si>
    <t>609</t>
  </si>
  <si>
    <t>617</t>
  </si>
  <si>
    <t>PAVEMENT REMOVED
[2" ASPHALT ON 10" REINFORCED CONCRETE]</t>
  </si>
  <si>
    <t>PAVEMENT REMOVED
[9.5" ASPHALT ON 10" REINFORCED CONCRETE]</t>
  </si>
  <si>
    <t>PAVEMENT REMOVED
[9.5" ASPHALT]</t>
  </si>
  <si>
    <t>WALK REMOVED</t>
  </si>
  <si>
    <t>CURB REMOVED</t>
  </si>
  <si>
    <t>SUBGRADE COMPACTION</t>
  </si>
  <si>
    <t>EXCAVATION OF SUBGRADE</t>
  </si>
  <si>
    <t>EXCAVATION OF SUBGRADE
[SUBGRADE ROCK CUT]</t>
  </si>
  <si>
    <t>GRANULAR MATERIAL, TYPE B</t>
  </si>
  <si>
    <t>PROOF ROLLING</t>
  </si>
  <si>
    <t>GEOTEXTILE FABRIC, 712.09, TYPE D</t>
  </si>
  <si>
    <t>PAVEMENT PLANING, ASPHALT CONCRETE [T = 3"]</t>
  </si>
  <si>
    <t>ASPHALT CONCRETE BASE, PG64-22, (449)</t>
  </si>
  <si>
    <t>AGGREGATE BASE</t>
  </si>
  <si>
    <t>NON-TRACKING TACK COAT</t>
  </si>
  <si>
    <t>PRIME COAT, AS PER PLAN</t>
  </si>
  <si>
    <t>ASPHALT CONCRETE SURFACE COURSE, 12.5 MM, TYPE A (449)</t>
  </si>
  <si>
    <t>ASPHALT CONCRETE INTERMEDIATE COURSE, 12.5 MM, TYPE A (449)</t>
  </si>
  <si>
    <t>9" REINFORCED CONCRETE PAVEMENT, CLASS QC 1P</t>
  </si>
  <si>
    <t>8" NON-REINFORCED CONCRETE PAVEMENT, CLASS QC 1P</t>
  </si>
  <si>
    <t>5" CONCRETE WALK</t>
  </si>
  <si>
    <t>CURB RAMP</t>
  </si>
  <si>
    <t>CURB, TYPE 6</t>
  </si>
  <si>
    <t>CURB, TYPE 7</t>
  </si>
  <si>
    <t>COMPACTED AGGREGATE, AS PER PLAN</t>
  </si>
  <si>
    <t>SY</t>
  </si>
  <si>
    <t>CY</t>
  </si>
  <si>
    <t>HOUR</t>
  </si>
  <si>
    <t>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</si>
</sst>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0\+00.00\ "/>
    <numFmt numFmtId="166" formatCode="0.0"/>
    <numFmt numFmtId="167" formatCode="0.00;;;"/>
    <numFmt numFmtId="168" formatCode="0\+00.00;;;"/>
    <numFmt numFmtId="169" formatCode="00\+00.00"/>
    <numFmt numFmtId="170" formatCode="0.00;;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2"/>
      <name val="Arial Narrow"/>
      <family val="2"/>
    </font>
    <font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2"/>
      <name val="Verdana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0"/>
      <name val="Verdana"/>
      <family val="2"/>
    </font>
    <font>
      <b/>
      <sz val="12"/>
      <name val="Verdana"/>
      <family val="2"/>
    </font>
    <font>
      <sz val="11"/>
      <name val="Calibri"/>
      <family val="2"/>
    </font>
    <font>
      <u/>
      <sz val="14"/>
      <name val="Arial"/>
      <family val="2"/>
    </font>
    <font>
      <sz val="5"/>
      <name val="Arial"/>
      <family val="2"/>
    </font>
    <font>
      <b/>
      <sz val="5"/>
      <name val="Arial"/>
      <family val="2"/>
    </font>
    <font>
      <sz val="5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</cellStyleXfs>
  <cellXfs count="14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textRotation="90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2" fontId="3" fillId="0" borderId="0" xfId="0" applyNumberFormat="1" applyFont="1" applyAlignment="1">
      <alignment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" fontId="0" fillId="0" borderId="0" xfId="0" applyNumberFormat="1" applyAlignment="1">
      <alignment vertical="center"/>
    </xf>
    <xf numFmtId="165" fontId="2" fillId="0" borderId="0" xfId="0" applyNumberFormat="1" applyFont="1" applyAlignment="1">
      <alignment vertical="center" wrapText="1"/>
    </xf>
    <xf numFmtId="2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1" applyFont="1" applyFill="1" applyAlignment="1" applyProtection="1">
      <alignment horizontal="center" vertical="center"/>
    </xf>
    <xf numFmtId="165" fontId="3" fillId="0" borderId="0" xfId="0" applyNumberFormat="1" applyFont="1" applyAlignment="1">
      <alignment vertical="center" wrapText="1"/>
    </xf>
    <xf numFmtId="164" fontId="9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1" fontId="8" fillId="0" borderId="0" xfId="0" applyNumberFormat="1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1" fontId="9" fillId="2" borderId="11" xfId="0" applyNumberFormat="1" applyFont="1" applyFill="1" applyBorder="1" applyAlignment="1">
      <alignment horizontal="center" vertical="center"/>
    </xf>
    <xf numFmtId="1" fontId="9" fillId="2" borderId="15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textRotation="90" wrapText="1"/>
    </xf>
    <xf numFmtId="1" fontId="9" fillId="2" borderId="17" xfId="0" applyNumberFormat="1" applyFont="1" applyFill="1" applyBorder="1" applyAlignment="1">
      <alignment horizontal="center" vertical="center" textRotation="90" wrapText="1"/>
    </xf>
    <xf numFmtId="1" fontId="9" fillId="2" borderId="6" xfId="0" applyNumberFormat="1" applyFont="1" applyFill="1" applyBorder="1" applyAlignment="1">
      <alignment horizontal="center" vertical="center"/>
    </xf>
    <xf numFmtId="1" fontId="9" fillId="2" borderId="18" xfId="0" applyNumberFormat="1" applyFont="1" applyFill="1" applyBorder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168" fontId="2" fillId="0" borderId="8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7" fontId="14" fillId="0" borderId="2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1" fontId="9" fillId="2" borderId="7" xfId="0" applyNumberFormat="1" applyFont="1" applyFill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 wrapText="1"/>
    </xf>
    <xf numFmtId="165" fontId="2" fillId="0" borderId="24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165" fontId="2" fillId="0" borderId="26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165" fontId="2" fillId="0" borderId="28" xfId="0" applyNumberFormat="1" applyFont="1" applyBorder="1" applyAlignment="1">
      <alignment horizontal="center" vertical="center" wrapText="1"/>
    </xf>
    <xf numFmtId="11" fontId="8" fillId="0" borderId="0" xfId="0" quotePrefix="1" applyNumberFormat="1" applyFont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167" fontId="14" fillId="0" borderId="21" xfId="0" applyNumberFormat="1" applyFont="1" applyBorder="1" applyAlignment="1">
      <alignment horizontal="center" vertical="center" wrapText="1"/>
    </xf>
    <xf numFmtId="170" fontId="2" fillId="2" borderId="7" xfId="0" applyNumberFormat="1" applyFont="1" applyFill="1" applyBorder="1" applyAlignment="1">
      <alignment horizontal="center" vertical="center"/>
    </xf>
    <xf numFmtId="170" fontId="17" fillId="2" borderId="7" xfId="0" applyNumberFormat="1" applyFont="1" applyFill="1" applyBorder="1" applyAlignment="1">
      <alignment horizontal="center" vertical="center"/>
    </xf>
    <xf numFmtId="1" fontId="15" fillId="2" borderId="7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1" fontId="17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vertical="center"/>
    </xf>
    <xf numFmtId="2" fontId="17" fillId="0" borderId="9" xfId="0" applyNumberFormat="1" applyFont="1" applyBorder="1" applyAlignment="1">
      <alignment horizontal="center" vertical="center"/>
    </xf>
    <xf numFmtId="2" fontId="17" fillId="0" borderId="13" xfId="0" applyNumberFormat="1" applyFont="1" applyBorder="1" applyAlignment="1">
      <alignment horizontal="left" vertical="center"/>
    </xf>
    <xf numFmtId="166" fontId="18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2" fontId="17" fillId="0" borderId="8" xfId="0" applyNumberFormat="1" applyFont="1" applyBorder="1" applyAlignment="1">
      <alignment horizontal="center" vertical="center"/>
    </xf>
    <xf numFmtId="168" fontId="17" fillId="0" borderId="8" xfId="0" applyNumberFormat="1" applyFont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 wrapText="1"/>
    </xf>
    <xf numFmtId="167" fontId="17" fillId="0" borderId="16" xfId="0" applyNumberFormat="1" applyFont="1" applyBorder="1" applyAlignment="1">
      <alignment horizontal="center" vertical="center" wrapText="1"/>
    </xf>
    <xf numFmtId="165" fontId="17" fillId="0" borderId="21" xfId="0" applyNumberFormat="1" applyFont="1" applyBorder="1" applyAlignment="1">
      <alignment horizontal="center" vertical="center" wrapText="1"/>
    </xf>
    <xf numFmtId="167" fontId="17" fillId="0" borderId="21" xfId="0" applyNumberFormat="1" applyFont="1" applyBorder="1" applyAlignment="1">
      <alignment horizontal="center" vertical="center" wrapText="1"/>
    </xf>
    <xf numFmtId="167" fontId="17" fillId="0" borderId="33" xfId="0" applyNumberFormat="1" applyFont="1" applyBorder="1" applyAlignment="1">
      <alignment horizontal="center" vertical="center" wrapText="1"/>
    </xf>
    <xf numFmtId="2" fontId="17" fillId="0" borderId="32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/>
    </xf>
    <xf numFmtId="0" fontId="19" fillId="0" borderId="0" xfId="0" applyFont="1" applyProtection="1">
      <protection locked="0"/>
    </xf>
    <xf numFmtId="0" fontId="18" fillId="0" borderId="0" xfId="0" applyFont="1"/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/>
    <xf numFmtId="2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1" fontId="24" fillId="0" borderId="29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5" fillId="0" borderId="0" xfId="1" applyFont="1" applyAlignment="1" applyProtection="1">
      <alignment vertical="center"/>
    </xf>
    <xf numFmtId="1" fontId="4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 textRotation="90" wrapText="1"/>
    </xf>
    <xf numFmtId="1" fontId="15" fillId="2" borderId="11" xfId="0" applyNumberFormat="1" applyFont="1" applyFill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 vertical="center" textRotation="90" wrapText="1"/>
    </xf>
    <xf numFmtId="2" fontId="2" fillId="0" borderId="24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65" fontId="26" fillId="0" borderId="0" xfId="0" applyNumberFormat="1" applyFont="1" applyAlignment="1">
      <alignment vertical="center" wrapText="1"/>
    </xf>
    <xf numFmtId="165" fontId="27" fillId="0" borderId="0" xfId="0" applyNumberFormat="1" applyFont="1" applyAlignment="1">
      <alignment horizontal="center" vertical="center" wrapText="1"/>
    </xf>
    <xf numFmtId="11" fontId="26" fillId="0" borderId="0" xfId="0" quotePrefix="1" applyNumberFormat="1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11" fontId="26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1" fontId="28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textRotation="90" wrapText="1"/>
    </xf>
    <xf numFmtId="2" fontId="26" fillId="0" borderId="0" xfId="0" applyNumberFormat="1" applyFont="1" applyAlignment="1">
      <alignment vertical="center" wrapText="1"/>
    </xf>
    <xf numFmtId="165" fontId="15" fillId="3" borderId="0" xfId="0" applyNumberFormat="1" applyFont="1" applyFill="1" applyAlignment="1">
      <alignment horizontal="right" vertical="center"/>
    </xf>
    <xf numFmtId="165" fontId="27" fillId="3" borderId="0" xfId="0" applyNumberFormat="1" applyFont="1" applyFill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9" fillId="2" borderId="35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1" fontId="9" fillId="2" borderId="41" xfId="0" applyNumberFormat="1" applyFont="1" applyFill="1" applyBorder="1" applyAlignment="1">
      <alignment horizontal="center" vertical="center" textRotation="90" wrapText="1"/>
    </xf>
    <xf numFmtId="1" fontId="9" fillId="2" borderId="5" xfId="0" applyNumberFormat="1" applyFont="1" applyFill="1" applyBorder="1" applyAlignment="1">
      <alignment horizontal="center" vertical="center" textRotation="90" wrapText="1"/>
    </xf>
    <xf numFmtId="1" fontId="9" fillId="2" borderId="34" xfId="0" applyNumberFormat="1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9" fillId="0" borderId="3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textRotation="90" wrapText="1"/>
    </xf>
    <xf numFmtId="0" fontId="13" fillId="0" borderId="17" xfId="0" applyFont="1" applyBorder="1" applyAlignment="1">
      <alignment horizontal="center" vertical="center" textRotation="90" wrapText="1"/>
    </xf>
    <xf numFmtId="1" fontId="9" fillId="2" borderId="36" xfId="0" applyNumberFormat="1" applyFont="1" applyFill="1" applyBorder="1" applyAlignment="1">
      <alignment horizontal="center" vertical="center"/>
    </xf>
    <xf numFmtId="1" fontId="9" fillId="2" borderId="38" xfId="0" applyNumberFormat="1" applyFont="1" applyFill="1" applyBorder="1" applyAlignment="1">
      <alignment horizontal="center" vertical="center"/>
    </xf>
    <xf numFmtId="1" fontId="9" fillId="2" borderId="37" xfId="0" applyNumberFormat="1" applyFont="1" applyFill="1" applyBorder="1" applyAlignment="1">
      <alignment horizontal="center" vertical="center" textRotation="90" wrapText="1"/>
    </xf>
    <xf numFmtId="1" fontId="9" fillId="2" borderId="42" xfId="0" applyNumberFormat="1" applyFont="1" applyFill="1" applyBorder="1" applyAlignment="1">
      <alignment horizontal="center" vertical="center"/>
    </xf>
    <xf numFmtId="1" fontId="9" fillId="2" borderId="43" xfId="0" applyNumberFormat="1" applyFont="1" applyFill="1" applyBorder="1" applyAlignment="1">
      <alignment horizontal="center" vertical="center"/>
    </xf>
    <xf numFmtId="169" fontId="22" fillId="0" borderId="42" xfId="0" applyNumberFormat="1" applyFont="1" applyBorder="1" applyAlignment="1" applyProtection="1">
      <alignment horizontal="center" vertical="center"/>
      <protection locked="0"/>
    </xf>
    <xf numFmtId="169" fontId="22" fillId="0" borderId="38" xfId="0" applyNumberFormat="1" applyFont="1" applyBorder="1" applyAlignment="1" applyProtection="1">
      <alignment horizontal="center" vertical="center"/>
      <protection locked="0"/>
    </xf>
    <xf numFmtId="169" fontId="22" fillId="0" borderId="43" xfId="0" applyNumberFormat="1" applyFont="1" applyBorder="1" applyAlignment="1" applyProtection="1">
      <alignment horizontal="center" vertical="center"/>
      <protection locked="0"/>
    </xf>
    <xf numFmtId="169" fontId="23" fillId="0" borderId="42" xfId="0" applyNumberFormat="1" applyFont="1" applyBorder="1" applyAlignment="1" applyProtection="1">
      <alignment horizontal="center" vertical="center"/>
      <protection locked="0"/>
    </xf>
    <xf numFmtId="169" fontId="23" fillId="0" borderId="38" xfId="0" applyNumberFormat="1" applyFont="1" applyBorder="1" applyAlignment="1" applyProtection="1">
      <alignment horizontal="center" vertical="center"/>
      <protection locked="0"/>
    </xf>
    <xf numFmtId="169" fontId="23" fillId="0" borderId="43" xfId="0" applyNumberFormat="1" applyFont="1" applyBorder="1" applyAlignment="1" applyProtection="1">
      <alignment horizontal="center" vertical="center"/>
      <protection locked="0"/>
    </xf>
    <xf numFmtId="1" fontId="9" fillId="2" borderId="14" xfId="0" applyNumberFormat="1" applyFont="1" applyFill="1" applyBorder="1" applyAlignment="1">
      <alignment horizontal="center" vertical="center"/>
    </xf>
    <xf numFmtId="1" fontId="9" fillId="2" borderId="19" xfId="0" applyNumberFormat="1" applyFont="1" applyFill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 2" xfId="2" xr:uid="{3AC0D7B6-CA3D-4E02-B5FC-C79982754A2A}"/>
    <cellStyle name="Normal 2 2" xfId="3" xr:uid="{12C9DD7B-5DCF-4D51-94CB-21C73A272A86}"/>
  </cellStyles>
  <dxfs count="0"/>
  <tableStyles count="0" defaultTableStyle="TableStyleMedium2" defaultPivotStyle="PivotStyleLight16"/>
  <colors>
    <mruColors>
      <color rgb="FF0000FF"/>
      <color rgb="FFC0C0C0"/>
      <color rgb="FFCCFFFF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CurrentJobs/ODOT/J20180414.000%20-%20MED-252-3.95/home/matt_philips/_Excel/17076%20Table%20of%20Contents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04"/>
  <sheetViews>
    <sheetView tabSelected="1" zoomScale="85" zoomScaleNormal="85" workbookViewId="0">
      <pane xSplit="9" ySplit="8" topLeftCell="J9" activePane="bottomRight" state="frozen"/>
      <selection pane="topRight" activeCell="J1" sqref="J1"/>
      <selection pane="bottomLeft" activeCell="A9" sqref="A9"/>
      <selection pane="bottomRight" activeCell="C1" sqref="C1"/>
    </sheetView>
  </sheetViews>
  <sheetFormatPr defaultColWidth="9.140625" defaultRowHeight="12.75" x14ac:dyDescent="0.2"/>
  <cols>
    <col min="1" max="1" width="9.140625" style="6"/>
    <col min="2" max="2" width="67.28515625" style="6" bestFit="1" customWidth="1"/>
    <col min="3" max="4" width="13.28515625" style="11" customWidth="1"/>
    <col min="5" max="7" width="10.28515625" style="11" customWidth="1"/>
    <col min="8" max="8" width="11.7109375" style="19" customWidth="1"/>
    <col min="9" max="9" width="11.7109375" style="11" customWidth="1"/>
    <col min="10" max="10" width="2.7109375" style="6" customWidth="1"/>
    <col min="11" max="21" width="12.7109375" style="61" customWidth="1"/>
    <col min="22" max="31" width="12.7109375" style="6" customWidth="1"/>
    <col min="32" max="41" width="12.7109375" style="10" customWidth="1"/>
    <col min="42" max="42" width="12.7109375" style="63" customWidth="1"/>
    <col min="43" max="43" width="2.7109375" style="6" customWidth="1"/>
    <col min="44" max="44" width="5.140625" style="6" bestFit="1" customWidth="1"/>
    <col min="45" max="45" width="14.5703125" style="17" bestFit="1" customWidth="1"/>
    <col min="46" max="46" width="10.7109375" style="7" customWidth="1"/>
    <col min="47" max="49" width="14.42578125" style="6" customWidth="1"/>
    <col min="50" max="51" width="10.7109375" style="6" customWidth="1"/>
    <col min="52" max="16384" width="9.140625" style="6"/>
  </cols>
  <sheetData>
    <row r="1" spans="1:49" s="16" customFormat="1" ht="30" customHeight="1" x14ac:dyDescent="0.2">
      <c r="B1" s="11" t="s">
        <v>107</v>
      </c>
      <c r="C1" s="11" t="s">
        <v>108</v>
      </c>
      <c r="D1" s="11" t="s">
        <v>109</v>
      </c>
      <c r="F1" s="121"/>
      <c r="G1" s="121"/>
      <c r="H1" s="121"/>
      <c r="I1" s="121"/>
      <c r="J1" s="22"/>
      <c r="K1" s="53" t="s">
        <v>38</v>
      </c>
      <c r="L1" s="53" t="s">
        <v>38</v>
      </c>
      <c r="M1" s="53" t="s">
        <v>38</v>
      </c>
      <c r="N1" s="53" t="s">
        <v>39</v>
      </c>
      <c r="O1" s="53" t="s">
        <v>40</v>
      </c>
      <c r="P1" s="53" t="s">
        <v>28</v>
      </c>
      <c r="Q1" s="53" t="s">
        <v>29</v>
      </c>
      <c r="R1" s="53" t="s">
        <v>29</v>
      </c>
      <c r="S1" s="53" t="s">
        <v>29</v>
      </c>
      <c r="T1" s="53" t="s">
        <v>35</v>
      </c>
      <c r="U1" s="53" t="s">
        <v>35</v>
      </c>
      <c r="V1" s="22" t="s">
        <v>19</v>
      </c>
      <c r="W1" s="22" t="s">
        <v>19</v>
      </c>
      <c r="X1" s="53" t="s">
        <v>34</v>
      </c>
      <c r="Y1" s="53" t="s">
        <v>20</v>
      </c>
      <c r="Z1" s="53" t="s">
        <v>49</v>
      </c>
      <c r="AA1" s="53" t="s">
        <v>50</v>
      </c>
      <c r="AB1" s="53" t="s">
        <v>50</v>
      </c>
      <c r="AC1" s="53" t="s">
        <v>21</v>
      </c>
      <c r="AD1" s="53"/>
      <c r="AE1" s="53" t="s">
        <v>21</v>
      </c>
      <c r="AF1" s="53" t="s">
        <v>26</v>
      </c>
      <c r="AG1" s="53" t="s">
        <v>52</v>
      </c>
      <c r="AH1" s="89" t="s">
        <v>53</v>
      </c>
      <c r="AI1" s="53" t="s">
        <v>54</v>
      </c>
      <c r="AJ1" s="53" t="s">
        <v>55</v>
      </c>
      <c r="AK1" s="53" t="s">
        <v>98</v>
      </c>
      <c r="AL1" s="53" t="s">
        <v>99</v>
      </c>
      <c r="AM1" s="53" t="s">
        <v>56</v>
      </c>
      <c r="AN1" s="53" t="s">
        <v>57</v>
      </c>
      <c r="AO1" s="53" t="s">
        <v>58</v>
      </c>
      <c r="AP1" s="53" t="s">
        <v>30</v>
      </c>
      <c r="AQ1" s="22"/>
      <c r="AR1" s="3"/>
      <c r="AS1" s="3"/>
      <c r="AT1" s="90"/>
    </row>
    <row r="2" spans="1:49" s="101" customFormat="1" ht="30" customHeight="1" x14ac:dyDescent="0.2">
      <c r="B2" s="102"/>
      <c r="C2" s="98"/>
      <c r="D2" s="98"/>
      <c r="E2" s="98"/>
      <c r="F2" s="99"/>
      <c r="G2" s="109"/>
      <c r="H2" s="109"/>
      <c r="I2" s="108" t="s">
        <v>41</v>
      </c>
      <c r="J2" s="103"/>
      <c r="K2" s="104" t="s">
        <v>42</v>
      </c>
      <c r="L2" s="104" t="s">
        <v>43</v>
      </c>
      <c r="M2" s="104" t="s">
        <v>44</v>
      </c>
      <c r="N2" s="104"/>
      <c r="O2" s="104"/>
      <c r="P2" s="104"/>
      <c r="Q2" s="104"/>
      <c r="R2" s="104"/>
      <c r="S2" s="104" t="s">
        <v>45</v>
      </c>
      <c r="T2" s="100"/>
      <c r="U2" s="100"/>
      <c r="V2" s="103"/>
      <c r="W2" s="103"/>
      <c r="X2" s="100" t="s">
        <v>46</v>
      </c>
      <c r="Y2" s="100" t="s">
        <v>47</v>
      </c>
      <c r="Z2" s="100"/>
      <c r="AA2" s="100"/>
      <c r="AB2" s="100"/>
      <c r="AC2" s="100"/>
      <c r="AD2" s="100"/>
      <c r="AE2" s="100"/>
      <c r="AF2" s="100"/>
      <c r="AG2" s="100"/>
      <c r="AH2" s="105"/>
      <c r="AI2" s="100"/>
      <c r="AJ2" s="100"/>
      <c r="AK2" s="100"/>
      <c r="AL2" s="100"/>
      <c r="AM2" s="100"/>
      <c r="AN2" s="100"/>
      <c r="AO2" s="100"/>
      <c r="AP2" s="100"/>
      <c r="AQ2" s="103"/>
      <c r="AR2" s="106"/>
      <c r="AS2" s="106"/>
      <c r="AT2" s="107"/>
    </row>
    <row r="3" spans="1:49" s="16" customFormat="1" ht="28.5" customHeight="1" thickBot="1" x14ac:dyDescent="0.25">
      <c r="B3" s="13"/>
      <c r="C3" s="91"/>
      <c r="D3" s="18"/>
      <c r="E3" s="18"/>
      <c r="F3" s="18"/>
      <c r="G3" s="18"/>
      <c r="H3" s="18"/>
      <c r="I3" s="18"/>
      <c r="J3" s="90"/>
      <c r="K3" s="90"/>
      <c r="L3" s="90"/>
      <c r="M3" s="90"/>
      <c r="N3" s="90"/>
      <c r="O3" s="90"/>
      <c r="P3" s="90"/>
      <c r="Q3" s="12">
        <v>6</v>
      </c>
      <c r="R3" s="12">
        <v>12</v>
      </c>
      <c r="S3" s="12">
        <v>6</v>
      </c>
      <c r="T3" s="12">
        <v>12</v>
      </c>
      <c r="U3" s="12">
        <v>6</v>
      </c>
      <c r="V3" s="12">
        <v>2000</v>
      </c>
      <c r="W3" s="12">
        <v>2000</v>
      </c>
      <c r="X3" s="90"/>
      <c r="Y3" s="90"/>
      <c r="Z3" s="12">
        <v>7</v>
      </c>
      <c r="AA3" s="12">
        <v>4</v>
      </c>
      <c r="AB3" s="12">
        <v>6</v>
      </c>
      <c r="AC3" s="20">
        <v>5.5E-2</v>
      </c>
      <c r="AD3" s="20">
        <v>5.5E-2</v>
      </c>
      <c r="AE3" s="20">
        <v>8.5000000000000006E-2</v>
      </c>
      <c r="AF3" s="12">
        <v>0.4</v>
      </c>
      <c r="AG3" s="12">
        <v>1.5</v>
      </c>
      <c r="AH3" s="12">
        <v>1.5</v>
      </c>
      <c r="AI3" s="12"/>
      <c r="AJ3" s="12"/>
      <c r="AK3" s="12"/>
      <c r="AL3" s="12"/>
      <c r="AM3" s="12"/>
      <c r="AN3" s="12"/>
      <c r="AO3" s="12">
        <v>1</v>
      </c>
      <c r="AP3" s="12">
        <v>30</v>
      </c>
      <c r="AQ3" s="12"/>
      <c r="AT3" s="90"/>
    </row>
    <row r="4" spans="1:49" s="2" customFormat="1" ht="17.45" customHeight="1" x14ac:dyDescent="0.2">
      <c r="B4" s="32" t="s">
        <v>7</v>
      </c>
      <c r="C4" s="123" t="s">
        <v>0</v>
      </c>
      <c r="D4" s="124"/>
      <c r="E4" s="127" t="s">
        <v>3</v>
      </c>
      <c r="F4" s="127" t="s">
        <v>4</v>
      </c>
      <c r="G4" s="127" t="s">
        <v>5</v>
      </c>
      <c r="H4" s="127" t="s">
        <v>11</v>
      </c>
      <c r="I4" s="132" t="s">
        <v>13</v>
      </c>
      <c r="J4" s="26"/>
      <c r="K4" s="26" t="s">
        <v>110</v>
      </c>
      <c r="L4" s="26" t="s">
        <v>110</v>
      </c>
      <c r="M4" s="26" t="s">
        <v>110</v>
      </c>
      <c r="N4" s="26" t="s">
        <v>110</v>
      </c>
      <c r="O4" s="26" t="s">
        <v>110</v>
      </c>
      <c r="P4" s="26" t="s">
        <v>111</v>
      </c>
      <c r="Q4" s="115" t="s">
        <v>111</v>
      </c>
      <c r="R4" s="116"/>
      <c r="S4" s="26" t="s">
        <v>111</v>
      </c>
      <c r="T4" s="115" t="s">
        <v>111</v>
      </c>
      <c r="U4" s="116"/>
      <c r="V4" s="115" t="s">
        <v>111</v>
      </c>
      <c r="W4" s="116"/>
      <c r="X4" s="26" t="s">
        <v>111</v>
      </c>
      <c r="Y4" s="26" t="s">
        <v>112</v>
      </c>
      <c r="Z4" s="26" t="s">
        <v>113</v>
      </c>
      <c r="AA4" s="115" t="s">
        <v>114</v>
      </c>
      <c r="AB4" s="116"/>
      <c r="AC4" s="115" t="s">
        <v>115</v>
      </c>
      <c r="AD4" s="134"/>
      <c r="AE4" s="116"/>
      <c r="AF4" s="26" t="s">
        <v>116</v>
      </c>
      <c r="AG4" s="26" t="s">
        <v>117</v>
      </c>
      <c r="AH4" s="26" t="s">
        <v>117</v>
      </c>
      <c r="AI4" s="26" t="s">
        <v>118</v>
      </c>
      <c r="AJ4" s="26" t="s">
        <v>119</v>
      </c>
      <c r="AK4" s="26" t="s">
        <v>120</v>
      </c>
      <c r="AL4" s="26" t="s">
        <v>120</v>
      </c>
      <c r="AM4" s="26" t="s">
        <v>121</v>
      </c>
      <c r="AN4" s="26" t="s">
        <v>121</v>
      </c>
      <c r="AO4" s="26" t="s">
        <v>122</v>
      </c>
      <c r="AP4" s="94" t="s">
        <v>36</v>
      </c>
      <c r="AQ4" s="27"/>
      <c r="AR4" s="1"/>
      <c r="AS4" s="92"/>
      <c r="AT4" s="1"/>
      <c r="AU4" s="1"/>
      <c r="AV4" s="1"/>
      <c r="AW4" s="1"/>
    </row>
    <row r="5" spans="1:49" s="14" customFormat="1" ht="186.75" customHeight="1" thickBot="1" x14ac:dyDescent="0.25">
      <c r="A5" s="2"/>
      <c r="B5" s="145" t="s">
        <v>8</v>
      </c>
      <c r="C5" s="125"/>
      <c r="D5" s="126"/>
      <c r="E5" s="128"/>
      <c r="F5" s="128"/>
      <c r="G5" s="128"/>
      <c r="H5" s="128"/>
      <c r="I5" s="133"/>
      <c r="J5" s="28"/>
      <c r="K5" s="28" t="s">
        <v>123</v>
      </c>
      <c r="L5" s="28" t="s">
        <v>124</v>
      </c>
      <c r="M5" s="28" t="s">
        <v>125</v>
      </c>
      <c r="N5" s="28" t="s">
        <v>126</v>
      </c>
      <c r="O5" s="28" t="s">
        <v>127</v>
      </c>
      <c r="P5" s="28" t="s">
        <v>128</v>
      </c>
      <c r="Q5" s="117" t="s">
        <v>129</v>
      </c>
      <c r="R5" s="118"/>
      <c r="S5" s="28" t="s">
        <v>130</v>
      </c>
      <c r="T5" s="117" t="s">
        <v>131</v>
      </c>
      <c r="U5" s="118" t="s">
        <v>131</v>
      </c>
      <c r="V5" s="117" t="s">
        <v>132</v>
      </c>
      <c r="W5" s="118"/>
      <c r="X5" s="28" t="s">
        <v>133</v>
      </c>
      <c r="Y5" s="28" t="s">
        <v>134</v>
      </c>
      <c r="Z5" s="28" t="s">
        <v>135</v>
      </c>
      <c r="AA5" s="117" t="s">
        <v>136</v>
      </c>
      <c r="AB5" s="118"/>
      <c r="AC5" s="117" t="s">
        <v>137</v>
      </c>
      <c r="AD5" s="136"/>
      <c r="AE5" s="118"/>
      <c r="AF5" s="28" t="s">
        <v>138</v>
      </c>
      <c r="AG5" s="28" t="s">
        <v>139</v>
      </c>
      <c r="AH5" s="28" t="s">
        <v>140</v>
      </c>
      <c r="AI5" s="28" t="s">
        <v>141</v>
      </c>
      <c r="AJ5" s="28" t="s">
        <v>142</v>
      </c>
      <c r="AK5" s="28" t="s">
        <v>143</v>
      </c>
      <c r="AL5" s="28" t="s">
        <v>144</v>
      </c>
      <c r="AM5" s="28" t="s">
        <v>145</v>
      </c>
      <c r="AN5" s="28" t="s">
        <v>146</v>
      </c>
      <c r="AO5" s="28" t="s">
        <v>147</v>
      </c>
      <c r="AP5" s="95" t="s">
        <v>37</v>
      </c>
      <c r="AQ5" s="29"/>
      <c r="AR5" s="15"/>
      <c r="AS5" s="93"/>
      <c r="AT5" s="15"/>
      <c r="AU5" s="15"/>
      <c r="AV5" s="15"/>
      <c r="AW5" s="15"/>
    </row>
    <row r="6" spans="1:49" s="5" customFormat="1" ht="17.45" customHeight="1" thickBot="1" x14ac:dyDescent="0.25">
      <c r="B6" s="146"/>
      <c r="C6" s="23" t="s">
        <v>2</v>
      </c>
      <c r="D6" s="24" t="s">
        <v>1</v>
      </c>
      <c r="E6" s="24"/>
      <c r="F6" s="24" t="s">
        <v>9</v>
      </c>
      <c r="G6" s="24" t="s">
        <v>9</v>
      </c>
      <c r="H6" s="24" t="s">
        <v>10</v>
      </c>
      <c r="I6" s="25" t="s">
        <v>10</v>
      </c>
      <c r="J6" s="30"/>
      <c r="K6" s="30" t="s">
        <v>148</v>
      </c>
      <c r="L6" s="30" t="s">
        <v>148</v>
      </c>
      <c r="M6" s="30" t="s">
        <v>148</v>
      </c>
      <c r="N6" s="30" t="s">
        <v>10</v>
      </c>
      <c r="O6" s="30" t="s">
        <v>9</v>
      </c>
      <c r="P6" s="30" t="s">
        <v>148</v>
      </c>
      <c r="Q6" s="119" t="s">
        <v>149</v>
      </c>
      <c r="R6" s="120"/>
      <c r="S6" s="30" t="s">
        <v>149</v>
      </c>
      <c r="T6" s="119" t="s">
        <v>149</v>
      </c>
      <c r="U6" s="120"/>
      <c r="V6" s="119" t="s">
        <v>150</v>
      </c>
      <c r="W6" s="120"/>
      <c r="X6" s="30" t="s">
        <v>148</v>
      </c>
      <c r="Y6" s="30" t="s">
        <v>148</v>
      </c>
      <c r="Z6" s="30" t="s">
        <v>149</v>
      </c>
      <c r="AA6" s="119" t="s">
        <v>149</v>
      </c>
      <c r="AB6" s="120"/>
      <c r="AC6" s="119" t="s">
        <v>151</v>
      </c>
      <c r="AD6" s="135"/>
      <c r="AE6" s="120"/>
      <c r="AF6" s="30" t="s">
        <v>151</v>
      </c>
      <c r="AG6" s="30" t="s">
        <v>149</v>
      </c>
      <c r="AH6" s="30" t="s">
        <v>149</v>
      </c>
      <c r="AI6" s="30" t="s">
        <v>148</v>
      </c>
      <c r="AJ6" s="30" t="s">
        <v>148</v>
      </c>
      <c r="AK6" s="30" t="s">
        <v>10</v>
      </c>
      <c r="AL6" s="30" t="s">
        <v>10</v>
      </c>
      <c r="AM6" s="30" t="s">
        <v>9</v>
      </c>
      <c r="AN6" s="30" t="s">
        <v>9</v>
      </c>
      <c r="AO6" s="30" t="s">
        <v>149</v>
      </c>
      <c r="AP6" s="30" t="s">
        <v>148</v>
      </c>
      <c r="AQ6" s="31"/>
      <c r="AR6" s="4"/>
      <c r="AS6" s="92"/>
      <c r="AT6" s="4"/>
      <c r="AU6" s="4"/>
      <c r="AV6" s="4"/>
      <c r="AW6" s="4"/>
    </row>
    <row r="7" spans="1:49" s="9" customFormat="1" ht="17.45" customHeight="1" x14ac:dyDescent="0.2">
      <c r="B7" s="146"/>
      <c r="C7" s="45"/>
      <c r="D7" s="46"/>
      <c r="E7" s="46"/>
      <c r="F7" s="46"/>
      <c r="G7" s="46"/>
      <c r="H7" s="47" t="s">
        <v>12</v>
      </c>
      <c r="I7" s="48"/>
      <c r="J7" s="39"/>
      <c r="K7" s="40" t="s">
        <v>15</v>
      </c>
      <c r="L7" s="40" t="s">
        <v>15</v>
      </c>
      <c r="M7" s="40" t="s">
        <v>15</v>
      </c>
      <c r="N7" s="96" t="s">
        <v>15</v>
      </c>
      <c r="O7" s="96" t="s">
        <v>24</v>
      </c>
      <c r="P7" s="40" t="s">
        <v>15</v>
      </c>
      <c r="Q7" s="39" t="s">
        <v>17</v>
      </c>
      <c r="R7" s="39" t="s">
        <v>18</v>
      </c>
      <c r="S7" s="39" t="s">
        <v>17</v>
      </c>
      <c r="T7" s="39" t="s">
        <v>18</v>
      </c>
      <c r="U7" s="39" t="s">
        <v>17</v>
      </c>
      <c r="V7" s="40" t="s">
        <v>32</v>
      </c>
      <c r="W7" s="40" t="s">
        <v>81</v>
      </c>
      <c r="X7" s="40" t="s">
        <v>15</v>
      </c>
      <c r="Y7" s="40" t="s">
        <v>15</v>
      </c>
      <c r="Z7" s="39" t="s">
        <v>48</v>
      </c>
      <c r="AA7" s="39" t="s">
        <v>23</v>
      </c>
      <c r="AB7" s="39" t="s">
        <v>17</v>
      </c>
      <c r="AC7" s="39" t="s">
        <v>65</v>
      </c>
      <c r="AD7" s="39" t="s">
        <v>51</v>
      </c>
      <c r="AE7" s="39" t="s">
        <v>22</v>
      </c>
      <c r="AF7" s="39" t="s">
        <v>27</v>
      </c>
      <c r="AG7" s="39" t="s">
        <v>25</v>
      </c>
      <c r="AH7" s="39" t="s">
        <v>25</v>
      </c>
      <c r="AI7" s="40" t="s">
        <v>15</v>
      </c>
      <c r="AJ7" s="40" t="s">
        <v>15</v>
      </c>
      <c r="AK7" s="39" t="s">
        <v>15</v>
      </c>
      <c r="AL7" s="39" t="s">
        <v>15</v>
      </c>
      <c r="AM7" s="39" t="s">
        <v>24</v>
      </c>
      <c r="AN7" s="39" t="s">
        <v>24</v>
      </c>
      <c r="AO7" s="39" t="s">
        <v>59</v>
      </c>
      <c r="AP7" s="40" t="s">
        <v>31</v>
      </c>
      <c r="AQ7" s="39"/>
      <c r="AR7" s="8"/>
      <c r="AS7" s="83"/>
      <c r="AT7" s="8"/>
      <c r="AU7" s="8"/>
      <c r="AV7" s="8"/>
      <c r="AW7" s="8"/>
    </row>
    <row r="8" spans="1:49" s="9" customFormat="1" ht="17.45" customHeight="1" thickBot="1" x14ac:dyDescent="0.25">
      <c r="B8" s="146"/>
      <c r="C8" s="49"/>
      <c r="D8" s="50"/>
      <c r="E8" s="50"/>
      <c r="F8" s="50"/>
      <c r="G8" s="50"/>
      <c r="H8" s="51"/>
      <c r="I8" s="52"/>
      <c r="J8" s="42"/>
      <c r="K8" s="43">
        <v>9</v>
      </c>
      <c r="L8" s="43">
        <v>9</v>
      </c>
      <c r="M8" s="43">
        <v>9</v>
      </c>
      <c r="N8" s="97"/>
      <c r="O8" s="97"/>
      <c r="P8" s="43">
        <v>9</v>
      </c>
      <c r="Q8" s="44" t="s">
        <v>16</v>
      </c>
      <c r="R8" s="44" t="s">
        <v>16</v>
      </c>
      <c r="S8" s="44" t="s">
        <v>16</v>
      </c>
      <c r="T8" s="44" t="s">
        <v>16</v>
      </c>
      <c r="U8" s="44" t="s">
        <v>16</v>
      </c>
      <c r="V8" s="43">
        <v>2000</v>
      </c>
      <c r="W8" s="43">
        <v>2000</v>
      </c>
      <c r="X8" s="43">
        <v>9</v>
      </c>
      <c r="Y8" s="43">
        <v>9</v>
      </c>
      <c r="Z8" s="44" t="s">
        <v>16</v>
      </c>
      <c r="AA8" s="44" t="s">
        <v>16</v>
      </c>
      <c r="AB8" s="44" t="s">
        <v>16</v>
      </c>
      <c r="AC8" s="43">
        <v>9</v>
      </c>
      <c r="AD8" s="43">
        <v>9</v>
      </c>
      <c r="AE8" s="43">
        <v>9</v>
      </c>
      <c r="AF8" s="43">
        <v>9</v>
      </c>
      <c r="AG8" s="44" t="s">
        <v>16</v>
      </c>
      <c r="AH8" s="44" t="s">
        <v>16</v>
      </c>
      <c r="AI8" s="43">
        <v>9</v>
      </c>
      <c r="AJ8" s="43">
        <v>9</v>
      </c>
      <c r="AK8" s="54"/>
      <c r="AL8" s="54"/>
      <c r="AM8" s="54"/>
      <c r="AN8" s="54"/>
      <c r="AO8" s="44" t="s">
        <v>16</v>
      </c>
      <c r="AP8" s="43" t="s">
        <v>33</v>
      </c>
      <c r="AQ8" s="42"/>
      <c r="AR8" s="8"/>
      <c r="AS8" s="83"/>
      <c r="AT8" s="8"/>
      <c r="AU8" s="8"/>
      <c r="AV8" s="8"/>
      <c r="AW8" s="8"/>
    </row>
    <row r="9" spans="1:49" s="68" customFormat="1" ht="17.45" customHeight="1" x14ac:dyDescent="0.2">
      <c r="B9" s="65"/>
      <c r="C9" s="35"/>
      <c r="D9" s="36"/>
      <c r="E9" s="36"/>
      <c r="F9" s="37"/>
      <c r="G9" s="38"/>
      <c r="H9" s="37"/>
      <c r="I9" s="72"/>
      <c r="J9" s="64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110"/>
      <c r="AR9" s="66"/>
      <c r="AS9" s="67"/>
      <c r="AT9" s="66"/>
      <c r="AU9" s="66"/>
      <c r="AV9" s="66"/>
      <c r="AW9" s="66"/>
    </row>
    <row r="10" spans="1:49" s="9" customFormat="1" ht="17.45" customHeight="1" x14ac:dyDescent="0.2">
      <c r="B10" s="56"/>
      <c r="C10" s="129" t="s">
        <v>60</v>
      </c>
      <c r="D10" s="130"/>
      <c r="E10" s="130"/>
      <c r="F10" s="130"/>
      <c r="G10" s="130"/>
      <c r="H10" s="130"/>
      <c r="I10" s="131"/>
      <c r="J10" s="55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4"/>
      <c r="AR10" s="8"/>
      <c r="AS10" s="83"/>
      <c r="AT10" s="8"/>
      <c r="AU10" s="8"/>
      <c r="AV10" s="8"/>
      <c r="AW10" s="8"/>
    </row>
    <row r="11" spans="1:49" s="68" customFormat="1" ht="17.45" customHeight="1" x14ac:dyDescent="0.2">
      <c r="B11" s="56" t="s">
        <v>73</v>
      </c>
      <c r="C11" s="35">
        <v>300</v>
      </c>
      <c r="D11" s="36">
        <v>607.67999999999995</v>
      </c>
      <c r="E11" s="36" t="s">
        <v>61</v>
      </c>
      <c r="F11" s="37">
        <f>D11-C11</f>
        <v>307.67999999999995</v>
      </c>
      <c r="G11" s="38">
        <v>10</v>
      </c>
      <c r="H11" s="37">
        <f>ROUND(F11*G11,2)</f>
        <v>3076.8</v>
      </c>
      <c r="I11" s="72"/>
      <c r="J11" s="69"/>
      <c r="K11" s="33"/>
      <c r="L11" s="33"/>
      <c r="M11" s="33">
        <f>ROUND(H11/9,2)</f>
        <v>341.87</v>
      </c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4"/>
      <c r="AR11" s="66"/>
      <c r="AS11" s="67"/>
      <c r="AT11" s="66"/>
      <c r="AU11" s="66"/>
      <c r="AV11" s="66"/>
      <c r="AW11" s="66"/>
    </row>
    <row r="12" spans="1:49" s="68" customFormat="1" ht="17.45" customHeight="1" x14ac:dyDescent="0.2">
      <c r="B12" s="56" t="s">
        <v>73</v>
      </c>
      <c r="C12" s="35">
        <v>607.67999999999995</v>
      </c>
      <c r="D12" s="36">
        <v>1140</v>
      </c>
      <c r="E12" s="36" t="s">
        <v>62</v>
      </c>
      <c r="F12" s="37">
        <f t="shared" ref="F12:F14" si="0">D12-C12</f>
        <v>532.32000000000005</v>
      </c>
      <c r="G12" s="38">
        <v>20</v>
      </c>
      <c r="H12" s="37">
        <f t="shared" ref="H12:H15" si="1">ROUND(F12*G12,2)</f>
        <v>10646.4</v>
      </c>
      <c r="I12" s="72"/>
      <c r="J12" s="69"/>
      <c r="K12" s="33"/>
      <c r="L12" s="33"/>
      <c r="M12" s="33">
        <f>ROUND(H12/9,2)</f>
        <v>1182.93</v>
      </c>
      <c r="N12" s="33"/>
      <c r="O12" s="33">
        <v>98.64</v>
      </c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4"/>
      <c r="AR12" s="66"/>
      <c r="AS12" s="67"/>
      <c r="AT12" s="66"/>
      <c r="AU12" s="66"/>
      <c r="AV12" s="66"/>
      <c r="AW12" s="66"/>
    </row>
    <row r="13" spans="1:49" s="68" customFormat="1" ht="17.45" customHeight="1" x14ac:dyDescent="0.2">
      <c r="B13" s="56" t="s">
        <v>74</v>
      </c>
      <c r="C13" s="35">
        <v>607.67999999999995</v>
      </c>
      <c r="D13" s="36">
        <v>1140</v>
      </c>
      <c r="E13" s="36" t="s">
        <v>63</v>
      </c>
      <c r="F13" s="37">
        <f t="shared" si="0"/>
        <v>532.32000000000005</v>
      </c>
      <c r="G13" s="38">
        <v>16</v>
      </c>
      <c r="H13" s="37">
        <f t="shared" si="1"/>
        <v>8517.1200000000008</v>
      </c>
      <c r="I13" s="72"/>
      <c r="J13" s="69"/>
      <c r="K13" s="33"/>
      <c r="L13" s="33">
        <f>ROUND(H13/9,2)</f>
        <v>946.35</v>
      </c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4"/>
      <c r="AR13" s="66"/>
      <c r="AS13" s="67"/>
      <c r="AT13" s="66"/>
      <c r="AU13" s="66"/>
      <c r="AV13" s="66"/>
      <c r="AW13" s="66"/>
    </row>
    <row r="14" spans="1:49" s="68" customFormat="1" ht="17.45" customHeight="1" x14ac:dyDescent="0.2">
      <c r="B14" s="56" t="s">
        <v>75</v>
      </c>
      <c r="C14" s="35">
        <v>1140</v>
      </c>
      <c r="D14" s="36">
        <v>1590</v>
      </c>
      <c r="E14" s="36" t="s">
        <v>62</v>
      </c>
      <c r="F14" s="37">
        <f t="shared" si="0"/>
        <v>450</v>
      </c>
      <c r="G14" s="38"/>
      <c r="H14" s="37">
        <f t="shared" si="1"/>
        <v>0</v>
      </c>
      <c r="I14" s="72">
        <f>37435.13-9054.37</f>
        <v>28380.759999999995</v>
      </c>
      <c r="J14" s="69"/>
      <c r="K14" s="33">
        <f>ROUND(I14/9,2)</f>
        <v>3153.42</v>
      </c>
      <c r="L14" s="33"/>
      <c r="M14" s="33"/>
      <c r="N14" s="33"/>
      <c r="O14" s="33">
        <v>1679.36</v>
      </c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4"/>
      <c r="AR14" s="66"/>
      <c r="AS14" s="67"/>
      <c r="AT14" s="66"/>
      <c r="AU14" s="66"/>
      <c r="AV14" s="66"/>
      <c r="AW14" s="66"/>
    </row>
    <row r="15" spans="1:49" s="68" customFormat="1" ht="17.45" customHeight="1" x14ac:dyDescent="0.2">
      <c r="B15" s="56" t="s">
        <v>76</v>
      </c>
      <c r="C15" s="35">
        <v>1027</v>
      </c>
      <c r="D15" s="36">
        <v>1545</v>
      </c>
      <c r="E15" s="36" t="s">
        <v>61</v>
      </c>
      <c r="F15" s="37"/>
      <c r="G15" s="38"/>
      <c r="H15" s="37">
        <f t="shared" si="1"/>
        <v>0</v>
      </c>
      <c r="I15" s="72">
        <f>20280.54-6567.31</f>
        <v>13713.23</v>
      </c>
      <c r="J15" s="69"/>
      <c r="K15" s="33"/>
      <c r="L15" s="33"/>
      <c r="M15" s="33"/>
      <c r="N15" s="33">
        <f>I15</f>
        <v>13713.23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4"/>
      <c r="AR15" s="66"/>
      <c r="AS15" s="67"/>
      <c r="AT15" s="66"/>
      <c r="AU15" s="66"/>
      <c r="AV15" s="66"/>
      <c r="AW15" s="66"/>
    </row>
    <row r="16" spans="1:49" s="68" customFormat="1" ht="17.45" customHeight="1" x14ac:dyDescent="0.2">
      <c r="B16" s="56" t="s">
        <v>77</v>
      </c>
      <c r="C16" s="35">
        <v>1140</v>
      </c>
      <c r="D16" s="36">
        <v>2276.8200000000002</v>
      </c>
      <c r="E16" s="36" t="s">
        <v>62</v>
      </c>
      <c r="F16" s="37">
        <f t="shared" ref="F16:F17" si="2">D16-C16</f>
        <v>1136.8200000000002</v>
      </c>
      <c r="G16" s="38">
        <v>24</v>
      </c>
      <c r="H16" s="37">
        <f t="shared" ref="H16:H17" si="3">ROUND(F16*G16,2)</f>
        <v>27283.68</v>
      </c>
      <c r="I16" s="72"/>
      <c r="J16" s="69"/>
      <c r="K16" s="33"/>
      <c r="L16" s="33"/>
      <c r="M16" s="33">
        <f>ROUND(H16/9,2)</f>
        <v>3031.52</v>
      </c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4"/>
      <c r="AR16" s="66"/>
      <c r="AS16" s="67"/>
      <c r="AT16" s="66"/>
      <c r="AU16" s="66"/>
      <c r="AV16" s="66"/>
      <c r="AW16" s="66"/>
    </row>
    <row r="17" spans="2:49" s="68" customFormat="1" ht="17.45" customHeight="1" x14ac:dyDescent="0.2">
      <c r="B17" s="56" t="s">
        <v>78</v>
      </c>
      <c r="C17" s="35">
        <v>1140</v>
      </c>
      <c r="D17" s="36">
        <v>2276.8200000000002</v>
      </c>
      <c r="E17" s="36" t="s">
        <v>63</v>
      </c>
      <c r="F17" s="37">
        <f t="shared" si="2"/>
        <v>1136.8200000000002</v>
      </c>
      <c r="G17" s="38">
        <v>12</v>
      </c>
      <c r="H17" s="37">
        <f t="shared" si="3"/>
        <v>13641.84</v>
      </c>
      <c r="I17" s="72"/>
      <c r="J17" s="69"/>
      <c r="K17" s="33"/>
      <c r="L17" s="33">
        <f>ROUND(H17/9,2)</f>
        <v>1515.76</v>
      </c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4"/>
      <c r="AR17" s="66"/>
      <c r="AS17" s="67"/>
      <c r="AT17" s="66"/>
      <c r="AU17" s="66"/>
      <c r="AV17" s="66"/>
      <c r="AW17" s="66"/>
    </row>
    <row r="18" spans="2:49" s="68" customFormat="1" ht="17.25" customHeight="1" x14ac:dyDescent="0.2">
      <c r="B18" s="56"/>
      <c r="C18" s="35"/>
      <c r="D18" s="36"/>
      <c r="E18" s="36"/>
      <c r="F18" s="37"/>
      <c r="G18" s="38"/>
      <c r="H18" s="37"/>
      <c r="I18" s="72"/>
      <c r="J18" s="69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4"/>
      <c r="AR18" s="66"/>
      <c r="AS18" s="67"/>
      <c r="AT18" s="66"/>
      <c r="AU18" s="66"/>
      <c r="AV18" s="66"/>
      <c r="AW18" s="66"/>
    </row>
    <row r="19" spans="2:49" s="9" customFormat="1" ht="17.25" customHeight="1" x14ac:dyDescent="0.2">
      <c r="B19" s="56"/>
      <c r="C19" s="129" t="s">
        <v>64</v>
      </c>
      <c r="D19" s="130"/>
      <c r="E19" s="130"/>
      <c r="F19" s="130"/>
      <c r="G19" s="130"/>
      <c r="H19" s="130"/>
      <c r="I19" s="131"/>
      <c r="J19" s="55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4"/>
      <c r="AR19" s="8"/>
      <c r="AS19" s="83"/>
      <c r="AT19" s="8"/>
      <c r="AU19" s="8"/>
      <c r="AV19" s="8"/>
      <c r="AW19" s="8"/>
    </row>
    <row r="20" spans="2:49" s="68" customFormat="1" ht="17.25" customHeight="1" x14ac:dyDescent="0.2">
      <c r="B20" s="56" t="s">
        <v>79</v>
      </c>
      <c r="C20" s="35">
        <v>58950</v>
      </c>
      <c r="D20" s="36">
        <v>60192.959999999999</v>
      </c>
      <c r="E20" s="36" t="s">
        <v>62</v>
      </c>
      <c r="F20" s="37">
        <f>D20-C20</f>
        <v>1242.9599999999991</v>
      </c>
      <c r="G20" s="38">
        <f>AVERAGE(12.43,38.16)</f>
        <v>25.294999999999998</v>
      </c>
      <c r="H20" s="37">
        <f>ROUND(F20*G20,2)</f>
        <v>31440.67</v>
      </c>
      <c r="I20" s="72"/>
      <c r="J20" s="69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>
        <f>ROUND(H20/9,2)</f>
        <v>3493.41</v>
      </c>
      <c r="Z20" s="33"/>
      <c r="AA20" s="33"/>
      <c r="AB20" s="33"/>
      <c r="AC20" s="33">
        <f>ROUND(H20*$AC$3/9,2)</f>
        <v>192.14</v>
      </c>
      <c r="AD20" s="33"/>
      <c r="AE20" s="33">
        <f>ROUND(H20*$AE$3/9,2)</f>
        <v>296.94</v>
      </c>
      <c r="AF20" s="33"/>
      <c r="AG20" s="33">
        <f>ROUND(H20*$AG$3/12/27,2)</f>
        <v>145.56</v>
      </c>
      <c r="AH20" s="33">
        <f>ROUND(H20*$AH$3/12/27,2)</f>
        <v>145.56</v>
      </c>
      <c r="AI20" s="33"/>
      <c r="AJ20" s="33"/>
      <c r="AK20" s="33"/>
      <c r="AL20" s="33"/>
      <c r="AM20" s="33"/>
      <c r="AN20" s="33"/>
      <c r="AO20" s="33"/>
      <c r="AP20" s="33"/>
      <c r="AQ20" s="34"/>
      <c r="AR20" s="66"/>
      <c r="AS20" s="67"/>
      <c r="AT20" s="66"/>
      <c r="AU20" s="66"/>
      <c r="AV20" s="66"/>
      <c r="AW20" s="66"/>
    </row>
    <row r="21" spans="2:49" s="68" customFormat="1" ht="17.45" customHeight="1" x14ac:dyDescent="0.2">
      <c r="B21" s="56" t="s">
        <v>80</v>
      </c>
      <c r="C21" s="35">
        <v>58950</v>
      </c>
      <c r="D21" s="36">
        <v>60192.959999999999</v>
      </c>
      <c r="E21" s="36" t="s">
        <v>62</v>
      </c>
      <c r="F21" s="37">
        <f>D21-C21</f>
        <v>1242.9599999999991</v>
      </c>
      <c r="G21" s="38">
        <v>2</v>
      </c>
      <c r="H21" s="37">
        <f>ROUND(F21*G21,2)</f>
        <v>2485.92</v>
      </c>
      <c r="I21" s="72"/>
      <c r="J21" s="69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>
        <f>ROUND(H21*$AF$3/9,2)</f>
        <v>110.49</v>
      </c>
      <c r="AG21" s="33"/>
      <c r="AH21" s="33"/>
      <c r="AI21" s="33"/>
      <c r="AJ21" s="33"/>
      <c r="AK21" s="33"/>
      <c r="AL21" s="33"/>
      <c r="AM21" s="33"/>
      <c r="AN21" s="33"/>
      <c r="AO21" s="33">
        <f>ROUND(H21*$AO$3/12/27,2)</f>
        <v>7.67</v>
      </c>
      <c r="AP21" s="33"/>
      <c r="AQ21" s="34"/>
      <c r="AR21" s="66"/>
      <c r="AS21" s="67"/>
      <c r="AT21" s="66"/>
      <c r="AU21" s="66"/>
      <c r="AV21" s="66"/>
      <c r="AW21" s="66"/>
    </row>
    <row r="22" spans="2:49" s="68" customFormat="1" ht="17.25" customHeight="1" x14ac:dyDescent="0.2">
      <c r="B22" s="56"/>
      <c r="C22" s="35"/>
      <c r="D22" s="36"/>
      <c r="E22" s="36"/>
      <c r="F22" s="37"/>
      <c r="G22" s="38"/>
      <c r="H22" s="37"/>
      <c r="I22" s="72"/>
      <c r="J22" s="69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4"/>
      <c r="AR22" s="66"/>
      <c r="AS22" s="67"/>
      <c r="AT22" s="66"/>
      <c r="AU22" s="66"/>
      <c r="AV22" s="66"/>
      <c r="AW22" s="66"/>
    </row>
    <row r="23" spans="2:49" s="68" customFormat="1" ht="17.25" customHeight="1" x14ac:dyDescent="0.2">
      <c r="B23" s="56" t="s">
        <v>79</v>
      </c>
      <c r="C23" s="35">
        <v>200</v>
      </c>
      <c r="D23" s="36">
        <v>300</v>
      </c>
      <c r="E23" s="36" t="s">
        <v>62</v>
      </c>
      <c r="F23" s="37">
        <f>D23-C23</f>
        <v>100</v>
      </c>
      <c r="G23" s="38">
        <f>AVERAGE(38.16,41.04)</f>
        <v>39.599999999999994</v>
      </c>
      <c r="H23" s="37">
        <f>ROUND(F23*G23,2)</f>
        <v>3960</v>
      </c>
      <c r="I23" s="72"/>
      <c r="J23" s="69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>
        <f>ROUND(H23/9,2)</f>
        <v>440</v>
      </c>
      <c r="Z23" s="33"/>
      <c r="AA23" s="33"/>
      <c r="AB23" s="33"/>
      <c r="AC23" s="33">
        <f>ROUND(H23*$AC$3/9,2)</f>
        <v>24.2</v>
      </c>
      <c r="AD23" s="33"/>
      <c r="AE23" s="33">
        <f>ROUND(H23*$AE$3/9,2)</f>
        <v>37.4</v>
      </c>
      <c r="AF23" s="33"/>
      <c r="AG23" s="33">
        <f>ROUND(H23*$AG$3/12/27,2)</f>
        <v>18.329999999999998</v>
      </c>
      <c r="AH23" s="33">
        <f>ROUND(H23*$AH$3/12/27,2)</f>
        <v>18.329999999999998</v>
      </c>
      <c r="AI23" s="33"/>
      <c r="AJ23" s="33"/>
      <c r="AK23" s="33"/>
      <c r="AL23" s="33"/>
      <c r="AM23" s="33"/>
      <c r="AN23" s="33"/>
      <c r="AO23" s="33"/>
      <c r="AP23" s="33"/>
      <c r="AQ23" s="34"/>
      <c r="AR23" s="66"/>
      <c r="AS23" s="67"/>
      <c r="AT23" s="66"/>
      <c r="AU23" s="66"/>
      <c r="AV23" s="66"/>
      <c r="AW23" s="66"/>
    </row>
    <row r="24" spans="2:49" s="68" customFormat="1" ht="17.45" customHeight="1" x14ac:dyDescent="0.2">
      <c r="B24" s="56" t="s">
        <v>80</v>
      </c>
      <c r="C24" s="35">
        <v>200</v>
      </c>
      <c r="D24" s="36">
        <v>300</v>
      </c>
      <c r="E24" s="36" t="s">
        <v>62</v>
      </c>
      <c r="F24" s="37">
        <f>D24-C24</f>
        <v>100</v>
      </c>
      <c r="G24" s="38">
        <v>2</v>
      </c>
      <c r="H24" s="37">
        <f>ROUND(F24*G24,2)</f>
        <v>200</v>
      </c>
      <c r="I24" s="72"/>
      <c r="J24" s="69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>
        <f>ROUND(H24*$AF$3/9,2)</f>
        <v>8.89</v>
      </c>
      <c r="AG24" s="33"/>
      <c r="AH24" s="33"/>
      <c r="AI24" s="33"/>
      <c r="AJ24" s="33"/>
      <c r="AK24" s="33"/>
      <c r="AL24" s="33"/>
      <c r="AM24" s="33"/>
      <c r="AN24" s="33"/>
      <c r="AO24" s="33">
        <f>ROUND(H24*$AO$3/12/27,2)</f>
        <v>0.62</v>
      </c>
      <c r="AP24" s="33"/>
      <c r="AQ24" s="34"/>
      <c r="AR24" s="66"/>
      <c r="AS24" s="67"/>
      <c r="AT24" s="66"/>
      <c r="AU24" s="66"/>
      <c r="AV24" s="66"/>
      <c r="AW24" s="66"/>
    </row>
    <row r="25" spans="2:49" s="68" customFormat="1" ht="17.25" customHeight="1" x14ac:dyDescent="0.2">
      <c r="B25" s="56"/>
      <c r="C25" s="35"/>
      <c r="D25" s="36"/>
      <c r="E25" s="36"/>
      <c r="F25" s="37"/>
      <c r="G25" s="38"/>
      <c r="H25" s="37"/>
      <c r="I25" s="72"/>
      <c r="J25" s="69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4"/>
      <c r="AR25" s="66"/>
      <c r="AS25" s="67"/>
      <c r="AT25" s="66"/>
      <c r="AU25" s="66"/>
      <c r="AV25" s="66"/>
      <c r="AW25" s="66"/>
    </row>
    <row r="26" spans="2:49" s="68" customFormat="1" ht="17.25" customHeight="1" x14ac:dyDescent="0.2">
      <c r="B26" s="56" t="s">
        <v>79</v>
      </c>
      <c r="C26" s="35">
        <v>300</v>
      </c>
      <c r="D26" s="36">
        <v>500</v>
      </c>
      <c r="E26" s="36" t="s">
        <v>62</v>
      </c>
      <c r="F26" s="37">
        <f>D26-C26</f>
        <v>200</v>
      </c>
      <c r="G26" s="38">
        <f>AVERAGE(32.7,38.65)</f>
        <v>35.674999999999997</v>
      </c>
      <c r="H26" s="37">
        <f>ROUND(F26*G26,2)</f>
        <v>7135</v>
      </c>
      <c r="I26" s="72"/>
      <c r="J26" s="69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>
        <f>ROUND(H26/9,2)</f>
        <v>792.78</v>
      </c>
      <c r="Z26" s="33"/>
      <c r="AA26" s="33"/>
      <c r="AB26" s="33"/>
      <c r="AC26" s="33">
        <f>ROUND(H26*$AC$3/9,2)</f>
        <v>43.6</v>
      </c>
      <c r="AD26" s="33"/>
      <c r="AE26" s="33">
        <f>ROUND(H26*$AE$3/9,2)</f>
        <v>67.39</v>
      </c>
      <c r="AF26" s="33"/>
      <c r="AG26" s="33">
        <f>ROUND(H26*$AG$3/12/27,2)</f>
        <v>33.03</v>
      </c>
      <c r="AH26" s="33">
        <f>ROUND(H26*$AH$3/12/27,2)</f>
        <v>33.03</v>
      </c>
      <c r="AI26" s="33"/>
      <c r="AJ26" s="33"/>
      <c r="AK26" s="33"/>
      <c r="AL26" s="33"/>
      <c r="AM26" s="33"/>
      <c r="AN26" s="33"/>
      <c r="AO26" s="33"/>
      <c r="AP26" s="33"/>
      <c r="AQ26" s="34"/>
      <c r="AR26" s="66"/>
      <c r="AS26" s="67"/>
      <c r="AT26" s="66"/>
      <c r="AU26" s="66"/>
      <c r="AV26" s="66"/>
      <c r="AW26" s="66"/>
    </row>
    <row r="27" spans="2:49" s="68" customFormat="1" ht="17.25" customHeight="1" x14ac:dyDescent="0.2">
      <c r="B27" s="56" t="s">
        <v>68</v>
      </c>
      <c r="C27" s="35">
        <v>300</v>
      </c>
      <c r="D27" s="36">
        <v>500</v>
      </c>
      <c r="E27" s="36" t="s">
        <v>62</v>
      </c>
      <c r="F27" s="37">
        <f t="shared" ref="F27:F30" si="4">D27-C27</f>
        <v>200</v>
      </c>
      <c r="G27" s="38">
        <v>10</v>
      </c>
      <c r="H27" s="37">
        <f t="shared" ref="H27:H30" si="5">ROUND(F27*G27,2)</f>
        <v>2000</v>
      </c>
      <c r="I27" s="72"/>
      <c r="J27" s="69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>
        <f>ROUND(H27*$AD$3/9,2)</f>
        <v>12.22</v>
      </c>
      <c r="AE27" s="33"/>
      <c r="AF27" s="33"/>
      <c r="AG27" s="33">
        <f>ROUND(H27*$AG$3/12/27,2)</f>
        <v>9.26</v>
      </c>
      <c r="AH27" s="33">
        <f>ROUND(H27*$AH$3/12/27,2)</f>
        <v>9.26</v>
      </c>
      <c r="AI27" s="33"/>
      <c r="AJ27" s="33"/>
      <c r="AK27" s="33"/>
      <c r="AL27" s="33"/>
      <c r="AM27" s="33"/>
      <c r="AN27" s="33"/>
      <c r="AO27" s="33"/>
      <c r="AP27" s="33">
        <f>ROUND(F27*$AP$3/12/9,2)</f>
        <v>55.56</v>
      </c>
      <c r="AQ27" s="34"/>
      <c r="AR27" s="66"/>
      <c r="AS27" s="67"/>
      <c r="AT27" s="66"/>
      <c r="AU27" s="66"/>
      <c r="AV27" s="66"/>
      <c r="AW27" s="66"/>
    </row>
    <row r="28" spans="2:49" s="68" customFormat="1" ht="17.25" customHeight="1" x14ac:dyDescent="0.2">
      <c r="B28" s="56" t="s">
        <v>69</v>
      </c>
      <c r="C28" s="35">
        <v>300</v>
      </c>
      <c r="D28" s="36">
        <v>500</v>
      </c>
      <c r="E28" s="36" t="s">
        <v>62</v>
      </c>
      <c r="F28" s="37">
        <f t="shared" si="4"/>
        <v>200</v>
      </c>
      <c r="G28" s="38">
        <f>G27+0.33</f>
        <v>10.33</v>
      </c>
      <c r="H28" s="37">
        <f t="shared" si="5"/>
        <v>2066</v>
      </c>
      <c r="I28" s="72"/>
      <c r="J28" s="69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>
        <f>ROUND(H28*$Z$3/12/27,2)</f>
        <v>44.64</v>
      </c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4"/>
      <c r="AR28" s="66"/>
      <c r="AS28" s="67"/>
      <c r="AT28" s="66"/>
      <c r="AU28" s="66"/>
      <c r="AV28" s="66"/>
      <c r="AW28" s="66"/>
    </row>
    <row r="29" spans="2:49" s="68" customFormat="1" ht="17.25" customHeight="1" x14ac:dyDescent="0.2">
      <c r="B29" s="56" t="s">
        <v>70</v>
      </c>
      <c r="C29" s="35">
        <v>300</v>
      </c>
      <c r="D29" s="36">
        <v>500</v>
      </c>
      <c r="E29" s="36" t="s">
        <v>62</v>
      </c>
      <c r="F29" s="37">
        <f t="shared" si="4"/>
        <v>200</v>
      </c>
      <c r="G29" s="38">
        <f>G28+0.58</f>
        <v>10.91</v>
      </c>
      <c r="H29" s="37">
        <f t="shared" si="5"/>
        <v>2182</v>
      </c>
      <c r="I29" s="72"/>
      <c r="J29" s="69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>
        <f>ROUND(H29*$AB$3/12/27,2)</f>
        <v>40.409999999999997</v>
      </c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4"/>
      <c r="AR29" s="66"/>
      <c r="AS29" s="67"/>
      <c r="AT29" s="66"/>
      <c r="AU29" s="66"/>
      <c r="AV29" s="66"/>
      <c r="AW29" s="66"/>
    </row>
    <row r="30" spans="2:49" s="68" customFormat="1" ht="17.25" customHeight="1" x14ac:dyDescent="0.2">
      <c r="B30" s="56" t="s">
        <v>82</v>
      </c>
      <c r="C30" s="35">
        <v>300</v>
      </c>
      <c r="D30" s="36">
        <v>500</v>
      </c>
      <c r="E30" s="36" t="s">
        <v>62</v>
      </c>
      <c r="F30" s="37">
        <f t="shared" si="4"/>
        <v>200</v>
      </c>
      <c r="G30" s="38">
        <f>G27+1.5</f>
        <v>11.5</v>
      </c>
      <c r="H30" s="37">
        <f t="shared" si="5"/>
        <v>2300</v>
      </c>
      <c r="I30" s="72"/>
      <c r="J30" s="69"/>
      <c r="K30" s="33"/>
      <c r="L30" s="33"/>
      <c r="M30" s="33"/>
      <c r="N30" s="33"/>
      <c r="O30" s="33"/>
      <c r="P30" s="33">
        <f>ROUND(H30/9,2)</f>
        <v>255.56</v>
      </c>
      <c r="Q30" s="33"/>
      <c r="R30" s="33">
        <f>ROUND(H30*$R$3/12/27,2)</f>
        <v>85.19</v>
      </c>
      <c r="S30" s="33"/>
      <c r="T30" s="33">
        <f>R30</f>
        <v>85.19</v>
      </c>
      <c r="U30" s="33"/>
      <c r="V30" s="33"/>
      <c r="W30" s="33">
        <f>ROUND(2*P30/$W$3,2)</f>
        <v>0.26</v>
      </c>
      <c r="X30" s="33">
        <f>P30</f>
        <v>255.56</v>
      </c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4"/>
      <c r="AR30" s="66"/>
      <c r="AS30" s="67"/>
      <c r="AT30" s="66"/>
      <c r="AU30" s="66"/>
      <c r="AV30" s="66"/>
      <c r="AW30" s="66"/>
    </row>
    <row r="31" spans="2:49" s="68" customFormat="1" ht="17.45" customHeight="1" x14ac:dyDescent="0.2">
      <c r="B31" s="56" t="s">
        <v>80</v>
      </c>
      <c r="C31" s="35">
        <v>300</v>
      </c>
      <c r="D31" s="36">
        <v>500</v>
      </c>
      <c r="E31" s="36" t="s">
        <v>62</v>
      </c>
      <c r="F31" s="37">
        <f>D31-C31</f>
        <v>200</v>
      </c>
      <c r="G31" s="38">
        <v>2</v>
      </c>
      <c r="H31" s="37">
        <f>ROUND(F31*G31,2)</f>
        <v>400</v>
      </c>
      <c r="I31" s="72"/>
      <c r="J31" s="69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>
        <f>ROUND(H31*$AF$3/9,2)</f>
        <v>17.78</v>
      </c>
      <c r="AG31" s="33"/>
      <c r="AH31" s="33"/>
      <c r="AI31" s="33"/>
      <c r="AJ31" s="33"/>
      <c r="AK31" s="33"/>
      <c r="AL31" s="33"/>
      <c r="AM31" s="33"/>
      <c r="AN31" s="33"/>
      <c r="AO31" s="33">
        <f>ROUND(H31*$AO$3/12/27,2)</f>
        <v>1.23</v>
      </c>
      <c r="AP31" s="33"/>
      <c r="AQ31" s="34"/>
      <c r="AR31" s="66"/>
      <c r="AS31" s="67"/>
      <c r="AT31" s="66"/>
      <c r="AU31" s="66"/>
      <c r="AV31" s="66"/>
      <c r="AW31" s="66"/>
    </row>
    <row r="32" spans="2:49" s="68" customFormat="1" ht="17.25" customHeight="1" x14ac:dyDescent="0.2">
      <c r="B32" s="56"/>
      <c r="C32" s="35"/>
      <c r="D32" s="36"/>
      <c r="E32" s="36"/>
      <c r="F32" s="37"/>
      <c r="G32" s="38"/>
      <c r="H32" s="37"/>
      <c r="I32" s="72"/>
      <c r="J32" s="69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4"/>
      <c r="AR32" s="66"/>
      <c r="AS32" s="67"/>
      <c r="AT32" s="66"/>
      <c r="AU32" s="66"/>
      <c r="AV32" s="66"/>
      <c r="AW32" s="66"/>
    </row>
    <row r="33" spans="2:49" s="68" customFormat="1" ht="17.25" customHeight="1" x14ac:dyDescent="0.2">
      <c r="B33" s="56" t="s">
        <v>79</v>
      </c>
      <c r="C33" s="35">
        <v>500</v>
      </c>
      <c r="D33" s="36">
        <v>607.67999999999995</v>
      </c>
      <c r="E33" s="36" t="s">
        <v>62</v>
      </c>
      <c r="F33" s="37">
        <f>D33-C33</f>
        <v>107.67999999999995</v>
      </c>
      <c r="G33" s="38">
        <f>AVERAGE(38.65,43.46)</f>
        <v>41.055</v>
      </c>
      <c r="H33" s="37">
        <f>ROUND(F33*G33,2)</f>
        <v>4420.8</v>
      </c>
      <c r="I33" s="72"/>
      <c r="J33" s="69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>
        <f>ROUND(H33/9,2)</f>
        <v>491.2</v>
      </c>
      <c r="Z33" s="33"/>
      <c r="AA33" s="33"/>
      <c r="AB33" s="33"/>
      <c r="AC33" s="33">
        <f>ROUND(H33*$AC$3/9,2)</f>
        <v>27.02</v>
      </c>
      <c r="AD33" s="33"/>
      <c r="AE33" s="33">
        <f>ROUND(H33*$AE$3/9,2)</f>
        <v>41.75</v>
      </c>
      <c r="AF33" s="33"/>
      <c r="AG33" s="33">
        <f>ROUND(H33*$AG$3/12/27,2)</f>
        <v>20.47</v>
      </c>
      <c r="AH33" s="33">
        <f>ROUND(H33*$AH$3/12/27,2)</f>
        <v>20.47</v>
      </c>
      <c r="AI33" s="33"/>
      <c r="AJ33" s="33"/>
      <c r="AK33" s="33"/>
      <c r="AL33" s="33"/>
      <c r="AM33" s="33"/>
      <c r="AN33" s="33"/>
      <c r="AO33" s="33"/>
      <c r="AP33" s="33"/>
      <c r="AQ33" s="34"/>
      <c r="AR33" s="66"/>
      <c r="AS33" s="67"/>
      <c r="AT33" s="66"/>
      <c r="AU33" s="66"/>
      <c r="AV33" s="66"/>
      <c r="AW33" s="66"/>
    </row>
    <row r="34" spans="2:49" s="68" customFormat="1" ht="17.25" customHeight="1" x14ac:dyDescent="0.2">
      <c r="B34" s="56" t="s">
        <v>68</v>
      </c>
      <c r="C34" s="35">
        <v>500</v>
      </c>
      <c r="D34" s="36">
        <v>607.67999999999995</v>
      </c>
      <c r="E34" s="36" t="s">
        <v>62</v>
      </c>
      <c r="F34" s="37">
        <f t="shared" ref="F34:F37" si="6">D34-C34</f>
        <v>107.67999999999995</v>
      </c>
      <c r="G34" s="38">
        <v>12</v>
      </c>
      <c r="H34" s="37">
        <f t="shared" ref="H34:H37" si="7">ROUND(F34*G34,2)</f>
        <v>1292.1600000000001</v>
      </c>
      <c r="I34" s="72"/>
      <c r="J34" s="69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>
        <f>ROUND(H34*$AD$3/9,2)</f>
        <v>7.9</v>
      </c>
      <c r="AE34" s="33"/>
      <c r="AF34" s="33"/>
      <c r="AG34" s="33">
        <f>ROUND(H34*$AG$3/12/27,2)</f>
        <v>5.98</v>
      </c>
      <c r="AH34" s="33">
        <f>ROUND(H34*$AH$3/12/27,2)</f>
        <v>5.98</v>
      </c>
      <c r="AI34" s="33"/>
      <c r="AJ34" s="33"/>
      <c r="AK34" s="33"/>
      <c r="AL34" s="33"/>
      <c r="AM34" s="33"/>
      <c r="AN34" s="33"/>
      <c r="AO34" s="33"/>
      <c r="AP34" s="33">
        <f>ROUND(F34*$AP$3/12/9,2)</f>
        <v>29.91</v>
      </c>
      <c r="AQ34" s="34"/>
      <c r="AR34" s="66"/>
      <c r="AS34" s="67"/>
      <c r="AT34" s="66"/>
      <c r="AU34" s="66"/>
      <c r="AV34" s="66"/>
      <c r="AW34" s="66"/>
    </row>
    <row r="35" spans="2:49" s="68" customFormat="1" ht="17.25" customHeight="1" x14ac:dyDescent="0.2">
      <c r="B35" s="56" t="s">
        <v>69</v>
      </c>
      <c r="C35" s="35">
        <v>500</v>
      </c>
      <c r="D35" s="36">
        <v>607.67999999999995</v>
      </c>
      <c r="E35" s="36" t="s">
        <v>62</v>
      </c>
      <c r="F35" s="37">
        <f t="shared" si="6"/>
        <v>107.67999999999995</v>
      </c>
      <c r="G35" s="38">
        <f>G34+0.33</f>
        <v>12.33</v>
      </c>
      <c r="H35" s="37">
        <f t="shared" si="7"/>
        <v>1327.69</v>
      </c>
      <c r="I35" s="72"/>
      <c r="J35" s="69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>
        <f>ROUND(H35*$Z$3/12/27,2)</f>
        <v>28.68</v>
      </c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4"/>
      <c r="AR35" s="66"/>
      <c r="AS35" s="67"/>
      <c r="AT35" s="66"/>
      <c r="AU35" s="66"/>
      <c r="AV35" s="66"/>
      <c r="AW35" s="66"/>
    </row>
    <row r="36" spans="2:49" s="68" customFormat="1" ht="17.25" customHeight="1" x14ac:dyDescent="0.2">
      <c r="B36" s="56" t="s">
        <v>70</v>
      </c>
      <c r="C36" s="35">
        <v>500</v>
      </c>
      <c r="D36" s="36">
        <v>607.67999999999995</v>
      </c>
      <c r="E36" s="36" t="s">
        <v>62</v>
      </c>
      <c r="F36" s="37">
        <f t="shared" si="6"/>
        <v>107.67999999999995</v>
      </c>
      <c r="G36" s="38">
        <f>G35+0.58</f>
        <v>12.91</v>
      </c>
      <c r="H36" s="37">
        <f t="shared" si="7"/>
        <v>1390.15</v>
      </c>
      <c r="I36" s="72"/>
      <c r="J36" s="69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>
        <f>ROUND(H36*$AB$3/12/27,2)</f>
        <v>25.74</v>
      </c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4"/>
      <c r="AR36" s="66"/>
      <c r="AS36" s="67"/>
      <c r="AT36" s="66"/>
      <c r="AU36" s="66"/>
      <c r="AV36" s="66"/>
      <c r="AW36" s="66"/>
    </row>
    <row r="37" spans="2:49" s="68" customFormat="1" ht="17.25" customHeight="1" x14ac:dyDescent="0.2">
      <c r="B37" s="56" t="s">
        <v>82</v>
      </c>
      <c r="C37" s="35">
        <v>500</v>
      </c>
      <c r="D37" s="36">
        <v>607.67999999999995</v>
      </c>
      <c r="E37" s="36" t="s">
        <v>62</v>
      </c>
      <c r="F37" s="37">
        <f t="shared" si="6"/>
        <v>107.67999999999995</v>
      </c>
      <c r="G37" s="38">
        <f>G34+1.5</f>
        <v>13.5</v>
      </c>
      <c r="H37" s="37">
        <f t="shared" si="7"/>
        <v>1453.68</v>
      </c>
      <c r="I37" s="72"/>
      <c r="J37" s="69"/>
      <c r="K37" s="33"/>
      <c r="L37" s="33"/>
      <c r="M37" s="33"/>
      <c r="N37" s="33"/>
      <c r="O37" s="33"/>
      <c r="P37" s="33">
        <f>ROUND(H37/9,2)</f>
        <v>161.52000000000001</v>
      </c>
      <c r="Q37" s="33"/>
      <c r="R37" s="33">
        <f>ROUND(H37*$R$3/12/27,2)</f>
        <v>53.84</v>
      </c>
      <c r="S37" s="33"/>
      <c r="T37" s="33">
        <f>R37</f>
        <v>53.84</v>
      </c>
      <c r="U37" s="33"/>
      <c r="V37" s="33"/>
      <c r="W37" s="33">
        <f>ROUND(2*P37/$W$3,2)</f>
        <v>0.16</v>
      </c>
      <c r="X37" s="33">
        <f>P37</f>
        <v>161.52000000000001</v>
      </c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4"/>
      <c r="AR37" s="66"/>
      <c r="AS37" s="67"/>
      <c r="AT37" s="66"/>
      <c r="AU37" s="66"/>
      <c r="AV37" s="66"/>
      <c r="AW37" s="66"/>
    </row>
    <row r="38" spans="2:49" s="68" customFormat="1" ht="17.45" customHeight="1" x14ac:dyDescent="0.2">
      <c r="B38" s="56" t="s">
        <v>80</v>
      </c>
      <c r="C38" s="35">
        <v>500</v>
      </c>
      <c r="D38" s="36">
        <v>607.67999999999995</v>
      </c>
      <c r="E38" s="36" t="s">
        <v>62</v>
      </c>
      <c r="F38" s="37">
        <f>D38-C38</f>
        <v>107.67999999999995</v>
      </c>
      <c r="G38" s="38">
        <v>2</v>
      </c>
      <c r="H38" s="37">
        <f>ROUND(F38*G38,2)</f>
        <v>215.36</v>
      </c>
      <c r="I38" s="72"/>
      <c r="J38" s="69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>
        <f>ROUND(H38*$AF$3/9,2)</f>
        <v>9.57</v>
      </c>
      <c r="AG38" s="33"/>
      <c r="AH38" s="33"/>
      <c r="AI38" s="33"/>
      <c r="AJ38" s="33"/>
      <c r="AK38" s="33"/>
      <c r="AL38" s="33"/>
      <c r="AM38" s="33"/>
      <c r="AN38" s="33"/>
      <c r="AO38" s="33">
        <f>ROUND(H38*$AO$3/12/27,2)</f>
        <v>0.66</v>
      </c>
      <c r="AP38" s="33"/>
      <c r="AQ38" s="34"/>
      <c r="AR38" s="66"/>
      <c r="AS38" s="67"/>
      <c r="AT38" s="66"/>
      <c r="AU38" s="66"/>
      <c r="AV38" s="66"/>
      <c r="AW38" s="66"/>
    </row>
    <row r="39" spans="2:49" s="68" customFormat="1" ht="17.25" customHeight="1" x14ac:dyDescent="0.2">
      <c r="B39" s="56"/>
      <c r="C39" s="35"/>
      <c r="D39" s="36"/>
      <c r="E39" s="36"/>
      <c r="F39" s="37"/>
      <c r="G39" s="38"/>
      <c r="H39" s="37"/>
      <c r="I39" s="72"/>
      <c r="J39" s="69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4"/>
      <c r="AR39" s="66"/>
      <c r="AS39" s="67"/>
      <c r="AT39" s="66"/>
      <c r="AU39" s="66"/>
      <c r="AV39" s="66"/>
      <c r="AW39" s="66"/>
    </row>
    <row r="40" spans="2:49" s="68" customFormat="1" ht="17.25" customHeight="1" x14ac:dyDescent="0.2">
      <c r="B40" s="56" t="s">
        <v>71</v>
      </c>
      <c r="C40" s="35">
        <v>607.67999999999995</v>
      </c>
      <c r="D40" s="36">
        <v>850</v>
      </c>
      <c r="E40" s="36" t="s">
        <v>62</v>
      </c>
      <c r="F40" s="37">
        <f t="shared" ref="F40:F43" si="8">D40-C40</f>
        <v>242.32000000000005</v>
      </c>
      <c r="G40" s="38">
        <f>12+16+4</f>
        <v>32</v>
      </c>
      <c r="H40" s="37">
        <f t="shared" ref="H40:H43" si="9">ROUND(F40*G40,2)</f>
        <v>7754.24</v>
      </c>
      <c r="I40" s="72"/>
      <c r="J40" s="69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>
        <f>ROUND(H40/9,2)</f>
        <v>861.58</v>
      </c>
      <c r="AJ40" s="33"/>
      <c r="AK40" s="33"/>
      <c r="AL40" s="33"/>
      <c r="AM40" s="33"/>
      <c r="AN40" s="33"/>
      <c r="AO40" s="33"/>
      <c r="AP40" s="33"/>
      <c r="AQ40" s="34"/>
      <c r="AR40" s="66"/>
      <c r="AS40" s="67"/>
      <c r="AT40" s="66"/>
      <c r="AU40" s="66"/>
      <c r="AV40" s="66"/>
      <c r="AW40" s="66"/>
    </row>
    <row r="41" spans="2:49" s="68" customFormat="1" ht="17.25" customHeight="1" x14ac:dyDescent="0.2">
      <c r="B41" s="56" t="s">
        <v>72</v>
      </c>
      <c r="C41" s="35">
        <v>607.67999999999995</v>
      </c>
      <c r="D41" s="36">
        <v>850</v>
      </c>
      <c r="E41" s="36" t="s">
        <v>62</v>
      </c>
      <c r="F41" s="37">
        <f t="shared" si="8"/>
        <v>242.32000000000005</v>
      </c>
      <c r="G41" s="38">
        <f>G40+1</f>
        <v>33</v>
      </c>
      <c r="H41" s="37">
        <f t="shared" si="9"/>
        <v>7996.56</v>
      </c>
      <c r="I41" s="72"/>
      <c r="J41" s="69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>
        <f>ROUND(H41*$AB$3/12/27,2)</f>
        <v>148.08000000000001</v>
      </c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4"/>
      <c r="AR41" s="66"/>
      <c r="AS41" s="67"/>
      <c r="AT41" s="66"/>
      <c r="AU41" s="66"/>
      <c r="AV41" s="66"/>
      <c r="AW41" s="66"/>
    </row>
    <row r="42" spans="2:49" s="68" customFormat="1" ht="17.25" customHeight="1" x14ac:dyDescent="0.2">
      <c r="B42" s="56" t="s">
        <v>82</v>
      </c>
      <c r="C42" s="35">
        <v>607.67999999999995</v>
      </c>
      <c r="D42" s="36">
        <v>850</v>
      </c>
      <c r="E42" s="36" t="s">
        <v>62</v>
      </c>
      <c r="F42" s="37">
        <f t="shared" si="8"/>
        <v>242.32000000000005</v>
      </c>
      <c r="G42" s="38">
        <f>G40+3</f>
        <v>35</v>
      </c>
      <c r="H42" s="37">
        <f t="shared" si="9"/>
        <v>8481.2000000000007</v>
      </c>
      <c r="I42" s="72"/>
      <c r="J42" s="69"/>
      <c r="K42" s="33"/>
      <c r="L42" s="33"/>
      <c r="M42" s="33"/>
      <c r="N42" s="33"/>
      <c r="O42" s="33"/>
      <c r="P42" s="33">
        <f>ROUND(H42/9,2)</f>
        <v>942.36</v>
      </c>
      <c r="Q42" s="33"/>
      <c r="R42" s="33">
        <f>ROUND(H42*$R$3/12/27,2)</f>
        <v>314.12</v>
      </c>
      <c r="S42" s="33"/>
      <c r="T42" s="33">
        <f>R42</f>
        <v>314.12</v>
      </c>
      <c r="U42" s="33"/>
      <c r="V42" s="33"/>
      <c r="W42" s="33">
        <f>ROUND(2*P42/$W$3,2)</f>
        <v>0.94</v>
      </c>
      <c r="X42" s="33">
        <f>P42</f>
        <v>942.36</v>
      </c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4"/>
      <c r="AR42" s="66"/>
      <c r="AS42" s="67"/>
      <c r="AT42" s="66"/>
      <c r="AU42" s="66"/>
      <c r="AV42" s="66"/>
      <c r="AW42" s="66"/>
    </row>
    <row r="43" spans="2:49" s="68" customFormat="1" ht="17.25" customHeight="1" x14ac:dyDescent="0.2">
      <c r="B43" s="56" t="s">
        <v>80</v>
      </c>
      <c r="C43" s="35">
        <v>607.67999999999995</v>
      </c>
      <c r="D43" s="36">
        <v>850</v>
      </c>
      <c r="E43" s="36" t="s">
        <v>62</v>
      </c>
      <c r="F43" s="37">
        <f t="shared" si="8"/>
        <v>242.32000000000005</v>
      </c>
      <c r="G43" s="38">
        <v>4</v>
      </c>
      <c r="H43" s="37">
        <f t="shared" si="9"/>
        <v>969.28</v>
      </c>
      <c r="I43" s="72"/>
      <c r="J43" s="69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>
        <f>ROUND(H43*$AF$3/9,2)</f>
        <v>43.08</v>
      </c>
      <c r="AG43" s="33"/>
      <c r="AH43" s="33"/>
      <c r="AI43" s="33"/>
      <c r="AJ43" s="33"/>
      <c r="AK43" s="33"/>
      <c r="AL43" s="33"/>
      <c r="AM43" s="33"/>
      <c r="AN43" s="33"/>
      <c r="AO43" s="33">
        <f>ROUND(H43*$AO$3/12/27,2)</f>
        <v>2.99</v>
      </c>
      <c r="AP43" s="33"/>
      <c r="AQ43" s="34"/>
      <c r="AR43" s="66"/>
      <c r="AS43" s="67"/>
      <c r="AT43" s="66"/>
      <c r="AU43" s="66"/>
      <c r="AV43" s="66"/>
      <c r="AW43" s="66"/>
    </row>
    <row r="44" spans="2:49" s="68" customFormat="1" ht="17.25" customHeight="1" x14ac:dyDescent="0.2">
      <c r="B44" s="56"/>
      <c r="C44" s="35"/>
      <c r="D44" s="36"/>
      <c r="E44" s="36"/>
      <c r="F44" s="37"/>
      <c r="G44" s="38"/>
      <c r="H44" s="37"/>
      <c r="I44" s="72"/>
      <c r="J44" s="69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4"/>
      <c r="AR44" s="66"/>
      <c r="AS44" s="67"/>
      <c r="AT44" s="66"/>
      <c r="AU44" s="66"/>
      <c r="AV44" s="66"/>
      <c r="AW44" s="66"/>
    </row>
    <row r="45" spans="2:49" s="68" customFormat="1" ht="17.25" customHeight="1" x14ac:dyDescent="0.2">
      <c r="B45" s="56" t="s">
        <v>71</v>
      </c>
      <c r="C45" s="35">
        <v>850</v>
      </c>
      <c r="D45" s="36">
        <v>900</v>
      </c>
      <c r="E45" s="36" t="s">
        <v>62</v>
      </c>
      <c r="F45" s="37">
        <f t="shared" ref="F45:F48" si="10">D45-C45</f>
        <v>50</v>
      </c>
      <c r="G45" s="38">
        <f>12+16+4</f>
        <v>32</v>
      </c>
      <c r="H45" s="37">
        <f t="shared" ref="H45:H48" si="11">ROUND(F45*G45,2)</f>
        <v>1600</v>
      </c>
      <c r="I45" s="72"/>
      <c r="J45" s="69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>
        <f>ROUND(H45/9,2)</f>
        <v>177.78</v>
      </c>
      <c r="AJ45" s="33"/>
      <c r="AK45" s="33"/>
      <c r="AL45" s="33"/>
      <c r="AM45" s="33"/>
      <c r="AN45" s="33"/>
      <c r="AO45" s="33"/>
      <c r="AP45" s="33"/>
      <c r="AQ45" s="34"/>
      <c r="AR45" s="66"/>
      <c r="AS45" s="67"/>
      <c r="AT45" s="66"/>
      <c r="AU45" s="66"/>
      <c r="AV45" s="66"/>
      <c r="AW45" s="66"/>
    </row>
    <row r="46" spans="2:49" s="68" customFormat="1" ht="17.25" customHeight="1" x14ac:dyDescent="0.2">
      <c r="B46" s="56" t="s">
        <v>72</v>
      </c>
      <c r="C46" s="35">
        <v>850</v>
      </c>
      <c r="D46" s="36">
        <v>900</v>
      </c>
      <c r="E46" s="36" t="s">
        <v>62</v>
      </c>
      <c r="F46" s="37">
        <f t="shared" si="10"/>
        <v>50</v>
      </c>
      <c r="G46" s="38">
        <f>G45+1</f>
        <v>33</v>
      </c>
      <c r="H46" s="37">
        <f t="shared" si="11"/>
        <v>1650</v>
      </c>
      <c r="I46" s="72"/>
      <c r="J46" s="69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>
        <f>ROUND(H46*$AB$3/12/27,2)</f>
        <v>30.56</v>
      </c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4"/>
      <c r="AR46" s="66"/>
      <c r="AS46" s="67"/>
      <c r="AT46" s="66"/>
      <c r="AU46" s="66"/>
      <c r="AV46" s="66"/>
      <c r="AW46" s="66"/>
    </row>
    <row r="47" spans="2:49" s="68" customFormat="1" ht="17.25" customHeight="1" x14ac:dyDescent="0.2">
      <c r="B47" s="56" t="s">
        <v>86</v>
      </c>
      <c r="C47" s="35">
        <v>850</v>
      </c>
      <c r="D47" s="36">
        <v>900</v>
      </c>
      <c r="E47" s="36" t="s">
        <v>62</v>
      </c>
      <c r="F47" s="37">
        <f t="shared" si="10"/>
        <v>50</v>
      </c>
      <c r="G47" s="38">
        <f>G45+3</f>
        <v>35</v>
      </c>
      <c r="H47" s="37">
        <f t="shared" si="11"/>
        <v>1750</v>
      </c>
      <c r="I47" s="72"/>
      <c r="J47" s="69"/>
      <c r="K47" s="33"/>
      <c r="L47" s="33"/>
      <c r="M47" s="33"/>
      <c r="N47" s="33"/>
      <c r="O47" s="33"/>
      <c r="P47" s="33">
        <f>ROUND(H47/9,2)</f>
        <v>194.44</v>
      </c>
      <c r="Q47" s="33"/>
      <c r="R47" s="33"/>
      <c r="S47" s="33">
        <f>ROUND(H47*$S$3/12/27,2)</f>
        <v>32.409999999999997</v>
      </c>
      <c r="T47" s="33"/>
      <c r="U47" s="33">
        <f>S47</f>
        <v>32.409999999999997</v>
      </c>
      <c r="V47" s="33">
        <f>ROUND(P47/$V$3,2)</f>
        <v>0.1</v>
      </c>
      <c r="W47" s="33"/>
      <c r="X47" s="33">
        <f>P47</f>
        <v>194.44</v>
      </c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4"/>
      <c r="AR47" s="66"/>
      <c r="AS47" s="67"/>
      <c r="AT47" s="66"/>
      <c r="AU47" s="66"/>
      <c r="AV47" s="66"/>
      <c r="AW47" s="66"/>
    </row>
    <row r="48" spans="2:49" s="68" customFormat="1" ht="17.25" customHeight="1" x14ac:dyDescent="0.2">
      <c r="B48" s="56" t="s">
        <v>80</v>
      </c>
      <c r="C48" s="35">
        <v>850</v>
      </c>
      <c r="D48" s="36">
        <v>900</v>
      </c>
      <c r="E48" s="36" t="s">
        <v>62</v>
      </c>
      <c r="F48" s="37">
        <f t="shared" si="10"/>
        <v>50</v>
      </c>
      <c r="G48" s="38">
        <v>4</v>
      </c>
      <c r="H48" s="37">
        <f t="shared" si="11"/>
        <v>200</v>
      </c>
      <c r="I48" s="72"/>
      <c r="J48" s="69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>
        <f>ROUND(H48*$AF$3/9,2)</f>
        <v>8.89</v>
      </c>
      <c r="AG48" s="33"/>
      <c r="AH48" s="33"/>
      <c r="AI48" s="33"/>
      <c r="AJ48" s="33"/>
      <c r="AK48" s="33"/>
      <c r="AL48" s="33"/>
      <c r="AM48" s="33"/>
      <c r="AN48" s="33"/>
      <c r="AO48" s="33">
        <f>ROUND(H48*$AO$3/12/27,2)</f>
        <v>0.62</v>
      </c>
      <c r="AP48" s="33"/>
      <c r="AQ48" s="34"/>
      <c r="AR48" s="66"/>
      <c r="AS48" s="67"/>
      <c r="AT48" s="66"/>
      <c r="AU48" s="66"/>
      <c r="AV48" s="66"/>
      <c r="AW48" s="66"/>
    </row>
    <row r="49" spans="2:49" s="68" customFormat="1" ht="17.25" customHeight="1" x14ac:dyDescent="0.2">
      <c r="B49" s="56"/>
      <c r="C49" s="35"/>
      <c r="D49" s="36"/>
      <c r="E49" s="36"/>
      <c r="F49" s="37"/>
      <c r="G49" s="38"/>
      <c r="H49" s="37"/>
      <c r="I49" s="72"/>
      <c r="J49" s="69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4"/>
      <c r="AR49" s="66"/>
      <c r="AS49" s="67"/>
      <c r="AT49" s="66"/>
      <c r="AU49" s="66"/>
      <c r="AV49" s="66"/>
      <c r="AW49" s="66"/>
    </row>
    <row r="50" spans="2:49" s="68" customFormat="1" ht="17.25" customHeight="1" x14ac:dyDescent="0.2">
      <c r="B50" s="56" t="s">
        <v>83</v>
      </c>
      <c r="C50" s="35">
        <v>900</v>
      </c>
      <c r="D50" s="36">
        <v>963.03</v>
      </c>
      <c r="E50" s="36" t="s">
        <v>61</v>
      </c>
      <c r="F50" s="37">
        <f t="shared" ref="F50:F53" si="12">D50-C50</f>
        <v>63.029999999999973</v>
      </c>
      <c r="G50" s="38">
        <v>12</v>
      </c>
      <c r="H50" s="37">
        <f t="shared" ref="H50:H53" si="13">ROUND(F50*G50,2)</f>
        <v>756.36</v>
      </c>
      <c r="I50" s="72"/>
      <c r="J50" s="69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>
        <f>ROUND(H50/9,2)</f>
        <v>84.04</v>
      </c>
      <c r="AJ50" s="33"/>
      <c r="AK50" s="33"/>
      <c r="AL50" s="33"/>
      <c r="AM50" s="33"/>
      <c r="AN50" s="33"/>
      <c r="AO50" s="33"/>
      <c r="AP50" s="33"/>
      <c r="AQ50" s="34"/>
      <c r="AR50" s="66"/>
      <c r="AS50" s="67"/>
      <c r="AT50" s="66"/>
      <c r="AU50" s="66"/>
      <c r="AV50" s="66"/>
      <c r="AW50" s="66"/>
    </row>
    <row r="51" spans="2:49" s="68" customFormat="1" ht="17.25" customHeight="1" x14ac:dyDescent="0.2">
      <c r="B51" s="56" t="s">
        <v>84</v>
      </c>
      <c r="C51" s="35">
        <v>900</v>
      </c>
      <c r="D51" s="36">
        <v>963.03</v>
      </c>
      <c r="E51" s="36" t="s">
        <v>61</v>
      </c>
      <c r="F51" s="37">
        <f t="shared" si="12"/>
        <v>63.029999999999973</v>
      </c>
      <c r="G51" s="38">
        <f>G50+0.5</f>
        <v>12.5</v>
      </c>
      <c r="H51" s="37">
        <f t="shared" si="13"/>
        <v>787.88</v>
      </c>
      <c r="I51" s="72"/>
      <c r="J51" s="69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>
        <f>ROUND(H51*$AB$3/12/27,2)</f>
        <v>14.59</v>
      </c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4"/>
      <c r="AR51" s="66"/>
      <c r="AS51" s="67"/>
      <c r="AT51" s="66"/>
      <c r="AU51" s="66"/>
      <c r="AV51" s="66"/>
      <c r="AW51" s="66"/>
    </row>
    <row r="52" spans="2:49" s="68" customFormat="1" ht="17.25" customHeight="1" x14ac:dyDescent="0.2">
      <c r="B52" s="56" t="s">
        <v>87</v>
      </c>
      <c r="C52" s="35">
        <v>900</v>
      </c>
      <c r="D52" s="36">
        <v>963.03</v>
      </c>
      <c r="E52" s="36" t="s">
        <v>61</v>
      </c>
      <c r="F52" s="37">
        <f t="shared" si="12"/>
        <v>63.029999999999973</v>
      </c>
      <c r="G52" s="38">
        <f>G50+1.5</f>
        <v>13.5</v>
      </c>
      <c r="H52" s="37">
        <f t="shared" si="13"/>
        <v>850.91</v>
      </c>
      <c r="I52" s="72"/>
      <c r="J52" s="69"/>
      <c r="K52" s="33"/>
      <c r="L52" s="33"/>
      <c r="M52" s="33"/>
      <c r="N52" s="33"/>
      <c r="O52" s="33"/>
      <c r="P52" s="33">
        <f>ROUND(H52/9,2)</f>
        <v>94.55</v>
      </c>
      <c r="Q52" s="33"/>
      <c r="R52" s="33"/>
      <c r="S52" s="33">
        <f>ROUND(H52*$S$3/12/27,2)</f>
        <v>15.76</v>
      </c>
      <c r="T52" s="33"/>
      <c r="U52" s="33">
        <f>S52</f>
        <v>15.76</v>
      </c>
      <c r="V52" s="33">
        <f>ROUND(P52/$V$3,2)</f>
        <v>0.05</v>
      </c>
      <c r="W52" s="33"/>
      <c r="X52" s="33">
        <f>P52</f>
        <v>94.55</v>
      </c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4"/>
      <c r="AR52" s="66"/>
      <c r="AS52" s="67"/>
      <c r="AT52" s="66"/>
      <c r="AU52" s="66"/>
      <c r="AV52" s="66"/>
      <c r="AW52" s="66"/>
    </row>
    <row r="53" spans="2:49" s="68" customFormat="1" ht="17.25" customHeight="1" x14ac:dyDescent="0.2">
      <c r="B53" s="56" t="s">
        <v>85</v>
      </c>
      <c r="C53" s="35">
        <v>900</v>
      </c>
      <c r="D53" s="36">
        <v>963.03</v>
      </c>
      <c r="E53" s="36" t="s">
        <v>61</v>
      </c>
      <c r="F53" s="37">
        <f t="shared" si="12"/>
        <v>63.029999999999973</v>
      </c>
      <c r="G53" s="38">
        <v>2</v>
      </c>
      <c r="H53" s="37">
        <f t="shared" si="13"/>
        <v>126.06</v>
      </c>
      <c r="I53" s="72"/>
      <c r="J53" s="69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>
        <f>ROUND(H53*$AF$3/9,2)</f>
        <v>5.6</v>
      </c>
      <c r="AG53" s="33"/>
      <c r="AH53" s="33"/>
      <c r="AI53" s="33"/>
      <c r="AJ53" s="33"/>
      <c r="AK53" s="33"/>
      <c r="AL53" s="33"/>
      <c r="AM53" s="33"/>
      <c r="AN53" s="33"/>
      <c r="AO53" s="33">
        <f>ROUND(H53*$AO$3/12/27,2)</f>
        <v>0.39</v>
      </c>
      <c r="AP53" s="33"/>
      <c r="AQ53" s="34"/>
      <c r="AR53" s="66"/>
      <c r="AS53" s="67"/>
      <c r="AT53" s="66"/>
      <c r="AU53" s="66"/>
      <c r="AV53" s="66"/>
      <c r="AW53" s="66"/>
    </row>
    <row r="54" spans="2:49" s="68" customFormat="1" ht="17.25" customHeight="1" x14ac:dyDescent="0.2">
      <c r="B54" s="56"/>
      <c r="C54" s="35"/>
      <c r="D54" s="36"/>
      <c r="E54" s="36"/>
      <c r="F54" s="37"/>
      <c r="G54" s="38"/>
      <c r="H54" s="37"/>
      <c r="I54" s="72"/>
      <c r="J54" s="69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4"/>
      <c r="AR54" s="66"/>
      <c r="AS54" s="67"/>
      <c r="AT54" s="66"/>
      <c r="AU54" s="66"/>
      <c r="AV54" s="66"/>
      <c r="AW54" s="66"/>
    </row>
    <row r="55" spans="2:49" s="68" customFormat="1" ht="17.25" customHeight="1" x14ac:dyDescent="0.2">
      <c r="B55" s="56" t="s">
        <v>83</v>
      </c>
      <c r="C55" s="35">
        <v>963.03</v>
      </c>
      <c r="D55" s="36">
        <v>1013</v>
      </c>
      <c r="E55" s="36" t="s">
        <v>61</v>
      </c>
      <c r="F55" s="37">
        <f t="shared" ref="F55:F56" si="14">D55-C55</f>
        <v>49.970000000000027</v>
      </c>
      <c r="G55" s="38"/>
      <c r="H55" s="37"/>
      <c r="I55" s="72">
        <v>1460.79</v>
      </c>
      <c r="J55" s="69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>
        <f>ROUND(I55/9,2)</f>
        <v>162.31</v>
      </c>
      <c r="AJ55" s="33"/>
      <c r="AK55" s="33"/>
      <c r="AL55" s="33"/>
      <c r="AM55" s="33"/>
      <c r="AN55" s="33">
        <v>62.21</v>
      </c>
      <c r="AO55" s="33"/>
      <c r="AP55" s="33"/>
      <c r="AQ55" s="34"/>
      <c r="AR55" s="66"/>
      <c r="AS55" s="67"/>
      <c r="AT55" s="66"/>
      <c r="AU55" s="66"/>
      <c r="AV55" s="66"/>
      <c r="AW55" s="66"/>
    </row>
    <row r="56" spans="2:49" s="68" customFormat="1" ht="17.25" customHeight="1" x14ac:dyDescent="0.2">
      <c r="B56" s="56" t="s">
        <v>88</v>
      </c>
      <c r="C56" s="35">
        <v>963.03</v>
      </c>
      <c r="D56" s="36">
        <v>1013</v>
      </c>
      <c r="E56" s="36" t="s">
        <v>61</v>
      </c>
      <c r="F56" s="37">
        <f t="shared" si="14"/>
        <v>49.970000000000027</v>
      </c>
      <c r="G56" s="38"/>
      <c r="H56" s="37"/>
      <c r="I56" s="72">
        <v>1553</v>
      </c>
      <c r="J56" s="69"/>
      <c r="K56" s="33"/>
      <c r="L56" s="33"/>
      <c r="M56" s="33"/>
      <c r="N56" s="33"/>
      <c r="O56" s="33"/>
      <c r="P56" s="33">
        <f>ROUND(I56/9,2)</f>
        <v>172.56</v>
      </c>
      <c r="Q56" s="33"/>
      <c r="R56" s="33"/>
      <c r="S56" s="33">
        <f>ROUND(I56*$S$3/12/27,2)</f>
        <v>28.76</v>
      </c>
      <c r="T56" s="33"/>
      <c r="U56" s="33">
        <f>S56</f>
        <v>28.76</v>
      </c>
      <c r="V56" s="33">
        <f>ROUND(P56/$V$3,2)</f>
        <v>0.09</v>
      </c>
      <c r="W56" s="33"/>
      <c r="X56" s="33">
        <f>P56</f>
        <v>172.56</v>
      </c>
      <c r="Y56" s="33"/>
      <c r="Z56" s="33"/>
      <c r="AA56" s="33"/>
      <c r="AB56" s="33">
        <f>ROUND(I56*$AB$3/12/27,2)</f>
        <v>28.76</v>
      </c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4"/>
      <c r="AR56" s="66"/>
      <c r="AS56" s="67"/>
      <c r="AT56" s="66"/>
      <c r="AU56" s="66"/>
      <c r="AV56" s="66"/>
      <c r="AW56" s="66"/>
    </row>
    <row r="57" spans="2:49" s="68" customFormat="1" ht="17.25" customHeight="1" x14ac:dyDescent="0.2">
      <c r="B57" s="56"/>
      <c r="C57" s="35"/>
      <c r="D57" s="36"/>
      <c r="E57" s="36"/>
      <c r="F57" s="37"/>
      <c r="G57" s="38"/>
      <c r="H57" s="37"/>
      <c r="I57" s="72"/>
      <c r="J57" s="69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4"/>
      <c r="AR57" s="66"/>
      <c r="AS57" s="67"/>
      <c r="AT57" s="66"/>
      <c r="AU57" s="66"/>
      <c r="AV57" s="66"/>
      <c r="AW57" s="66"/>
    </row>
    <row r="58" spans="2:49" s="68" customFormat="1" ht="17.25" customHeight="1" x14ac:dyDescent="0.2">
      <c r="B58" s="56" t="s">
        <v>83</v>
      </c>
      <c r="C58" s="35">
        <v>1013</v>
      </c>
      <c r="D58" s="36">
        <v>1066.83</v>
      </c>
      <c r="E58" s="36" t="s">
        <v>61</v>
      </c>
      <c r="F58" s="37">
        <f t="shared" ref="F58:F60" si="15">D58-C58</f>
        <v>53.829999999999927</v>
      </c>
      <c r="G58" s="38"/>
      <c r="H58" s="37"/>
      <c r="I58" s="72">
        <v>9729.99</v>
      </c>
      <c r="J58" s="69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>
        <f>ROUND(I58/9,2)</f>
        <v>1081.1099999999999</v>
      </c>
      <c r="AJ58" s="33"/>
      <c r="AK58" s="33"/>
      <c r="AL58" s="33"/>
      <c r="AM58" s="33"/>
      <c r="AN58" s="33">
        <v>187.62</v>
      </c>
      <c r="AO58" s="33"/>
      <c r="AP58" s="33"/>
      <c r="AQ58" s="34"/>
      <c r="AR58" s="66"/>
      <c r="AS58" s="67"/>
      <c r="AT58" s="66"/>
      <c r="AU58" s="66"/>
      <c r="AV58" s="66"/>
      <c r="AW58" s="66"/>
    </row>
    <row r="59" spans="2:49" s="68" customFormat="1" ht="17.25" customHeight="1" x14ac:dyDescent="0.2">
      <c r="B59" s="56" t="s">
        <v>84</v>
      </c>
      <c r="C59" s="35">
        <v>1013</v>
      </c>
      <c r="D59" s="36">
        <v>1066.83</v>
      </c>
      <c r="E59" s="36" t="s">
        <v>61</v>
      </c>
      <c r="F59" s="37">
        <f t="shared" ref="F59" si="16">D59-C59</f>
        <v>53.829999999999927</v>
      </c>
      <c r="G59" s="38"/>
      <c r="H59" s="37"/>
      <c r="I59" s="72">
        <v>10014</v>
      </c>
      <c r="J59" s="69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>
        <f>ROUND(I59*$AB$3/12/27,2)</f>
        <v>185.44</v>
      </c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4"/>
      <c r="AR59" s="66"/>
      <c r="AS59" s="67"/>
      <c r="AT59" s="66"/>
      <c r="AU59" s="66"/>
      <c r="AV59" s="66"/>
      <c r="AW59" s="66"/>
    </row>
    <row r="60" spans="2:49" s="68" customFormat="1" ht="17.25" customHeight="1" x14ac:dyDescent="0.2">
      <c r="B60" s="56" t="s">
        <v>87</v>
      </c>
      <c r="C60" s="35">
        <v>1013</v>
      </c>
      <c r="D60" s="36">
        <v>1066.83</v>
      </c>
      <c r="E60" s="36" t="s">
        <v>61</v>
      </c>
      <c r="F60" s="37">
        <f t="shared" si="15"/>
        <v>53.829999999999927</v>
      </c>
      <c r="G60" s="38"/>
      <c r="H60" s="37"/>
      <c r="I60" s="72">
        <v>2688.46</v>
      </c>
      <c r="J60" s="69"/>
      <c r="K60" s="33"/>
      <c r="L60" s="33"/>
      <c r="M60" s="33"/>
      <c r="N60" s="33"/>
      <c r="O60" s="33"/>
      <c r="P60" s="33">
        <f>ROUND(I60/9,2)</f>
        <v>298.72000000000003</v>
      </c>
      <c r="Q60" s="33"/>
      <c r="R60" s="33"/>
      <c r="S60" s="33">
        <f>ROUND(I60*$S$3/12/27,2)</f>
        <v>49.79</v>
      </c>
      <c r="T60" s="33"/>
      <c r="U60" s="33">
        <f>S60</f>
        <v>49.79</v>
      </c>
      <c r="V60" s="33">
        <f>ROUND(P60/$V$3,2)</f>
        <v>0.15</v>
      </c>
      <c r="W60" s="33"/>
      <c r="X60" s="33">
        <f>P60</f>
        <v>298.72000000000003</v>
      </c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4"/>
      <c r="AR60" s="66"/>
      <c r="AS60" s="67"/>
      <c r="AT60" s="66"/>
      <c r="AU60" s="66"/>
      <c r="AV60" s="66"/>
      <c r="AW60" s="66"/>
    </row>
    <row r="61" spans="2:49" s="68" customFormat="1" ht="17.25" customHeight="1" x14ac:dyDescent="0.2">
      <c r="B61" s="56" t="s">
        <v>90</v>
      </c>
      <c r="C61" s="35">
        <v>1013</v>
      </c>
      <c r="D61" s="36">
        <v>1066.83</v>
      </c>
      <c r="E61" s="36" t="s">
        <v>61</v>
      </c>
      <c r="F61" s="37">
        <f t="shared" ref="F61" si="17">D61-C61</f>
        <v>53.829999999999927</v>
      </c>
      <c r="G61" s="38"/>
      <c r="H61" s="37"/>
      <c r="I61" s="72">
        <v>7325.54</v>
      </c>
      <c r="J61" s="69"/>
      <c r="K61" s="33"/>
      <c r="L61" s="33"/>
      <c r="M61" s="33"/>
      <c r="N61" s="33"/>
      <c r="O61" s="33"/>
      <c r="P61" s="33">
        <f>ROUND(I61/9,2)</f>
        <v>813.95</v>
      </c>
      <c r="Q61" s="33"/>
      <c r="R61" s="33">
        <f>ROUND(I61*$R$3/12/27,2)</f>
        <v>271.32</v>
      </c>
      <c r="S61" s="33"/>
      <c r="T61" s="33">
        <f>R61</f>
        <v>271.32</v>
      </c>
      <c r="U61" s="33"/>
      <c r="V61" s="33"/>
      <c r="W61" s="33">
        <f>ROUND(2*P61/$W$3,2)</f>
        <v>0.81</v>
      </c>
      <c r="X61" s="33">
        <f>P61</f>
        <v>813.95</v>
      </c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4"/>
      <c r="AR61" s="66"/>
      <c r="AS61" s="67"/>
      <c r="AT61" s="66"/>
      <c r="AU61" s="66"/>
      <c r="AV61" s="66"/>
      <c r="AW61" s="66"/>
    </row>
    <row r="62" spans="2:49" s="68" customFormat="1" ht="17.25" customHeight="1" x14ac:dyDescent="0.2">
      <c r="B62" s="56"/>
      <c r="C62" s="35"/>
      <c r="D62" s="36"/>
      <c r="E62" s="36"/>
      <c r="F62" s="37"/>
      <c r="G62" s="38"/>
      <c r="H62" s="37"/>
      <c r="I62" s="72"/>
      <c r="J62" s="69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4"/>
      <c r="AR62" s="66"/>
      <c r="AS62" s="67"/>
      <c r="AT62" s="66"/>
      <c r="AU62" s="66"/>
      <c r="AV62" s="66"/>
      <c r="AW62" s="66"/>
    </row>
    <row r="63" spans="2:49" s="68" customFormat="1" ht="17.25" customHeight="1" x14ac:dyDescent="0.2">
      <c r="B63" s="56" t="s">
        <v>83</v>
      </c>
      <c r="C63" s="35">
        <v>1066.83</v>
      </c>
      <c r="D63" s="36">
        <v>1350</v>
      </c>
      <c r="E63" s="36" t="s">
        <v>61</v>
      </c>
      <c r="F63" s="37">
        <f t="shared" ref="F63:F66" si="18">D63-C63</f>
        <v>283.17000000000007</v>
      </c>
      <c r="G63" s="38">
        <v>211.28</v>
      </c>
      <c r="H63" s="37">
        <f t="shared" ref="H63:H66" si="19">ROUND(F63*G63,2)</f>
        <v>59828.160000000003</v>
      </c>
      <c r="I63" s="72"/>
      <c r="J63" s="69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>
        <f>ROUND(H63/9,2)</f>
        <v>6647.57</v>
      </c>
      <c r="AJ63" s="33"/>
      <c r="AK63" s="33"/>
      <c r="AL63" s="33"/>
      <c r="AM63" s="33">
        <v>252.54</v>
      </c>
      <c r="AN63" s="33">
        <v>5</v>
      </c>
      <c r="AO63" s="33"/>
      <c r="AP63" s="33"/>
      <c r="AQ63" s="34"/>
      <c r="AR63" s="66"/>
      <c r="AS63" s="67"/>
      <c r="AT63" s="66"/>
      <c r="AU63" s="66"/>
      <c r="AV63" s="66"/>
      <c r="AW63" s="66"/>
    </row>
    <row r="64" spans="2:49" s="68" customFormat="1" ht="17.25" customHeight="1" x14ac:dyDescent="0.2">
      <c r="B64" s="56" t="s">
        <v>84</v>
      </c>
      <c r="C64" s="35">
        <v>1066.83</v>
      </c>
      <c r="D64" s="36">
        <v>1350</v>
      </c>
      <c r="E64" s="36" t="s">
        <v>61</v>
      </c>
      <c r="F64" s="37">
        <f t="shared" si="18"/>
        <v>283.17000000000007</v>
      </c>
      <c r="G64" s="38">
        <f>G63+1.5</f>
        <v>212.78</v>
      </c>
      <c r="H64" s="37">
        <f t="shared" si="19"/>
        <v>60252.91</v>
      </c>
      <c r="I64" s="72"/>
      <c r="J64" s="69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>
        <f>ROUND(H64*$AB$3/12/27,2)</f>
        <v>1115.79</v>
      </c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4"/>
      <c r="AR64" s="66"/>
      <c r="AS64" s="67"/>
      <c r="AT64" s="66"/>
      <c r="AU64" s="66"/>
      <c r="AV64" s="66"/>
      <c r="AW64" s="66"/>
    </row>
    <row r="65" spans="2:49" s="68" customFormat="1" ht="17.25" customHeight="1" x14ac:dyDescent="0.2">
      <c r="B65" s="56" t="s">
        <v>87</v>
      </c>
      <c r="C65" s="35">
        <v>1066.83</v>
      </c>
      <c r="D65" s="36">
        <v>1350</v>
      </c>
      <c r="E65" s="36" t="s">
        <v>61</v>
      </c>
      <c r="F65" s="37">
        <f t="shared" si="18"/>
        <v>283.17000000000007</v>
      </c>
      <c r="G65" s="38">
        <v>50</v>
      </c>
      <c r="H65" s="37">
        <f t="shared" si="19"/>
        <v>14158.5</v>
      </c>
      <c r="I65" s="72"/>
      <c r="J65" s="69"/>
      <c r="K65" s="33"/>
      <c r="L65" s="33"/>
      <c r="M65" s="33"/>
      <c r="N65" s="33"/>
      <c r="O65" s="33"/>
      <c r="P65" s="33">
        <f>ROUND(H65/9,2)</f>
        <v>1573.17</v>
      </c>
      <c r="Q65" s="33"/>
      <c r="R65" s="33"/>
      <c r="S65" s="33">
        <f>ROUND(H65*$S$3/12/27,2)</f>
        <v>262.19</v>
      </c>
      <c r="T65" s="33"/>
      <c r="U65" s="33">
        <f>S65</f>
        <v>262.19</v>
      </c>
      <c r="V65" s="33">
        <f>ROUND(P65/$V$3,2)</f>
        <v>0.79</v>
      </c>
      <c r="W65" s="33"/>
      <c r="X65" s="33">
        <f>P65</f>
        <v>1573.17</v>
      </c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4"/>
      <c r="AR65" s="66"/>
      <c r="AS65" s="67"/>
      <c r="AT65" s="66"/>
      <c r="AU65" s="66"/>
      <c r="AV65" s="66"/>
      <c r="AW65" s="66"/>
    </row>
    <row r="66" spans="2:49" s="68" customFormat="1" ht="17.25" customHeight="1" x14ac:dyDescent="0.2">
      <c r="B66" s="56" t="s">
        <v>90</v>
      </c>
      <c r="C66" s="35">
        <v>1066.83</v>
      </c>
      <c r="D66" s="36">
        <v>1350</v>
      </c>
      <c r="E66" s="36" t="s">
        <v>61</v>
      </c>
      <c r="F66" s="37">
        <f t="shared" si="18"/>
        <v>283.17000000000007</v>
      </c>
      <c r="G66" s="38">
        <f>G64-G65</f>
        <v>162.78</v>
      </c>
      <c r="H66" s="37">
        <f t="shared" si="19"/>
        <v>46094.41</v>
      </c>
      <c r="I66" s="72"/>
      <c r="J66" s="69"/>
      <c r="K66" s="33"/>
      <c r="L66" s="33"/>
      <c r="M66" s="33"/>
      <c r="N66" s="33"/>
      <c r="O66" s="33"/>
      <c r="P66" s="33">
        <f>ROUND(H66/9,2)</f>
        <v>5121.6000000000004</v>
      </c>
      <c r="Q66" s="33"/>
      <c r="R66" s="33">
        <f>ROUND(H66*$R$3/12/27,2)</f>
        <v>1707.2</v>
      </c>
      <c r="S66" s="33"/>
      <c r="T66" s="33">
        <f>R66</f>
        <v>1707.2</v>
      </c>
      <c r="U66" s="33"/>
      <c r="V66" s="33"/>
      <c r="W66" s="33">
        <f>ROUND(2*P66/$W$3,2)</f>
        <v>5.12</v>
      </c>
      <c r="X66" s="33">
        <f>P66</f>
        <v>5121.6000000000004</v>
      </c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4"/>
      <c r="AR66" s="66"/>
      <c r="AS66" s="67"/>
      <c r="AT66" s="66"/>
      <c r="AU66" s="66"/>
      <c r="AV66" s="66"/>
      <c r="AW66" s="66"/>
    </row>
    <row r="67" spans="2:49" s="68" customFormat="1" ht="17.25" customHeight="1" x14ac:dyDescent="0.2">
      <c r="B67" s="56"/>
      <c r="C67" s="35"/>
      <c r="D67" s="36"/>
      <c r="E67" s="36"/>
      <c r="F67" s="37"/>
      <c r="G67" s="38"/>
      <c r="H67" s="37"/>
      <c r="I67" s="72"/>
      <c r="J67" s="69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4"/>
      <c r="AR67" s="66"/>
      <c r="AS67" s="67"/>
      <c r="AT67" s="66"/>
      <c r="AU67" s="66"/>
      <c r="AV67" s="66"/>
      <c r="AW67" s="66"/>
    </row>
    <row r="68" spans="2:49" s="68" customFormat="1" ht="17.25" customHeight="1" x14ac:dyDescent="0.2">
      <c r="B68" s="56" t="s">
        <v>83</v>
      </c>
      <c r="C68" s="35">
        <v>1350</v>
      </c>
      <c r="D68" s="36">
        <v>1387.01</v>
      </c>
      <c r="E68" s="36" t="s">
        <v>61</v>
      </c>
      <c r="F68" s="37">
        <f t="shared" ref="F68:F70" si="20">D68-C68</f>
        <v>37.009999999999991</v>
      </c>
      <c r="G68" s="38">
        <v>211.28</v>
      </c>
      <c r="H68" s="37">
        <f t="shared" ref="H68:H70" si="21">ROUND(F68*G68,2)</f>
        <v>7819.47</v>
      </c>
      <c r="I68" s="72"/>
      <c r="J68" s="69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>
        <f>ROUND(H68/9,2)</f>
        <v>868.83</v>
      </c>
      <c r="AJ68" s="33"/>
      <c r="AK68" s="33"/>
      <c r="AL68" s="33"/>
      <c r="AM68" s="33">
        <f>F68</f>
        <v>37.009999999999991</v>
      </c>
      <c r="AN68" s="33"/>
      <c r="AO68" s="33"/>
      <c r="AP68" s="33"/>
      <c r="AQ68" s="34"/>
      <c r="AR68" s="66"/>
      <c r="AS68" s="67"/>
      <c r="AT68" s="66"/>
      <c r="AU68" s="66"/>
      <c r="AV68" s="66"/>
      <c r="AW68" s="66"/>
    </row>
    <row r="69" spans="2:49" s="68" customFormat="1" ht="17.25" customHeight="1" x14ac:dyDescent="0.2">
      <c r="B69" s="56" t="s">
        <v>84</v>
      </c>
      <c r="C69" s="35">
        <v>1350</v>
      </c>
      <c r="D69" s="36">
        <v>1387.01</v>
      </c>
      <c r="E69" s="36" t="s">
        <v>61</v>
      </c>
      <c r="F69" s="37">
        <f t="shared" si="20"/>
        <v>37.009999999999991</v>
      </c>
      <c r="G69" s="38">
        <f>G68+1.5</f>
        <v>212.78</v>
      </c>
      <c r="H69" s="37">
        <f t="shared" si="21"/>
        <v>7874.99</v>
      </c>
      <c r="I69" s="72"/>
      <c r="J69" s="69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>
        <f>ROUND(H69*$AB$3/12/27,2)</f>
        <v>145.83000000000001</v>
      </c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4"/>
      <c r="AR69" s="66"/>
      <c r="AS69" s="67"/>
      <c r="AT69" s="66"/>
      <c r="AU69" s="66"/>
      <c r="AV69" s="66"/>
      <c r="AW69" s="66"/>
    </row>
    <row r="70" spans="2:49" s="68" customFormat="1" ht="17.25" customHeight="1" x14ac:dyDescent="0.2">
      <c r="B70" s="56" t="s">
        <v>87</v>
      </c>
      <c r="C70" s="35">
        <v>1350</v>
      </c>
      <c r="D70" s="36">
        <v>1387.01</v>
      </c>
      <c r="E70" s="36" t="s">
        <v>61</v>
      </c>
      <c r="F70" s="37">
        <f t="shared" si="20"/>
        <v>37.009999999999991</v>
      </c>
      <c r="G70" s="38">
        <v>50</v>
      </c>
      <c r="H70" s="37">
        <f t="shared" si="21"/>
        <v>1850.5</v>
      </c>
      <c r="I70" s="72"/>
      <c r="J70" s="69"/>
      <c r="K70" s="33"/>
      <c r="L70" s="33"/>
      <c r="M70" s="33"/>
      <c r="N70" s="33"/>
      <c r="O70" s="33"/>
      <c r="P70" s="33">
        <f>ROUND(H70/9,2)</f>
        <v>205.61</v>
      </c>
      <c r="Q70" s="33"/>
      <c r="R70" s="33"/>
      <c r="S70" s="33">
        <f>ROUND(H70*$S$3/12/27,2)</f>
        <v>34.270000000000003</v>
      </c>
      <c r="T70" s="33"/>
      <c r="U70" s="33">
        <f>S70</f>
        <v>34.270000000000003</v>
      </c>
      <c r="V70" s="33">
        <f>ROUND(P70/$V$3,2)</f>
        <v>0.1</v>
      </c>
      <c r="W70" s="33"/>
      <c r="X70" s="33">
        <f>P70</f>
        <v>205.61</v>
      </c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4"/>
      <c r="AR70" s="66"/>
      <c r="AS70" s="67"/>
      <c r="AT70" s="66"/>
      <c r="AU70" s="66"/>
      <c r="AV70" s="66"/>
      <c r="AW70" s="66"/>
    </row>
    <row r="71" spans="2:49" s="68" customFormat="1" ht="17.25" customHeight="1" x14ac:dyDescent="0.2">
      <c r="B71" s="56" t="s">
        <v>91</v>
      </c>
      <c r="C71" s="35">
        <v>1350</v>
      </c>
      <c r="D71" s="36">
        <v>1387.01</v>
      </c>
      <c r="E71" s="36" t="s">
        <v>61</v>
      </c>
      <c r="F71" s="37">
        <f t="shared" ref="F71" si="22">D71-C71</f>
        <v>37.009999999999991</v>
      </c>
      <c r="G71" s="38">
        <f>G69-G70</f>
        <v>162.78</v>
      </c>
      <c r="H71" s="37">
        <f t="shared" ref="H71" si="23">ROUND(F71*G71,2)</f>
        <v>6024.49</v>
      </c>
      <c r="I71" s="72"/>
      <c r="J71" s="69"/>
      <c r="K71" s="33"/>
      <c r="L71" s="33"/>
      <c r="M71" s="33"/>
      <c r="N71" s="33"/>
      <c r="O71" s="33"/>
      <c r="P71" s="33">
        <f>ROUND(H71/9,2)</f>
        <v>669.39</v>
      </c>
      <c r="Q71" s="33"/>
      <c r="R71" s="33"/>
      <c r="S71" s="33"/>
      <c r="T71" s="33"/>
      <c r="U71" s="33"/>
      <c r="V71" s="33">
        <f>ROUND(P71/$V$3,2)</f>
        <v>0.33</v>
      </c>
      <c r="W71" s="33"/>
      <c r="X71" s="33"/>
      <c r="Y71" s="33"/>
      <c r="Z71" s="33"/>
      <c r="AA71" s="33"/>
      <c r="AB71" s="33">
        <f>ROUND(H71*$AB$3/12/27,2)</f>
        <v>111.56</v>
      </c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4"/>
      <c r="AR71" s="66"/>
      <c r="AS71" s="67"/>
      <c r="AT71" s="66"/>
      <c r="AU71" s="66"/>
      <c r="AV71" s="66"/>
      <c r="AW71" s="66"/>
    </row>
    <row r="72" spans="2:49" s="68" customFormat="1" ht="17.25" customHeight="1" x14ac:dyDescent="0.2">
      <c r="B72" s="56"/>
      <c r="C72" s="35"/>
      <c r="D72" s="36"/>
      <c r="E72" s="36"/>
      <c r="F72" s="37"/>
      <c r="G72" s="38"/>
      <c r="H72" s="37"/>
      <c r="I72" s="72"/>
      <c r="J72" s="69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4"/>
      <c r="AR72" s="66"/>
      <c r="AS72" s="67"/>
      <c r="AT72" s="66"/>
      <c r="AU72" s="66"/>
      <c r="AV72" s="66"/>
      <c r="AW72" s="66"/>
    </row>
    <row r="73" spans="2:49" s="68" customFormat="1" ht="17.25" customHeight="1" x14ac:dyDescent="0.2">
      <c r="B73" s="56" t="s">
        <v>83</v>
      </c>
      <c r="C73" s="35">
        <v>1387.01</v>
      </c>
      <c r="D73" s="36">
        <v>1720</v>
      </c>
      <c r="E73" s="36" t="s">
        <v>61</v>
      </c>
      <c r="F73" s="37">
        <f t="shared" ref="F73:F77" si="24">D73-C73</f>
        <v>332.99</v>
      </c>
      <c r="G73" s="38"/>
      <c r="H73" s="37"/>
      <c r="I73" s="72">
        <v>33690.33</v>
      </c>
      <c r="J73" s="69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>
        <f>ROUND(I73/9,2)</f>
        <v>3743.37</v>
      </c>
      <c r="AJ73" s="33"/>
      <c r="AK73" s="33"/>
      <c r="AL73" s="33"/>
      <c r="AM73" s="33"/>
      <c r="AN73" s="33">
        <v>397.45</v>
      </c>
      <c r="AO73" s="33"/>
      <c r="AP73" s="33"/>
      <c r="AQ73" s="34"/>
      <c r="AR73" s="66"/>
      <c r="AS73" s="67"/>
      <c r="AT73" s="66"/>
      <c r="AU73" s="66"/>
      <c r="AV73" s="66"/>
      <c r="AW73" s="66"/>
    </row>
    <row r="74" spans="2:49" s="68" customFormat="1" ht="17.25" customHeight="1" x14ac:dyDescent="0.2">
      <c r="B74" s="56" t="s">
        <v>84</v>
      </c>
      <c r="C74" s="35">
        <v>1387.01</v>
      </c>
      <c r="D74" s="36">
        <v>1720</v>
      </c>
      <c r="E74" s="36" t="s">
        <v>61</v>
      </c>
      <c r="F74" s="37">
        <f t="shared" si="24"/>
        <v>332.99</v>
      </c>
      <c r="G74" s="38"/>
      <c r="H74" s="37"/>
      <c r="I74" s="72">
        <v>34286.79</v>
      </c>
      <c r="J74" s="69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>
        <f>ROUND(I74*$AB$3/12/27,2)</f>
        <v>634.94000000000005</v>
      </c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4"/>
      <c r="AR74" s="66"/>
      <c r="AS74" s="67"/>
      <c r="AT74" s="66"/>
      <c r="AU74" s="66"/>
      <c r="AV74" s="66"/>
      <c r="AW74" s="66"/>
    </row>
    <row r="75" spans="2:49" s="68" customFormat="1" ht="17.25" customHeight="1" x14ac:dyDescent="0.2">
      <c r="B75" s="56" t="s">
        <v>87</v>
      </c>
      <c r="C75" s="35">
        <v>1387.01</v>
      </c>
      <c r="D75" s="36">
        <v>1720</v>
      </c>
      <c r="E75" s="36" t="s">
        <v>61</v>
      </c>
      <c r="F75" s="37">
        <f t="shared" si="24"/>
        <v>332.99</v>
      </c>
      <c r="G75" s="38"/>
      <c r="H75" s="37"/>
      <c r="I75" s="72">
        <v>12953.44</v>
      </c>
      <c r="J75" s="69"/>
      <c r="K75" s="33"/>
      <c r="L75" s="33"/>
      <c r="M75" s="33"/>
      <c r="N75" s="33"/>
      <c r="O75" s="33"/>
      <c r="P75" s="33">
        <f>ROUND(I75/9,2)</f>
        <v>1439.27</v>
      </c>
      <c r="Q75" s="33"/>
      <c r="R75" s="33"/>
      <c r="S75" s="33">
        <f>ROUND(I75*$S$3/12/27,2)</f>
        <v>239.88</v>
      </c>
      <c r="T75" s="33"/>
      <c r="U75" s="33">
        <f>S75</f>
        <v>239.88</v>
      </c>
      <c r="V75" s="33">
        <f>ROUND(P75/$V$3,2)</f>
        <v>0.72</v>
      </c>
      <c r="W75" s="33"/>
      <c r="X75" s="33">
        <f>P75</f>
        <v>1439.27</v>
      </c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4"/>
      <c r="AR75" s="66"/>
      <c r="AS75" s="67"/>
      <c r="AT75" s="66"/>
      <c r="AU75" s="66"/>
      <c r="AV75" s="66"/>
      <c r="AW75" s="66"/>
    </row>
    <row r="76" spans="2:49" s="68" customFormat="1" ht="17.25" customHeight="1" x14ac:dyDescent="0.2">
      <c r="B76" s="56" t="s">
        <v>89</v>
      </c>
      <c r="C76" s="35">
        <v>1387.01</v>
      </c>
      <c r="D76" s="36">
        <v>1720</v>
      </c>
      <c r="E76" s="36" t="s">
        <v>61</v>
      </c>
      <c r="F76" s="37">
        <f t="shared" si="24"/>
        <v>332.99</v>
      </c>
      <c r="G76" s="38"/>
      <c r="H76" s="37"/>
      <c r="I76" s="72">
        <v>1613.32</v>
      </c>
      <c r="J76" s="69"/>
      <c r="K76" s="33"/>
      <c r="L76" s="33"/>
      <c r="M76" s="33"/>
      <c r="N76" s="33"/>
      <c r="O76" s="33"/>
      <c r="P76" s="33">
        <f>ROUND(I76/9,2)</f>
        <v>179.26</v>
      </c>
      <c r="Q76" s="33">
        <f>ROUND(I76*$Q$3/12/27,2)</f>
        <v>29.88</v>
      </c>
      <c r="R76" s="33"/>
      <c r="S76" s="33"/>
      <c r="T76" s="33"/>
      <c r="U76" s="33">
        <f>Q76</f>
        <v>29.88</v>
      </c>
      <c r="V76" s="33">
        <f>ROUND(P76/$V$3,2)</f>
        <v>0.09</v>
      </c>
      <c r="W76" s="33"/>
      <c r="X76" s="33">
        <f>P76</f>
        <v>179.26</v>
      </c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4"/>
      <c r="AR76" s="66"/>
      <c r="AS76" s="67"/>
      <c r="AT76" s="66"/>
      <c r="AU76" s="66"/>
      <c r="AV76" s="66"/>
      <c r="AW76" s="66"/>
    </row>
    <row r="77" spans="2:49" s="68" customFormat="1" ht="17.25" customHeight="1" x14ac:dyDescent="0.2">
      <c r="B77" s="56" t="s">
        <v>91</v>
      </c>
      <c r="C77" s="35">
        <v>1387.01</v>
      </c>
      <c r="D77" s="36">
        <v>1720</v>
      </c>
      <c r="E77" s="36" t="s">
        <v>61</v>
      </c>
      <c r="F77" s="37">
        <f t="shared" si="24"/>
        <v>332.99</v>
      </c>
      <c r="G77" s="38"/>
      <c r="H77" s="37"/>
      <c r="I77" s="72">
        <v>19720.03</v>
      </c>
      <c r="J77" s="69"/>
      <c r="K77" s="33"/>
      <c r="L77" s="33"/>
      <c r="M77" s="33"/>
      <c r="N77" s="33"/>
      <c r="O77" s="33"/>
      <c r="P77" s="33">
        <f>ROUND(I77/9,2)</f>
        <v>2191.11</v>
      </c>
      <c r="Q77" s="33"/>
      <c r="R77" s="33"/>
      <c r="S77" s="33"/>
      <c r="T77" s="33"/>
      <c r="U77" s="33"/>
      <c r="V77" s="33">
        <f>ROUND(P77/$V$3,2)</f>
        <v>1.1000000000000001</v>
      </c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4"/>
      <c r="AR77" s="66"/>
      <c r="AS77" s="67"/>
      <c r="AT77" s="66"/>
      <c r="AU77" s="66"/>
      <c r="AV77" s="66"/>
      <c r="AW77" s="66"/>
    </row>
    <row r="78" spans="2:49" s="68" customFormat="1" ht="17.25" customHeight="1" x14ac:dyDescent="0.2">
      <c r="B78" s="56"/>
      <c r="C78" s="35"/>
      <c r="D78" s="36"/>
      <c r="E78" s="36"/>
      <c r="F78" s="37"/>
      <c r="G78" s="38"/>
      <c r="H78" s="37"/>
      <c r="I78" s="72"/>
      <c r="J78" s="69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4"/>
      <c r="AR78" s="66"/>
      <c r="AS78" s="67"/>
      <c r="AT78" s="66"/>
      <c r="AU78" s="66"/>
      <c r="AV78" s="66"/>
      <c r="AW78" s="66"/>
    </row>
    <row r="79" spans="2:49" s="68" customFormat="1" ht="17.25" customHeight="1" x14ac:dyDescent="0.2">
      <c r="B79" s="56" t="s">
        <v>83</v>
      </c>
      <c r="C79" s="35">
        <v>900</v>
      </c>
      <c r="D79" s="36">
        <v>1000</v>
      </c>
      <c r="E79" s="36" t="s">
        <v>63</v>
      </c>
      <c r="F79" s="37">
        <f t="shared" ref="F79:F82" si="25">D79-C79</f>
        <v>100</v>
      </c>
      <c r="G79" s="38">
        <f>AVERAGE(16+4,45+4)</f>
        <v>34.5</v>
      </c>
      <c r="H79" s="37">
        <f t="shared" ref="H79:H82" si="26">ROUND(F79*G79,2)</f>
        <v>3450</v>
      </c>
      <c r="I79" s="72"/>
      <c r="J79" s="69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>
        <f>ROUND(H79/9,2)</f>
        <v>383.33</v>
      </c>
      <c r="AJ79" s="33"/>
      <c r="AK79" s="33"/>
      <c r="AL79" s="33"/>
      <c r="AM79" s="33"/>
      <c r="AN79" s="33"/>
      <c r="AO79" s="33"/>
      <c r="AP79" s="33"/>
      <c r="AQ79" s="34"/>
      <c r="AR79" s="66"/>
      <c r="AS79" s="67"/>
      <c r="AT79" s="66"/>
      <c r="AU79" s="66"/>
      <c r="AV79" s="66"/>
      <c r="AW79" s="66"/>
    </row>
    <row r="80" spans="2:49" s="68" customFormat="1" ht="17.25" customHeight="1" x14ac:dyDescent="0.2">
      <c r="B80" s="56" t="s">
        <v>84</v>
      </c>
      <c r="C80" s="35">
        <v>900</v>
      </c>
      <c r="D80" s="36">
        <v>1000</v>
      </c>
      <c r="E80" s="36" t="s">
        <v>63</v>
      </c>
      <c r="F80" s="37">
        <f t="shared" si="25"/>
        <v>100</v>
      </c>
      <c r="G80" s="38">
        <f>G79+0.5</f>
        <v>35</v>
      </c>
      <c r="H80" s="37">
        <f t="shared" si="26"/>
        <v>3500</v>
      </c>
      <c r="I80" s="72"/>
      <c r="J80" s="69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>
        <f>ROUND(H80*$AB$3/12/27,2)</f>
        <v>64.81</v>
      </c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4"/>
      <c r="AR80" s="66"/>
      <c r="AS80" s="67"/>
      <c r="AT80" s="66"/>
      <c r="AU80" s="66"/>
      <c r="AV80" s="66"/>
      <c r="AW80" s="66"/>
    </row>
    <row r="81" spans="2:49" s="68" customFormat="1" ht="17.25" customHeight="1" x14ac:dyDescent="0.2">
      <c r="B81" s="56" t="s">
        <v>87</v>
      </c>
      <c r="C81" s="35">
        <v>900</v>
      </c>
      <c r="D81" s="36">
        <v>1000</v>
      </c>
      <c r="E81" s="36" t="s">
        <v>63</v>
      </c>
      <c r="F81" s="37">
        <f t="shared" si="25"/>
        <v>100</v>
      </c>
      <c r="G81" s="38">
        <f>G79+1.5</f>
        <v>36</v>
      </c>
      <c r="H81" s="37">
        <f t="shared" si="26"/>
        <v>3600</v>
      </c>
      <c r="I81" s="72"/>
      <c r="J81" s="69"/>
      <c r="K81" s="33"/>
      <c r="L81" s="33"/>
      <c r="M81" s="33"/>
      <c r="N81" s="33"/>
      <c r="O81" s="33"/>
      <c r="P81" s="33">
        <f>ROUND(H81/9,2)</f>
        <v>400</v>
      </c>
      <c r="Q81" s="33"/>
      <c r="R81" s="33"/>
      <c r="S81" s="33">
        <f>ROUND(H81*$S$3/12/27,2)</f>
        <v>66.67</v>
      </c>
      <c r="T81" s="33"/>
      <c r="U81" s="33">
        <f>S81</f>
        <v>66.67</v>
      </c>
      <c r="V81" s="33">
        <f>ROUND(P81/$V$3,2)</f>
        <v>0.2</v>
      </c>
      <c r="W81" s="33"/>
      <c r="X81" s="33">
        <f>P81</f>
        <v>400</v>
      </c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4"/>
      <c r="AR81" s="66"/>
      <c r="AS81" s="67"/>
      <c r="AT81" s="66"/>
      <c r="AU81" s="66"/>
      <c r="AV81" s="66"/>
      <c r="AW81" s="66"/>
    </row>
    <row r="82" spans="2:49" s="68" customFormat="1" ht="17.25" customHeight="1" x14ac:dyDescent="0.2">
      <c r="B82" s="56" t="s">
        <v>85</v>
      </c>
      <c r="C82" s="35">
        <v>900</v>
      </c>
      <c r="D82" s="36">
        <v>1000</v>
      </c>
      <c r="E82" s="36" t="s">
        <v>63</v>
      </c>
      <c r="F82" s="37">
        <f t="shared" si="25"/>
        <v>100</v>
      </c>
      <c r="G82" s="38">
        <v>2</v>
      </c>
      <c r="H82" s="37">
        <f t="shared" si="26"/>
        <v>200</v>
      </c>
      <c r="I82" s="72"/>
      <c r="J82" s="69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>
        <f>ROUND(H82*$AF$3/9,2)</f>
        <v>8.89</v>
      </c>
      <c r="AG82" s="33"/>
      <c r="AH82" s="33"/>
      <c r="AI82" s="33"/>
      <c r="AJ82" s="33"/>
      <c r="AK82" s="33"/>
      <c r="AL82" s="33"/>
      <c r="AM82" s="33"/>
      <c r="AN82" s="33"/>
      <c r="AO82" s="33">
        <f>ROUND(H82*$AO$3/12/27,2)</f>
        <v>0.62</v>
      </c>
      <c r="AP82" s="33"/>
      <c r="AQ82" s="34"/>
      <c r="AR82" s="66"/>
      <c r="AS82" s="67"/>
      <c r="AT82" s="66"/>
      <c r="AU82" s="66"/>
      <c r="AV82" s="66"/>
      <c r="AW82" s="66"/>
    </row>
    <row r="83" spans="2:49" s="68" customFormat="1" ht="17.25" customHeight="1" x14ac:dyDescent="0.2">
      <c r="B83" s="56"/>
      <c r="C83" s="35"/>
      <c r="D83" s="36"/>
      <c r="E83" s="36"/>
      <c r="F83" s="37"/>
      <c r="G83" s="38"/>
      <c r="H83" s="37"/>
      <c r="I83" s="72"/>
      <c r="J83" s="69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4"/>
      <c r="AR83" s="66"/>
      <c r="AS83" s="67"/>
      <c r="AT83" s="66"/>
      <c r="AU83" s="66"/>
      <c r="AV83" s="66"/>
      <c r="AW83" s="66"/>
    </row>
    <row r="84" spans="2:49" s="68" customFormat="1" ht="17.25" customHeight="1" x14ac:dyDescent="0.2">
      <c r="B84" s="56" t="s">
        <v>83</v>
      </c>
      <c r="C84" s="35">
        <v>1000</v>
      </c>
      <c r="D84" s="36">
        <v>1620.87</v>
      </c>
      <c r="E84" s="36" t="s">
        <v>63</v>
      </c>
      <c r="F84" s="37">
        <f t="shared" ref="F84:F87" si="27">D84-C84</f>
        <v>620.86999999999989</v>
      </c>
      <c r="G84" s="38">
        <v>49</v>
      </c>
      <c r="H84" s="37">
        <f t="shared" ref="H84:H87" si="28">ROUND(F84*G84,2)</f>
        <v>30422.63</v>
      </c>
      <c r="I84" s="72"/>
      <c r="J84" s="69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>
        <f>ROUND(H84/9,2)</f>
        <v>3380.29</v>
      </c>
      <c r="AJ84" s="33"/>
      <c r="AK84" s="33"/>
      <c r="AL84" s="33"/>
      <c r="AM84" s="33"/>
      <c r="AN84" s="33"/>
      <c r="AO84" s="33"/>
      <c r="AP84" s="33"/>
      <c r="AQ84" s="34"/>
      <c r="AR84" s="66"/>
      <c r="AS84" s="67"/>
      <c r="AT84" s="66"/>
      <c r="AU84" s="66"/>
      <c r="AV84" s="66"/>
      <c r="AW84" s="66"/>
    </row>
    <row r="85" spans="2:49" s="68" customFormat="1" ht="17.25" customHeight="1" x14ac:dyDescent="0.2">
      <c r="B85" s="56" t="s">
        <v>84</v>
      </c>
      <c r="C85" s="35">
        <v>1000</v>
      </c>
      <c r="D85" s="36">
        <v>1620.87</v>
      </c>
      <c r="E85" s="36" t="s">
        <v>63</v>
      </c>
      <c r="F85" s="37">
        <f t="shared" si="27"/>
        <v>620.86999999999989</v>
      </c>
      <c r="G85" s="38">
        <f>G84+0.5</f>
        <v>49.5</v>
      </c>
      <c r="H85" s="37">
        <f t="shared" si="28"/>
        <v>30733.07</v>
      </c>
      <c r="I85" s="72"/>
      <c r="J85" s="69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>
        <f>ROUND(H85*$AB$3/12/27,2)</f>
        <v>569.13</v>
      </c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4"/>
      <c r="AR85" s="66"/>
      <c r="AS85" s="67"/>
      <c r="AT85" s="66"/>
      <c r="AU85" s="66"/>
      <c r="AV85" s="66"/>
      <c r="AW85" s="66"/>
    </row>
    <row r="86" spans="2:49" s="68" customFormat="1" ht="17.25" customHeight="1" x14ac:dyDescent="0.2">
      <c r="B86" s="56" t="s">
        <v>87</v>
      </c>
      <c r="C86" s="35">
        <v>1000</v>
      </c>
      <c r="D86" s="36">
        <v>1620.87</v>
      </c>
      <c r="E86" s="36" t="s">
        <v>63</v>
      </c>
      <c r="F86" s="37">
        <f t="shared" si="27"/>
        <v>620.86999999999989</v>
      </c>
      <c r="G86" s="38">
        <f>G84+1.5</f>
        <v>50.5</v>
      </c>
      <c r="H86" s="37">
        <f t="shared" si="28"/>
        <v>31353.94</v>
      </c>
      <c r="I86" s="72"/>
      <c r="J86" s="69"/>
      <c r="K86" s="33"/>
      <c r="L86" s="33"/>
      <c r="M86" s="33"/>
      <c r="N86" s="33"/>
      <c r="O86" s="33"/>
      <c r="P86" s="33">
        <f>ROUND(H86/9,2)</f>
        <v>3483.77</v>
      </c>
      <c r="Q86" s="33"/>
      <c r="R86" s="33"/>
      <c r="S86" s="33">
        <f>ROUND(H86*$S$3/12/27,2)</f>
        <v>580.63</v>
      </c>
      <c r="T86" s="33"/>
      <c r="U86" s="33">
        <f>S86</f>
        <v>580.63</v>
      </c>
      <c r="V86" s="33">
        <f>ROUND(P86/$V$3,2)</f>
        <v>1.74</v>
      </c>
      <c r="W86" s="33"/>
      <c r="X86" s="33">
        <f>P86</f>
        <v>3483.77</v>
      </c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4"/>
      <c r="AR86" s="66"/>
      <c r="AS86" s="67"/>
      <c r="AT86" s="66"/>
      <c r="AU86" s="66"/>
      <c r="AV86" s="66"/>
      <c r="AW86" s="66"/>
    </row>
    <row r="87" spans="2:49" s="68" customFormat="1" ht="17.25" customHeight="1" x14ac:dyDescent="0.2">
      <c r="B87" s="56" t="s">
        <v>85</v>
      </c>
      <c r="C87" s="35">
        <v>1000</v>
      </c>
      <c r="D87" s="36">
        <v>1620.87</v>
      </c>
      <c r="E87" s="36" t="s">
        <v>63</v>
      </c>
      <c r="F87" s="37">
        <f t="shared" si="27"/>
        <v>620.86999999999989</v>
      </c>
      <c r="G87" s="38">
        <v>2</v>
      </c>
      <c r="H87" s="37">
        <f t="shared" si="28"/>
        <v>1241.74</v>
      </c>
      <c r="I87" s="72"/>
      <c r="J87" s="69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>
        <f>ROUND(H87*$AF$3/9,2)</f>
        <v>55.19</v>
      </c>
      <c r="AG87" s="33"/>
      <c r="AH87" s="33"/>
      <c r="AI87" s="33"/>
      <c r="AJ87" s="33"/>
      <c r="AK87" s="33"/>
      <c r="AL87" s="33"/>
      <c r="AM87" s="33"/>
      <c r="AN87" s="33"/>
      <c r="AO87" s="33">
        <f>ROUND(H87*$AO$3/12/27,2)</f>
        <v>3.83</v>
      </c>
      <c r="AP87" s="33"/>
      <c r="AQ87" s="34"/>
      <c r="AR87" s="66"/>
      <c r="AS87" s="67"/>
      <c r="AT87" s="66"/>
      <c r="AU87" s="66"/>
      <c r="AV87" s="66"/>
      <c r="AW87" s="66"/>
    </row>
    <row r="88" spans="2:49" s="68" customFormat="1" ht="17.25" customHeight="1" x14ac:dyDescent="0.2">
      <c r="B88" s="56"/>
      <c r="C88" s="35"/>
      <c r="D88" s="36"/>
      <c r="E88" s="36"/>
      <c r="F88" s="37"/>
      <c r="G88" s="38"/>
      <c r="H88" s="37"/>
      <c r="I88" s="72"/>
      <c r="J88" s="69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4"/>
      <c r="AR88" s="66"/>
      <c r="AS88" s="67"/>
      <c r="AT88" s="66"/>
      <c r="AU88" s="66"/>
      <c r="AV88" s="66"/>
      <c r="AW88" s="66"/>
    </row>
    <row r="89" spans="2:49" s="68" customFormat="1" ht="17.25" customHeight="1" x14ac:dyDescent="0.2">
      <c r="B89" s="56" t="s">
        <v>83</v>
      </c>
      <c r="C89" s="35">
        <v>1620.87</v>
      </c>
      <c r="D89" s="36">
        <v>1650</v>
      </c>
      <c r="E89" s="36" t="s">
        <v>63</v>
      </c>
      <c r="F89" s="37">
        <f t="shared" ref="F89:F92" si="29">D89-C89</f>
        <v>29.130000000000109</v>
      </c>
      <c r="G89" s="38">
        <f>AVERAGE(49,48.78)</f>
        <v>48.89</v>
      </c>
      <c r="H89" s="37">
        <f t="shared" ref="H89:H92" si="30">ROUND(F89*G89,2)</f>
        <v>1424.17</v>
      </c>
      <c r="I89" s="72"/>
      <c r="J89" s="69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>
        <f>ROUND(H89/9,2)</f>
        <v>158.24</v>
      </c>
      <c r="AJ89" s="33"/>
      <c r="AK89" s="33"/>
      <c r="AL89" s="33"/>
      <c r="AM89" s="33"/>
      <c r="AN89" s="33"/>
      <c r="AO89" s="33"/>
      <c r="AP89" s="33"/>
      <c r="AQ89" s="34"/>
      <c r="AR89" s="66"/>
      <c r="AS89" s="67"/>
      <c r="AT89" s="66"/>
      <c r="AU89" s="66"/>
      <c r="AV89" s="66"/>
      <c r="AW89" s="66"/>
    </row>
    <row r="90" spans="2:49" s="68" customFormat="1" ht="17.25" customHeight="1" x14ac:dyDescent="0.2">
      <c r="B90" s="56" t="s">
        <v>84</v>
      </c>
      <c r="C90" s="35">
        <v>1620.87</v>
      </c>
      <c r="D90" s="36">
        <v>1650</v>
      </c>
      <c r="E90" s="36" t="s">
        <v>63</v>
      </c>
      <c r="F90" s="37">
        <f t="shared" si="29"/>
        <v>29.130000000000109</v>
      </c>
      <c r="G90" s="38">
        <f>G89+0.5</f>
        <v>49.39</v>
      </c>
      <c r="H90" s="37">
        <f t="shared" si="30"/>
        <v>1438.73</v>
      </c>
      <c r="I90" s="72"/>
      <c r="J90" s="69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>
        <f>ROUND(H90*$AB$3/12/27,2)</f>
        <v>26.64</v>
      </c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4"/>
      <c r="AR90" s="66"/>
      <c r="AS90" s="67"/>
      <c r="AT90" s="66"/>
      <c r="AU90" s="66"/>
      <c r="AV90" s="66"/>
      <c r="AW90" s="66"/>
    </row>
    <row r="91" spans="2:49" s="68" customFormat="1" ht="17.25" customHeight="1" x14ac:dyDescent="0.2">
      <c r="B91" s="56" t="s">
        <v>87</v>
      </c>
      <c r="C91" s="35">
        <v>1620.87</v>
      </c>
      <c r="D91" s="36">
        <v>1650</v>
      </c>
      <c r="E91" s="36" t="s">
        <v>63</v>
      </c>
      <c r="F91" s="37">
        <f t="shared" si="29"/>
        <v>29.130000000000109</v>
      </c>
      <c r="G91" s="38">
        <f>G89+1.5</f>
        <v>50.39</v>
      </c>
      <c r="H91" s="37">
        <f t="shared" si="30"/>
        <v>1467.86</v>
      </c>
      <c r="I91" s="72"/>
      <c r="J91" s="69"/>
      <c r="K91" s="33"/>
      <c r="L91" s="33"/>
      <c r="M91" s="33"/>
      <c r="N91" s="33"/>
      <c r="O91" s="33"/>
      <c r="P91" s="33">
        <f>ROUND(H91/9,2)</f>
        <v>163.1</v>
      </c>
      <c r="Q91" s="33"/>
      <c r="R91" s="33"/>
      <c r="S91" s="33">
        <f>ROUND(H91*$S$3/12/27,2)</f>
        <v>27.18</v>
      </c>
      <c r="T91" s="33"/>
      <c r="U91" s="33">
        <f>S91</f>
        <v>27.18</v>
      </c>
      <c r="V91" s="33">
        <f>ROUND(P91/$V$3,2)</f>
        <v>0.08</v>
      </c>
      <c r="W91" s="33"/>
      <c r="X91" s="33">
        <f>P91</f>
        <v>163.1</v>
      </c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4"/>
      <c r="AR91" s="66"/>
      <c r="AS91" s="67"/>
      <c r="AT91" s="66"/>
      <c r="AU91" s="66"/>
      <c r="AV91" s="66"/>
      <c r="AW91" s="66"/>
    </row>
    <row r="92" spans="2:49" s="68" customFormat="1" ht="17.25" customHeight="1" x14ac:dyDescent="0.2">
      <c r="B92" s="56" t="s">
        <v>85</v>
      </c>
      <c r="C92" s="35">
        <v>1620.87</v>
      </c>
      <c r="D92" s="36">
        <v>1650</v>
      </c>
      <c r="E92" s="36" t="s">
        <v>63</v>
      </c>
      <c r="F92" s="37">
        <f t="shared" si="29"/>
        <v>29.130000000000109</v>
      </c>
      <c r="G92" s="38">
        <v>2</v>
      </c>
      <c r="H92" s="37">
        <f t="shared" si="30"/>
        <v>58.26</v>
      </c>
      <c r="I92" s="72"/>
      <c r="J92" s="69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>
        <f>ROUND(H92*$AF$3/9,2)</f>
        <v>2.59</v>
      </c>
      <c r="AG92" s="33"/>
      <c r="AH92" s="33"/>
      <c r="AI92" s="33"/>
      <c r="AJ92" s="33"/>
      <c r="AK92" s="33"/>
      <c r="AL92" s="33"/>
      <c r="AM92" s="33"/>
      <c r="AN92" s="33"/>
      <c r="AO92" s="33">
        <f>ROUND(H92*$AO$3/12/27,2)</f>
        <v>0.18</v>
      </c>
      <c r="AP92" s="33"/>
      <c r="AQ92" s="34"/>
      <c r="AR92" s="66"/>
      <c r="AS92" s="67"/>
      <c r="AT92" s="66"/>
      <c r="AU92" s="66"/>
      <c r="AV92" s="66"/>
      <c r="AW92" s="66"/>
    </row>
    <row r="93" spans="2:49" s="68" customFormat="1" ht="17.25" customHeight="1" x14ac:dyDescent="0.2">
      <c r="B93" s="56"/>
      <c r="C93" s="35"/>
      <c r="D93" s="36"/>
      <c r="E93" s="36"/>
      <c r="F93" s="37"/>
      <c r="G93" s="38"/>
      <c r="H93" s="37"/>
      <c r="I93" s="72"/>
      <c r="J93" s="69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4"/>
      <c r="AR93" s="66"/>
      <c r="AS93" s="67"/>
      <c r="AT93" s="66"/>
      <c r="AU93" s="66"/>
      <c r="AV93" s="66"/>
      <c r="AW93" s="66"/>
    </row>
    <row r="94" spans="2:49" s="68" customFormat="1" ht="17.25" customHeight="1" x14ac:dyDescent="0.2">
      <c r="B94" s="56" t="s">
        <v>83</v>
      </c>
      <c r="C94" s="35">
        <v>1650</v>
      </c>
      <c r="D94" s="36">
        <v>1720</v>
      </c>
      <c r="E94" s="36" t="s">
        <v>63</v>
      </c>
      <c r="F94" s="37">
        <f t="shared" ref="F94:F97" si="31">D94-C94</f>
        <v>70</v>
      </c>
      <c r="G94" s="38">
        <f>AVERAGE(48.78,46.53)</f>
        <v>47.655000000000001</v>
      </c>
      <c r="H94" s="37">
        <f t="shared" ref="H94:H97" si="32">ROUND(F94*G94,2)</f>
        <v>3335.85</v>
      </c>
      <c r="I94" s="72"/>
      <c r="J94" s="69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>
        <f>ROUND(H94/9,2)</f>
        <v>370.65</v>
      </c>
      <c r="AJ94" s="33"/>
      <c r="AK94" s="33"/>
      <c r="AL94" s="33"/>
      <c r="AM94" s="33"/>
      <c r="AN94" s="33"/>
      <c r="AO94" s="33"/>
      <c r="AP94" s="33"/>
      <c r="AQ94" s="34"/>
      <c r="AR94" s="66"/>
      <c r="AS94" s="67"/>
      <c r="AT94" s="66"/>
      <c r="AU94" s="66"/>
      <c r="AV94" s="66"/>
      <c r="AW94" s="66"/>
    </row>
    <row r="95" spans="2:49" s="68" customFormat="1" ht="17.25" customHeight="1" x14ac:dyDescent="0.2">
      <c r="B95" s="56" t="s">
        <v>84</v>
      </c>
      <c r="C95" s="35">
        <v>1650</v>
      </c>
      <c r="D95" s="36">
        <v>1720</v>
      </c>
      <c r="E95" s="36" t="s">
        <v>63</v>
      </c>
      <c r="F95" s="37">
        <f t="shared" si="31"/>
        <v>70</v>
      </c>
      <c r="G95" s="38">
        <f>G94+0.5</f>
        <v>48.155000000000001</v>
      </c>
      <c r="H95" s="37">
        <f t="shared" si="32"/>
        <v>3370.85</v>
      </c>
      <c r="I95" s="72"/>
      <c r="J95" s="69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>
        <f>ROUND(H95*$AB$3/12/27,2)</f>
        <v>62.42</v>
      </c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4"/>
      <c r="AR95" s="66"/>
      <c r="AS95" s="67"/>
      <c r="AT95" s="66"/>
      <c r="AU95" s="66"/>
      <c r="AV95" s="66"/>
      <c r="AW95" s="66"/>
    </row>
    <row r="96" spans="2:49" s="68" customFormat="1" ht="17.25" customHeight="1" x14ac:dyDescent="0.2">
      <c r="B96" s="56" t="s">
        <v>89</v>
      </c>
      <c r="C96" s="35">
        <v>1650</v>
      </c>
      <c r="D96" s="36">
        <v>1720</v>
      </c>
      <c r="E96" s="36" t="s">
        <v>63</v>
      </c>
      <c r="F96" s="37">
        <f t="shared" si="31"/>
        <v>70</v>
      </c>
      <c r="G96" s="38">
        <f>G94+1.5</f>
        <v>49.155000000000001</v>
      </c>
      <c r="H96" s="37">
        <f t="shared" si="32"/>
        <v>3440.85</v>
      </c>
      <c r="I96" s="72"/>
      <c r="J96" s="69"/>
      <c r="K96" s="33"/>
      <c r="L96" s="33"/>
      <c r="M96" s="33"/>
      <c r="N96" s="33"/>
      <c r="O96" s="33"/>
      <c r="P96" s="33">
        <f>ROUND(H96/9,2)</f>
        <v>382.32</v>
      </c>
      <c r="Q96" s="33">
        <f>ROUND(H96*$Q$3/12/27,2)</f>
        <v>63.72</v>
      </c>
      <c r="R96" s="33"/>
      <c r="S96" s="33"/>
      <c r="T96" s="33"/>
      <c r="U96" s="33">
        <f>Q96</f>
        <v>63.72</v>
      </c>
      <c r="V96" s="33">
        <f>ROUND(P96/$V$3,2)</f>
        <v>0.19</v>
      </c>
      <c r="W96" s="33"/>
      <c r="X96" s="33">
        <f>P96</f>
        <v>382.32</v>
      </c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4"/>
      <c r="AR96" s="66"/>
      <c r="AS96" s="67"/>
      <c r="AT96" s="66"/>
      <c r="AU96" s="66"/>
      <c r="AV96" s="66"/>
      <c r="AW96" s="66"/>
    </row>
    <row r="97" spans="2:49" s="68" customFormat="1" ht="17.25" customHeight="1" x14ac:dyDescent="0.2">
      <c r="B97" s="56" t="s">
        <v>85</v>
      </c>
      <c r="C97" s="35">
        <v>1650</v>
      </c>
      <c r="D97" s="36">
        <v>1720</v>
      </c>
      <c r="E97" s="36" t="s">
        <v>63</v>
      </c>
      <c r="F97" s="37">
        <f t="shared" si="31"/>
        <v>70</v>
      </c>
      <c r="G97" s="38">
        <v>2</v>
      </c>
      <c r="H97" s="37">
        <f t="shared" si="32"/>
        <v>140</v>
      </c>
      <c r="I97" s="72"/>
      <c r="J97" s="69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>
        <f>ROUND(H97*$AF$3/9,2)</f>
        <v>6.22</v>
      </c>
      <c r="AG97" s="33"/>
      <c r="AH97" s="33"/>
      <c r="AI97" s="33"/>
      <c r="AJ97" s="33"/>
      <c r="AK97" s="33"/>
      <c r="AL97" s="33"/>
      <c r="AM97" s="33"/>
      <c r="AN97" s="33"/>
      <c r="AO97" s="33">
        <f>ROUND(H97*$AO$3/12/27,2)</f>
        <v>0.43</v>
      </c>
      <c r="AP97" s="33"/>
      <c r="AQ97" s="34"/>
      <c r="AR97" s="66"/>
      <c r="AS97" s="67"/>
      <c r="AT97" s="66"/>
      <c r="AU97" s="66"/>
      <c r="AV97" s="66"/>
      <c r="AW97" s="66"/>
    </row>
    <row r="98" spans="2:49" s="68" customFormat="1" ht="17.25" customHeight="1" x14ac:dyDescent="0.2">
      <c r="B98" s="56"/>
      <c r="C98" s="35"/>
      <c r="D98" s="36"/>
      <c r="E98" s="36"/>
      <c r="F98" s="37"/>
      <c r="G98" s="38"/>
      <c r="H98" s="37"/>
      <c r="I98" s="72"/>
      <c r="J98" s="69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4"/>
      <c r="AR98" s="66"/>
      <c r="AS98" s="67"/>
      <c r="AT98" s="66"/>
      <c r="AU98" s="66"/>
      <c r="AV98" s="66"/>
      <c r="AW98" s="66"/>
    </row>
    <row r="99" spans="2:49" s="68" customFormat="1" ht="17.25" customHeight="1" x14ac:dyDescent="0.2">
      <c r="B99" s="56" t="s">
        <v>92</v>
      </c>
      <c r="C99" s="35">
        <v>1720</v>
      </c>
      <c r="D99" s="36">
        <v>2050</v>
      </c>
      <c r="E99" s="36" t="s">
        <v>62</v>
      </c>
      <c r="F99" s="37">
        <f t="shared" ref="F99:F102" si="33">D99-C99</f>
        <v>330</v>
      </c>
      <c r="G99" s="38"/>
      <c r="H99" s="37"/>
      <c r="I99" s="72">
        <v>14638.5</v>
      </c>
      <c r="J99" s="69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>
        <f>ROUND(I99/9,2)</f>
        <v>1626.5</v>
      </c>
      <c r="AJ99" s="33"/>
      <c r="AK99" s="33"/>
      <c r="AL99" s="33"/>
      <c r="AM99" s="33"/>
      <c r="AN99" s="33"/>
      <c r="AO99" s="33"/>
      <c r="AP99" s="33"/>
      <c r="AQ99" s="34"/>
      <c r="AR99" s="66"/>
      <c r="AS99" s="67"/>
      <c r="AT99" s="66"/>
      <c r="AU99" s="66"/>
      <c r="AV99" s="66"/>
      <c r="AW99" s="66"/>
    </row>
    <row r="100" spans="2:49" s="68" customFormat="1" ht="17.25" customHeight="1" x14ac:dyDescent="0.2">
      <c r="B100" s="56" t="s">
        <v>93</v>
      </c>
      <c r="C100" s="35">
        <v>1720</v>
      </c>
      <c r="D100" s="36">
        <v>2050</v>
      </c>
      <c r="E100" s="36" t="s">
        <v>62</v>
      </c>
      <c r="F100" s="37">
        <f t="shared" si="33"/>
        <v>330</v>
      </c>
      <c r="G100" s="38"/>
      <c r="H100" s="37"/>
      <c r="I100" s="72">
        <v>14968.47</v>
      </c>
      <c r="J100" s="69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>
        <f>ROUND(I100*$AB$3/12/27,2)</f>
        <v>277.19</v>
      </c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4"/>
      <c r="AR100" s="66"/>
      <c r="AS100" s="67"/>
      <c r="AT100" s="66"/>
      <c r="AU100" s="66"/>
      <c r="AV100" s="66"/>
      <c r="AW100" s="66"/>
    </row>
    <row r="101" spans="2:49" s="68" customFormat="1" ht="17.25" customHeight="1" x14ac:dyDescent="0.2">
      <c r="B101" s="56" t="s">
        <v>94</v>
      </c>
      <c r="C101" s="35">
        <v>1720</v>
      </c>
      <c r="D101" s="36">
        <v>2050</v>
      </c>
      <c r="E101" s="36" t="s">
        <v>62</v>
      </c>
      <c r="F101" s="37">
        <f t="shared" si="33"/>
        <v>330</v>
      </c>
      <c r="G101" s="38"/>
      <c r="H101" s="37"/>
      <c r="I101" s="72">
        <v>15628.25</v>
      </c>
      <c r="J101" s="69"/>
      <c r="K101" s="33"/>
      <c r="L101" s="33"/>
      <c r="M101" s="33"/>
      <c r="N101" s="33"/>
      <c r="O101" s="33"/>
      <c r="P101" s="33">
        <f>ROUND(I101/9,2)</f>
        <v>1736.47</v>
      </c>
      <c r="Q101" s="33">
        <f>ROUND(I101*$Q$3/12/27,2)</f>
        <v>289.41000000000003</v>
      </c>
      <c r="R101" s="33"/>
      <c r="S101" s="33"/>
      <c r="T101" s="33"/>
      <c r="U101" s="33">
        <f>Q101</f>
        <v>289.41000000000003</v>
      </c>
      <c r="V101" s="33">
        <f>ROUND(P101/$V$3,2)</f>
        <v>0.87</v>
      </c>
      <c r="W101" s="33"/>
      <c r="X101" s="33">
        <f>P101</f>
        <v>1736.47</v>
      </c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4"/>
      <c r="AR101" s="66"/>
      <c r="AS101" s="67"/>
      <c r="AT101" s="66"/>
      <c r="AU101" s="66"/>
      <c r="AV101" s="66"/>
      <c r="AW101" s="66"/>
    </row>
    <row r="102" spans="2:49" s="68" customFormat="1" ht="17.25" customHeight="1" x14ac:dyDescent="0.2">
      <c r="B102" s="56" t="s">
        <v>95</v>
      </c>
      <c r="C102" s="35">
        <v>1720</v>
      </c>
      <c r="D102" s="36">
        <v>2050</v>
      </c>
      <c r="E102" s="36" t="s">
        <v>62</v>
      </c>
      <c r="F102" s="37">
        <f t="shared" si="33"/>
        <v>330</v>
      </c>
      <c r="G102" s="38">
        <v>4</v>
      </c>
      <c r="H102" s="37">
        <f t="shared" ref="H102" si="34">ROUND(F102*G102,2)</f>
        <v>1320</v>
      </c>
      <c r="I102" s="72"/>
      <c r="J102" s="69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>
        <f>ROUND(H102*$AF$3/9,2)</f>
        <v>58.67</v>
      </c>
      <c r="AG102" s="33"/>
      <c r="AH102" s="33"/>
      <c r="AI102" s="33"/>
      <c r="AJ102" s="33"/>
      <c r="AK102" s="33"/>
      <c r="AL102" s="33"/>
      <c r="AM102" s="33"/>
      <c r="AN102" s="33"/>
      <c r="AO102" s="33">
        <f>ROUND(H102*$AO$3/12/27,2)</f>
        <v>4.07</v>
      </c>
      <c r="AP102" s="33"/>
      <c r="AQ102" s="34"/>
      <c r="AR102" s="66"/>
      <c r="AS102" s="67"/>
      <c r="AT102" s="66"/>
      <c r="AU102" s="66"/>
      <c r="AV102" s="66"/>
      <c r="AW102" s="66"/>
    </row>
    <row r="103" spans="2:49" s="68" customFormat="1" ht="17.25" customHeight="1" x14ac:dyDescent="0.2">
      <c r="B103" s="56"/>
      <c r="C103" s="35"/>
      <c r="D103" s="36"/>
      <c r="E103" s="36"/>
      <c r="F103" s="37"/>
      <c r="G103" s="38"/>
      <c r="H103" s="37"/>
      <c r="I103" s="72"/>
      <c r="J103" s="69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4"/>
      <c r="AR103" s="66"/>
      <c r="AS103" s="67"/>
      <c r="AT103" s="66"/>
      <c r="AU103" s="66"/>
      <c r="AV103" s="66"/>
      <c r="AW103" s="66"/>
    </row>
    <row r="104" spans="2:49" s="68" customFormat="1" ht="17.25" customHeight="1" x14ac:dyDescent="0.2">
      <c r="B104" s="56" t="s">
        <v>92</v>
      </c>
      <c r="C104" s="35">
        <v>2050</v>
      </c>
      <c r="D104" s="36">
        <v>2093.67</v>
      </c>
      <c r="E104" s="36" t="s">
        <v>62</v>
      </c>
      <c r="F104" s="37">
        <f t="shared" ref="F104:F107" si="35">D104-C104</f>
        <v>43.670000000000073</v>
      </c>
      <c r="G104" s="38">
        <v>32.25</v>
      </c>
      <c r="H104" s="37">
        <f t="shared" ref="H104:H107" si="36">ROUND(F104*G104,2)</f>
        <v>1408.36</v>
      </c>
      <c r="I104" s="72"/>
      <c r="J104" s="69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>
        <f>ROUND(H104/9,2)</f>
        <v>156.47999999999999</v>
      </c>
      <c r="AJ104" s="33"/>
      <c r="AK104" s="33"/>
      <c r="AL104" s="33"/>
      <c r="AM104" s="33"/>
      <c r="AN104" s="33"/>
      <c r="AO104" s="33"/>
      <c r="AP104" s="33"/>
      <c r="AQ104" s="34"/>
      <c r="AR104" s="66"/>
      <c r="AS104" s="67"/>
      <c r="AT104" s="66"/>
      <c r="AU104" s="66"/>
      <c r="AV104" s="66"/>
      <c r="AW104" s="66"/>
    </row>
    <row r="105" spans="2:49" s="68" customFormat="1" ht="17.25" customHeight="1" x14ac:dyDescent="0.2">
      <c r="B105" s="56" t="s">
        <v>93</v>
      </c>
      <c r="C105" s="35">
        <v>2050</v>
      </c>
      <c r="D105" s="36">
        <v>2093.67</v>
      </c>
      <c r="E105" s="36" t="s">
        <v>62</v>
      </c>
      <c r="F105" s="37">
        <f t="shared" si="35"/>
        <v>43.670000000000073</v>
      </c>
      <c r="G105" s="38">
        <f>G104+1</f>
        <v>33.25</v>
      </c>
      <c r="H105" s="37">
        <f t="shared" si="36"/>
        <v>1452.03</v>
      </c>
      <c r="I105" s="72"/>
      <c r="J105" s="69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>
        <f>ROUND(H105*$AB$3/12/27,2)</f>
        <v>26.89</v>
      </c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4"/>
      <c r="AR105" s="66"/>
      <c r="AS105" s="67"/>
      <c r="AT105" s="66"/>
      <c r="AU105" s="66"/>
      <c r="AV105" s="66"/>
      <c r="AW105" s="66"/>
    </row>
    <row r="106" spans="2:49" s="68" customFormat="1" ht="17.25" customHeight="1" x14ac:dyDescent="0.2">
      <c r="B106" s="56" t="s">
        <v>96</v>
      </c>
      <c r="C106" s="35">
        <v>2050</v>
      </c>
      <c r="D106" s="36">
        <v>2093.67</v>
      </c>
      <c r="E106" s="36" t="s">
        <v>62</v>
      </c>
      <c r="F106" s="37">
        <f t="shared" si="35"/>
        <v>43.670000000000073</v>
      </c>
      <c r="G106" s="38">
        <f>G104+1.5</f>
        <v>33.75</v>
      </c>
      <c r="H106" s="37">
        <f t="shared" si="36"/>
        <v>1473.86</v>
      </c>
      <c r="I106" s="72"/>
      <c r="J106" s="69"/>
      <c r="K106" s="33"/>
      <c r="L106" s="33"/>
      <c r="M106" s="33"/>
      <c r="N106" s="33"/>
      <c r="O106" s="33"/>
      <c r="P106" s="33">
        <f>ROUND(H106/9,2)</f>
        <v>163.76</v>
      </c>
      <c r="Q106" s="33"/>
      <c r="R106" s="33"/>
      <c r="S106" s="33"/>
      <c r="T106" s="33"/>
      <c r="U106" s="33"/>
      <c r="V106" s="33">
        <f>ROUND(P106/$V$3,2)</f>
        <v>0.08</v>
      </c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4"/>
      <c r="AR106" s="66"/>
      <c r="AS106" s="67"/>
      <c r="AT106" s="66"/>
      <c r="AU106" s="66"/>
      <c r="AV106" s="66"/>
      <c r="AW106" s="66"/>
    </row>
    <row r="107" spans="2:49" s="68" customFormat="1" ht="17.25" customHeight="1" x14ac:dyDescent="0.2">
      <c r="B107" s="56" t="s">
        <v>95</v>
      </c>
      <c r="C107" s="35">
        <v>2050</v>
      </c>
      <c r="D107" s="36">
        <v>2093.67</v>
      </c>
      <c r="E107" s="36" t="s">
        <v>62</v>
      </c>
      <c r="F107" s="37">
        <f t="shared" si="35"/>
        <v>43.670000000000073</v>
      </c>
      <c r="G107" s="38">
        <v>4</v>
      </c>
      <c r="H107" s="37">
        <f t="shared" si="36"/>
        <v>174.68</v>
      </c>
      <c r="I107" s="72"/>
      <c r="J107" s="69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>
        <f>ROUND(H107*$AF$3/9,2)</f>
        <v>7.76</v>
      </c>
      <c r="AG107" s="33"/>
      <c r="AH107" s="33"/>
      <c r="AI107" s="33"/>
      <c r="AJ107" s="33"/>
      <c r="AK107" s="33"/>
      <c r="AL107" s="33"/>
      <c r="AM107" s="33"/>
      <c r="AN107" s="33"/>
      <c r="AO107" s="33">
        <f>ROUND(H107*$AO$3/12/27,2)</f>
        <v>0.54</v>
      </c>
      <c r="AP107" s="33"/>
      <c r="AQ107" s="34"/>
      <c r="AR107" s="66"/>
      <c r="AS107" s="67"/>
      <c r="AT107" s="66"/>
      <c r="AU107" s="66"/>
      <c r="AV107" s="66"/>
      <c r="AW107" s="66"/>
    </row>
    <row r="108" spans="2:49" s="68" customFormat="1" ht="17.25" customHeight="1" x14ac:dyDescent="0.2">
      <c r="B108" s="56"/>
      <c r="C108" s="35"/>
      <c r="D108" s="36"/>
      <c r="E108" s="36"/>
      <c r="F108" s="37"/>
      <c r="G108" s="38"/>
      <c r="H108" s="37"/>
      <c r="I108" s="72"/>
      <c r="J108" s="69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4"/>
      <c r="AR108" s="66"/>
      <c r="AS108" s="67"/>
      <c r="AT108" s="66"/>
      <c r="AU108" s="66"/>
      <c r="AV108" s="66"/>
      <c r="AW108" s="66"/>
    </row>
    <row r="109" spans="2:49" s="68" customFormat="1" ht="17.25" customHeight="1" x14ac:dyDescent="0.2">
      <c r="B109" s="56" t="s">
        <v>92</v>
      </c>
      <c r="C109" s="35">
        <v>2093.67</v>
      </c>
      <c r="D109" s="36">
        <v>2276.8200000000002</v>
      </c>
      <c r="E109" s="36" t="s">
        <v>62</v>
      </c>
      <c r="F109" s="37">
        <f t="shared" ref="F109:F112" si="37">D109-C109</f>
        <v>183.15000000000009</v>
      </c>
      <c r="G109" s="38">
        <f>12+16+4</f>
        <v>32</v>
      </c>
      <c r="H109" s="37">
        <f t="shared" ref="H109:H112" si="38">ROUND(F109*G109,2)</f>
        <v>5860.8</v>
      </c>
      <c r="I109" s="72"/>
      <c r="J109" s="69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>
        <f>ROUND(H109/9,2)</f>
        <v>651.20000000000005</v>
      </c>
      <c r="AJ109" s="33"/>
      <c r="AK109" s="33"/>
      <c r="AL109" s="33"/>
      <c r="AM109" s="33"/>
      <c r="AN109" s="33"/>
      <c r="AO109" s="33"/>
      <c r="AP109" s="33"/>
      <c r="AQ109" s="34"/>
      <c r="AR109" s="66"/>
      <c r="AS109" s="67"/>
      <c r="AT109" s="66"/>
      <c r="AU109" s="66"/>
      <c r="AV109" s="66"/>
      <c r="AW109" s="66"/>
    </row>
    <row r="110" spans="2:49" s="68" customFormat="1" ht="17.25" customHeight="1" x14ac:dyDescent="0.2">
      <c r="B110" s="56" t="s">
        <v>93</v>
      </c>
      <c r="C110" s="35">
        <v>2093.67</v>
      </c>
      <c r="D110" s="36">
        <v>2276.8200000000002</v>
      </c>
      <c r="E110" s="36" t="s">
        <v>62</v>
      </c>
      <c r="F110" s="37">
        <f t="shared" si="37"/>
        <v>183.15000000000009</v>
      </c>
      <c r="G110" s="38">
        <f>G109+1</f>
        <v>33</v>
      </c>
      <c r="H110" s="37">
        <f t="shared" si="38"/>
        <v>6043.95</v>
      </c>
      <c r="I110" s="72"/>
      <c r="J110" s="69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>
        <f>ROUND(H110*$AB$3/12/27,2)</f>
        <v>111.93</v>
      </c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4"/>
      <c r="AR110" s="66"/>
      <c r="AS110" s="67"/>
      <c r="AT110" s="66"/>
      <c r="AU110" s="66"/>
      <c r="AV110" s="66"/>
      <c r="AW110" s="66"/>
    </row>
    <row r="111" spans="2:49" s="68" customFormat="1" ht="17.25" customHeight="1" x14ac:dyDescent="0.2">
      <c r="B111" s="56" t="s">
        <v>96</v>
      </c>
      <c r="C111" s="35">
        <v>2093.67</v>
      </c>
      <c r="D111" s="36">
        <v>2276.8200000000002</v>
      </c>
      <c r="E111" s="36" t="s">
        <v>62</v>
      </c>
      <c r="F111" s="37">
        <f t="shared" si="37"/>
        <v>183.15000000000009</v>
      </c>
      <c r="G111" s="38">
        <f>G109+1.5</f>
        <v>33.5</v>
      </c>
      <c r="H111" s="37">
        <f t="shared" si="38"/>
        <v>6135.53</v>
      </c>
      <c r="I111" s="72"/>
      <c r="J111" s="69"/>
      <c r="K111" s="33"/>
      <c r="L111" s="33"/>
      <c r="M111" s="33"/>
      <c r="N111" s="33"/>
      <c r="O111" s="33"/>
      <c r="P111" s="33">
        <f>ROUND(H111/9,2)</f>
        <v>681.73</v>
      </c>
      <c r="Q111" s="33"/>
      <c r="R111" s="33"/>
      <c r="S111" s="33"/>
      <c r="T111" s="33"/>
      <c r="U111" s="33"/>
      <c r="V111" s="33">
        <f>ROUND(P111/$V$3,2)</f>
        <v>0.34</v>
      </c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4"/>
      <c r="AR111" s="66"/>
      <c r="AS111" s="67"/>
      <c r="AT111" s="66"/>
      <c r="AU111" s="66"/>
      <c r="AV111" s="66"/>
      <c r="AW111" s="66"/>
    </row>
    <row r="112" spans="2:49" s="68" customFormat="1" ht="17.25" customHeight="1" x14ac:dyDescent="0.2">
      <c r="B112" s="56" t="s">
        <v>95</v>
      </c>
      <c r="C112" s="35">
        <v>2093.67</v>
      </c>
      <c r="D112" s="36">
        <v>2276.8200000000002</v>
      </c>
      <c r="E112" s="36" t="s">
        <v>62</v>
      </c>
      <c r="F112" s="37">
        <f t="shared" si="37"/>
        <v>183.15000000000009</v>
      </c>
      <c r="G112" s="38">
        <v>4</v>
      </c>
      <c r="H112" s="37">
        <f t="shared" si="38"/>
        <v>732.6</v>
      </c>
      <c r="I112" s="72"/>
      <c r="J112" s="69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>
        <f>ROUND(H112*$AF$3/9,2)</f>
        <v>32.56</v>
      </c>
      <c r="AG112" s="33"/>
      <c r="AH112" s="33"/>
      <c r="AI112" s="33"/>
      <c r="AJ112" s="33"/>
      <c r="AK112" s="33"/>
      <c r="AL112" s="33"/>
      <c r="AM112" s="33"/>
      <c r="AN112" s="33"/>
      <c r="AO112" s="33">
        <f>ROUND(H112*$AO$3/12/27,2)</f>
        <v>2.2599999999999998</v>
      </c>
      <c r="AP112" s="33"/>
      <c r="AQ112" s="34"/>
      <c r="AR112" s="66"/>
      <c r="AS112" s="67"/>
      <c r="AT112" s="66"/>
      <c r="AU112" s="66"/>
      <c r="AV112" s="66"/>
      <c r="AW112" s="66"/>
    </row>
    <row r="113" spans="2:49" s="68" customFormat="1" ht="17.25" customHeight="1" x14ac:dyDescent="0.2">
      <c r="B113" s="56"/>
      <c r="C113" s="35"/>
      <c r="D113" s="36"/>
      <c r="E113" s="36"/>
      <c r="F113" s="37"/>
      <c r="G113" s="38"/>
      <c r="H113" s="37"/>
      <c r="I113" s="72"/>
      <c r="J113" s="69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4"/>
      <c r="AR113" s="66"/>
      <c r="AS113" s="67"/>
      <c r="AT113" s="66"/>
      <c r="AU113" s="66"/>
      <c r="AV113" s="66"/>
      <c r="AW113" s="66"/>
    </row>
    <row r="114" spans="2:49" s="68" customFormat="1" ht="17.25" customHeight="1" x14ac:dyDescent="0.2">
      <c r="B114" s="56" t="s">
        <v>97</v>
      </c>
      <c r="C114" s="35">
        <v>2276.8200000000002</v>
      </c>
      <c r="D114" s="36">
        <v>2660.33</v>
      </c>
      <c r="E114" s="36" t="s">
        <v>62</v>
      </c>
      <c r="F114" s="37">
        <f>D114-C114</f>
        <v>383.50999999999976</v>
      </c>
      <c r="G114" s="38">
        <f>AVERAGE(53.91,26.15)</f>
        <v>40.03</v>
      </c>
      <c r="H114" s="37">
        <f>ROUND(F114*G114,2)</f>
        <v>15351.91</v>
      </c>
      <c r="I114" s="72"/>
      <c r="J114" s="69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>
        <f>ROUND(H114/9,2)</f>
        <v>1705.77</v>
      </c>
      <c r="Z114" s="33"/>
      <c r="AA114" s="33"/>
      <c r="AB114" s="33"/>
      <c r="AC114" s="33">
        <f>ROUND(H114*$AC$3/9,2)</f>
        <v>93.82</v>
      </c>
      <c r="AD114" s="33"/>
      <c r="AE114" s="33">
        <f>ROUND(H114*$AE$3/9,2)</f>
        <v>144.99</v>
      </c>
      <c r="AF114" s="33"/>
      <c r="AG114" s="33">
        <f>ROUND(H114*$AG$3/12/27,2)</f>
        <v>71.069999999999993</v>
      </c>
      <c r="AH114" s="33">
        <f>ROUND(H114*$AH$3/12/27,2)</f>
        <v>71.069999999999993</v>
      </c>
      <c r="AI114" s="33"/>
      <c r="AJ114" s="33"/>
      <c r="AK114" s="33"/>
      <c r="AL114" s="33"/>
      <c r="AM114" s="33"/>
      <c r="AN114" s="33"/>
      <c r="AO114" s="33"/>
      <c r="AP114" s="33"/>
      <c r="AQ114" s="34"/>
      <c r="AR114" s="66"/>
      <c r="AS114" s="67"/>
      <c r="AT114" s="66"/>
      <c r="AU114" s="66"/>
      <c r="AV114" s="66"/>
      <c r="AW114" s="66"/>
    </row>
    <row r="115" spans="2:49" s="68" customFormat="1" ht="17.45" customHeight="1" x14ac:dyDescent="0.2">
      <c r="B115" s="56" t="s">
        <v>95</v>
      </c>
      <c r="C115" s="35">
        <v>2276.8200000000002</v>
      </c>
      <c r="D115" s="36">
        <v>2660.33</v>
      </c>
      <c r="E115" s="36" t="s">
        <v>62</v>
      </c>
      <c r="F115" s="37">
        <f>D115-C115</f>
        <v>383.50999999999976</v>
      </c>
      <c r="G115" s="38">
        <v>2</v>
      </c>
      <c r="H115" s="37">
        <f>ROUND(F115*G115,2)</f>
        <v>767.02</v>
      </c>
      <c r="I115" s="72"/>
      <c r="J115" s="69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>
        <f>ROUND(H115*$AF$3/9,2)</f>
        <v>34.090000000000003</v>
      </c>
      <c r="AG115" s="33"/>
      <c r="AH115" s="33"/>
      <c r="AI115" s="33"/>
      <c r="AJ115" s="33"/>
      <c r="AK115" s="33"/>
      <c r="AL115" s="33"/>
      <c r="AM115" s="33"/>
      <c r="AN115" s="33"/>
      <c r="AO115" s="33">
        <f>ROUND(H115*$AO$3/12/27,2)</f>
        <v>2.37</v>
      </c>
      <c r="AP115" s="33"/>
      <c r="AQ115" s="34"/>
      <c r="AR115" s="66"/>
      <c r="AS115" s="67"/>
      <c r="AT115" s="66"/>
      <c r="AU115" s="66"/>
      <c r="AV115" s="66"/>
      <c r="AW115" s="66"/>
    </row>
    <row r="116" spans="2:49" s="68" customFormat="1" ht="17.25" customHeight="1" x14ac:dyDescent="0.2">
      <c r="B116" s="56"/>
      <c r="C116" s="35"/>
      <c r="D116" s="36"/>
      <c r="E116" s="36"/>
      <c r="F116" s="37"/>
      <c r="G116" s="38"/>
      <c r="H116" s="37"/>
      <c r="I116" s="72"/>
      <c r="J116" s="69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4"/>
      <c r="AR116" s="66"/>
      <c r="AS116" s="67"/>
      <c r="AT116" s="66"/>
      <c r="AU116" s="66"/>
      <c r="AV116" s="66"/>
      <c r="AW116" s="66"/>
    </row>
    <row r="117" spans="2:49" s="68" customFormat="1" ht="17.25" customHeight="1" x14ac:dyDescent="0.2">
      <c r="B117" s="56" t="s">
        <v>97</v>
      </c>
      <c r="C117" s="35">
        <v>62705.440000000002</v>
      </c>
      <c r="D117" s="36">
        <v>63140</v>
      </c>
      <c r="E117" s="36" t="s">
        <v>62</v>
      </c>
      <c r="F117" s="37">
        <f>D117-C117</f>
        <v>434.55999999999767</v>
      </c>
      <c r="G117" s="38">
        <v>24</v>
      </c>
      <c r="H117" s="37">
        <f>ROUND(F117*G117,2)</f>
        <v>10429.44</v>
      </c>
      <c r="I117" s="72"/>
      <c r="J117" s="69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>
        <f>ROUND(H117/9,2)</f>
        <v>1158.83</v>
      </c>
      <c r="Z117" s="33"/>
      <c r="AA117" s="33"/>
      <c r="AB117" s="33"/>
      <c r="AC117" s="33">
        <f>ROUND(H117*$AC$3/9,2)</f>
        <v>63.74</v>
      </c>
      <c r="AD117" s="33"/>
      <c r="AE117" s="33">
        <f>ROUND(H117*$AE$3/9,2)</f>
        <v>98.5</v>
      </c>
      <c r="AF117" s="33"/>
      <c r="AG117" s="33">
        <f>ROUND(H117*$AG$3/12/27,2)</f>
        <v>48.28</v>
      </c>
      <c r="AH117" s="33">
        <f>ROUND(H117*$AH$3/12/27,2)</f>
        <v>48.28</v>
      </c>
      <c r="AI117" s="33"/>
      <c r="AJ117" s="33"/>
      <c r="AK117" s="33"/>
      <c r="AL117" s="33"/>
      <c r="AM117" s="33"/>
      <c r="AN117" s="33"/>
      <c r="AO117" s="33"/>
      <c r="AP117" s="33"/>
      <c r="AQ117" s="34"/>
      <c r="AR117" s="66"/>
      <c r="AS117" s="67"/>
      <c r="AT117" s="66"/>
      <c r="AU117" s="66"/>
      <c r="AV117" s="66"/>
      <c r="AW117" s="66"/>
    </row>
    <row r="118" spans="2:49" s="68" customFormat="1" ht="17.45" customHeight="1" x14ac:dyDescent="0.2">
      <c r="B118" s="56" t="s">
        <v>95</v>
      </c>
      <c r="C118" s="35">
        <v>62705.440000000002</v>
      </c>
      <c r="D118" s="36">
        <v>63140</v>
      </c>
      <c r="E118" s="36" t="s">
        <v>62</v>
      </c>
      <c r="F118" s="37">
        <f>D118-C118</f>
        <v>434.55999999999767</v>
      </c>
      <c r="G118" s="38">
        <v>2</v>
      </c>
      <c r="H118" s="37">
        <f>ROUND(F118*G118,2)</f>
        <v>869.12</v>
      </c>
      <c r="I118" s="72"/>
      <c r="J118" s="69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>
        <f>ROUND(H118*$AF$3/9,2)</f>
        <v>38.630000000000003</v>
      </c>
      <c r="AG118" s="33"/>
      <c r="AH118" s="33"/>
      <c r="AI118" s="33"/>
      <c r="AJ118" s="33"/>
      <c r="AK118" s="33"/>
      <c r="AL118" s="33"/>
      <c r="AM118" s="33"/>
      <c r="AN118" s="33"/>
      <c r="AO118" s="33">
        <f>ROUND(H118*$AO$3/12/27,2)</f>
        <v>2.68</v>
      </c>
      <c r="AP118" s="33"/>
      <c r="AQ118" s="34"/>
      <c r="AR118" s="66"/>
      <c r="AS118" s="67"/>
      <c r="AT118" s="66"/>
      <c r="AU118" s="66"/>
      <c r="AV118" s="66"/>
      <c r="AW118" s="66"/>
    </row>
    <row r="119" spans="2:49" s="68" customFormat="1" ht="17.25" customHeight="1" x14ac:dyDescent="0.2">
      <c r="B119" s="56"/>
      <c r="C119" s="35"/>
      <c r="D119" s="36"/>
      <c r="E119" s="36"/>
      <c r="F119" s="37"/>
      <c r="G119" s="38"/>
      <c r="H119" s="37"/>
      <c r="I119" s="72"/>
      <c r="J119" s="69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4"/>
      <c r="AR119" s="66"/>
      <c r="AS119" s="67"/>
      <c r="AT119" s="66"/>
      <c r="AU119" s="66"/>
      <c r="AV119" s="66"/>
      <c r="AW119" s="66"/>
    </row>
    <row r="120" spans="2:49" s="68" customFormat="1" ht="17.25" customHeight="1" x14ac:dyDescent="0.2">
      <c r="B120" s="56" t="s">
        <v>97</v>
      </c>
      <c r="C120" s="35">
        <v>63140</v>
      </c>
      <c r="D120" s="36">
        <v>63234</v>
      </c>
      <c r="E120" s="36" t="s">
        <v>62</v>
      </c>
      <c r="F120" s="37">
        <f>D120-C120</f>
        <v>94</v>
      </c>
      <c r="G120" s="38">
        <f>AVERAGE(24,13.67)</f>
        <v>18.835000000000001</v>
      </c>
      <c r="H120" s="37">
        <f>ROUND(F120*G120,2)</f>
        <v>1770.49</v>
      </c>
      <c r="I120" s="72"/>
      <c r="J120" s="69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>
        <f>ROUND(H120/9,2)</f>
        <v>196.72</v>
      </c>
      <c r="Z120" s="33"/>
      <c r="AA120" s="33"/>
      <c r="AB120" s="33"/>
      <c r="AC120" s="33">
        <f>ROUND(H120*$AC$3/9,2)</f>
        <v>10.82</v>
      </c>
      <c r="AD120" s="33"/>
      <c r="AE120" s="33">
        <f>ROUND(H120*$AE$3/9,2)</f>
        <v>16.72</v>
      </c>
      <c r="AF120" s="33"/>
      <c r="AG120" s="33">
        <f>ROUND(H120*$AG$3/12/27,2)</f>
        <v>8.1999999999999993</v>
      </c>
      <c r="AH120" s="33">
        <f>ROUND(H120*$AH$3/12/27,2)</f>
        <v>8.1999999999999993</v>
      </c>
      <c r="AI120" s="33"/>
      <c r="AJ120" s="33"/>
      <c r="AK120" s="33"/>
      <c r="AL120" s="33"/>
      <c r="AM120" s="33"/>
      <c r="AN120" s="33"/>
      <c r="AO120" s="33"/>
      <c r="AP120" s="33"/>
      <c r="AQ120" s="34"/>
      <c r="AR120" s="66"/>
      <c r="AS120" s="67"/>
      <c r="AT120" s="66"/>
      <c r="AU120" s="66"/>
      <c r="AV120" s="66"/>
      <c r="AW120" s="66"/>
    </row>
    <row r="121" spans="2:49" s="68" customFormat="1" ht="17.45" customHeight="1" x14ac:dyDescent="0.2">
      <c r="B121" s="56" t="s">
        <v>95</v>
      </c>
      <c r="C121" s="35">
        <v>63140</v>
      </c>
      <c r="D121" s="36">
        <v>63234</v>
      </c>
      <c r="E121" s="36" t="s">
        <v>62</v>
      </c>
      <c r="F121" s="37">
        <f>D121-C121</f>
        <v>94</v>
      </c>
      <c r="G121" s="38">
        <v>2</v>
      </c>
      <c r="H121" s="37">
        <f>ROUND(F121*G121,2)</f>
        <v>188</v>
      </c>
      <c r="I121" s="72"/>
      <c r="J121" s="69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>
        <f>ROUND(H121*$AF$3/9,2)</f>
        <v>8.36</v>
      </c>
      <c r="AG121" s="33"/>
      <c r="AH121" s="33"/>
      <c r="AI121" s="33"/>
      <c r="AJ121" s="33"/>
      <c r="AK121" s="33"/>
      <c r="AL121" s="33"/>
      <c r="AM121" s="33"/>
      <c r="AN121" s="33"/>
      <c r="AO121" s="33">
        <f>ROUND(H121*$AO$3/12/27,2)</f>
        <v>0.57999999999999996</v>
      </c>
      <c r="AP121" s="33"/>
      <c r="AQ121" s="34"/>
      <c r="AR121" s="66"/>
      <c r="AS121" s="67"/>
      <c r="AT121" s="66"/>
      <c r="AU121" s="66"/>
      <c r="AV121" s="66"/>
      <c r="AW121" s="66"/>
    </row>
    <row r="122" spans="2:49" s="68" customFormat="1" ht="17.25" customHeight="1" x14ac:dyDescent="0.2">
      <c r="B122" s="56"/>
      <c r="C122" s="35"/>
      <c r="D122" s="36"/>
      <c r="E122" s="36"/>
      <c r="F122" s="37"/>
      <c r="G122" s="38"/>
      <c r="H122" s="37"/>
      <c r="I122" s="72"/>
      <c r="J122" s="69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4"/>
      <c r="AR122" s="66"/>
      <c r="AS122" s="67"/>
      <c r="AT122" s="66"/>
      <c r="AU122" s="66"/>
      <c r="AV122" s="66"/>
      <c r="AW122" s="66"/>
    </row>
    <row r="123" spans="2:49" s="9" customFormat="1" ht="17.25" customHeight="1" x14ac:dyDescent="0.2">
      <c r="B123" s="56"/>
      <c r="C123" s="129" t="s">
        <v>100</v>
      </c>
      <c r="D123" s="130"/>
      <c r="E123" s="130"/>
      <c r="F123" s="130"/>
      <c r="G123" s="130"/>
      <c r="H123" s="130"/>
      <c r="I123" s="131"/>
      <c r="J123" s="55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4"/>
      <c r="AR123" s="8"/>
      <c r="AS123" s="83"/>
      <c r="AT123" s="8"/>
      <c r="AU123" s="8"/>
      <c r="AV123" s="8"/>
      <c r="AW123" s="8"/>
    </row>
    <row r="124" spans="2:49" s="68" customFormat="1" ht="17.25" customHeight="1" x14ac:dyDescent="0.2">
      <c r="B124" s="56" t="s">
        <v>101</v>
      </c>
      <c r="C124" s="35">
        <v>1192.46</v>
      </c>
      <c r="D124" s="36">
        <v>1207.46</v>
      </c>
      <c r="E124" s="36" t="s">
        <v>61</v>
      </c>
      <c r="F124" s="37">
        <f t="shared" ref="F124:F126" si="39">D124-C124</f>
        <v>15</v>
      </c>
      <c r="G124" s="38">
        <v>9</v>
      </c>
      <c r="H124" s="37">
        <f t="shared" ref="H124:H126" si="40">ROUND(F124*G124,2)</f>
        <v>135</v>
      </c>
      <c r="I124" s="72"/>
      <c r="J124" s="69"/>
      <c r="K124" s="33"/>
      <c r="L124" s="33"/>
      <c r="M124" s="33"/>
      <c r="N124" s="33"/>
      <c r="O124" s="33"/>
      <c r="P124" s="33">
        <f>ROUND(H124/9,2)</f>
        <v>15</v>
      </c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>
        <f>H124</f>
        <v>135</v>
      </c>
      <c r="AM124" s="33"/>
      <c r="AN124" s="33"/>
      <c r="AO124" s="33"/>
      <c r="AP124" s="33"/>
      <c r="AQ124" s="34"/>
      <c r="AR124" s="66"/>
      <c r="AS124" s="67"/>
      <c r="AT124" s="66"/>
      <c r="AU124" s="66"/>
      <c r="AV124" s="66"/>
      <c r="AW124" s="66"/>
    </row>
    <row r="125" spans="2:49" s="68" customFormat="1" ht="17.25" customHeight="1" x14ac:dyDescent="0.2">
      <c r="B125" s="56" t="s">
        <v>102</v>
      </c>
      <c r="C125" s="35">
        <f t="shared" ref="C125:C126" si="41">D124</f>
        <v>1207.46</v>
      </c>
      <c r="D125" s="36">
        <v>1244.96</v>
      </c>
      <c r="E125" s="36" t="s">
        <v>61</v>
      </c>
      <c r="F125" s="37">
        <f t="shared" si="39"/>
        <v>37.5</v>
      </c>
      <c r="G125" s="38">
        <v>8</v>
      </c>
      <c r="H125" s="37">
        <f t="shared" si="40"/>
        <v>300</v>
      </c>
      <c r="I125" s="72"/>
      <c r="J125" s="69"/>
      <c r="K125" s="33"/>
      <c r="L125" s="33"/>
      <c r="M125" s="33"/>
      <c r="N125" s="33"/>
      <c r="O125" s="33"/>
      <c r="P125" s="33">
        <f>ROUND(H125/9,2)</f>
        <v>33.33</v>
      </c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>
        <f>ROUND(H125*$AA$3/12/27,2)</f>
        <v>3.7</v>
      </c>
      <c r="AB125" s="33"/>
      <c r="AC125" s="33"/>
      <c r="AD125" s="33"/>
      <c r="AE125" s="33"/>
      <c r="AF125" s="33"/>
      <c r="AG125" s="33"/>
      <c r="AH125" s="33"/>
      <c r="AI125" s="33"/>
      <c r="AJ125" s="33"/>
      <c r="AK125" s="33">
        <f>H125</f>
        <v>300</v>
      </c>
      <c r="AL125" s="33"/>
      <c r="AM125" s="33"/>
      <c r="AN125" s="33"/>
      <c r="AO125" s="33"/>
      <c r="AP125" s="33"/>
      <c r="AQ125" s="34"/>
      <c r="AR125" s="66"/>
      <c r="AS125" s="67"/>
      <c r="AT125" s="66"/>
      <c r="AU125" s="66"/>
      <c r="AV125" s="66"/>
      <c r="AW125" s="66"/>
    </row>
    <row r="126" spans="2:49" s="68" customFormat="1" ht="17.25" customHeight="1" x14ac:dyDescent="0.2">
      <c r="B126" s="56" t="s">
        <v>101</v>
      </c>
      <c r="C126" s="35">
        <f t="shared" si="41"/>
        <v>1244.96</v>
      </c>
      <c r="D126" s="36">
        <v>1257.46</v>
      </c>
      <c r="E126" s="36" t="s">
        <v>61</v>
      </c>
      <c r="F126" s="37">
        <f t="shared" si="39"/>
        <v>12.5</v>
      </c>
      <c r="G126" s="38">
        <v>9</v>
      </c>
      <c r="H126" s="37">
        <f t="shared" si="40"/>
        <v>112.5</v>
      </c>
      <c r="I126" s="72"/>
      <c r="J126" s="69"/>
      <c r="K126" s="33"/>
      <c r="L126" s="33"/>
      <c r="M126" s="33"/>
      <c r="N126" s="33"/>
      <c r="O126" s="33"/>
      <c r="P126" s="33">
        <f>ROUND(H126/9,2)</f>
        <v>12.5</v>
      </c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>
        <f>H126</f>
        <v>112.5</v>
      </c>
      <c r="AM126" s="33"/>
      <c r="AN126" s="33"/>
      <c r="AO126" s="33"/>
      <c r="AP126" s="33"/>
      <c r="AQ126" s="34"/>
      <c r="AR126" s="66"/>
      <c r="AS126" s="67"/>
      <c r="AT126" s="66"/>
      <c r="AU126" s="66"/>
      <c r="AV126" s="66"/>
      <c r="AW126" s="66"/>
    </row>
    <row r="127" spans="2:49" s="68" customFormat="1" ht="17.25" customHeight="1" x14ac:dyDescent="0.2">
      <c r="B127" s="56" t="s">
        <v>106</v>
      </c>
      <c r="C127" s="35">
        <v>1191.96</v>
      </c>
      <c r="D127" s="36">
        <v>1203.96</v>
      </c>
      <c r="E127" s="36" t="s">
        <v>61</v>
      </c>
      <c r="F127" s="37">
        <f t="shared" ref="F127:F128" si="42">D127-C127</f>
        <v>12</v>
      </c>
      <c r="G127" s="38">
        <v>9</v>
      </c>
      <c r="H127" s="37">
        <f t="shared" ref="H127:H128" si="43">ROUND(F127*G127,2)</f>
        <v>108</v>
      </c>
      <c r="I127" s="72"/>
      <c r="J127" s="69"/>
      <c r="K127" s="33"/>
      <c r="L127" s="33"/>
      <c r="M127" s="33"/>
      <c r="N127" s="33"/>
      <c r="O127" s="33"/>
      <c r="P127" s="33">
        <f t="shared" ref="P127:P128" si="44">ROUND(H127/9,2)</f>
        <v>12</v>
      </c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>
        <f>ROUND(H127*$AA$3/12/27,2)</f>
        <v>1.33</v>
      </c>
      <c r="AB127" s="33"/>
      <c r="AC127" s="33"/>
      <c r="AD127" s="33"/>
      <c r="AE127" s="33"/>
      <c r="AF127" s="33"/>
      <c r="AG127" s="33"/>
      <c r="AH127" s="33"/>
      <c r="AI127" s="33"/>
      <c r="AJ127" s="33"/>
      <c r="AK127" s="33">
        <f>H127</f>
        <v>108</v>
      </c>
      <c r="AL127" s="33"/>
      <c r="AM127" s="33"/>
      <c r="AN127" s="33"/>
      <c r="AO127" s="33"/>
      <c r="AP127" s="33"/>
      <c r="AQ127" s="34"/>
      <c r="AR127" s="66"/>
      <c r="AS127" s="67"/>
      <c r="AT127" s="66"/>
      <c r="AU127" s="66"/>
      <c r="AV127" s="66"/>
      <c r="AW127" s="66"/>
    </row>
    <row r="128" spans="2:49" s="68" customFormat="1" ht="17.25" customHeight="1" x14ac:dyDescent="0.2">
      <c r="B128" s="56" t="s">
        <v>106</v>
      </c>
      <c r="C128" s="35">
        <v>1245.96</v>
      </c>
      <c r="D128" s="36">
        <v>1257.96</v>
      </c>
      <c r="E128" s="36" t="s">
        <v>61</v>
      </c>
      <c r="F128" s="37">
        <f t="shared" si="42"/>
        <v>12</v>
      </c>
      <c r="G128" s="38">
        <v>9</v>
      </c>
      <c r="H128" s="37">
        <f t="shared" si="43"/>
        <v>108</v>
      </c>
      <c r="I128" s="72"/>
      <c r="J128" s="69"/>
      <c r="K128" s="33"/>
      <c r="L128" s="33"/>
      <c r="M128" s="33"/>
      <c r="N128" s="33"/>
      <c r="O128" s="33"/>
      <c r="P128" s="33">
        <f t="shared" si="44"/>
        <v>12</v>
      </c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>
        <f>ROUND(H128*$AA$3/12/27,2)</f>
        <v>1.33</v>
      </c>
      <c r="AB128" s="33"/>
      <c r="AC128" s="33"/>
      <c r="AD128" s="33"/>
      <c r="AE128" s="33"/>
      <c r="AF128" s="33"/>
      <c r="AG128" s="33"/>
      <c r="AH128" s="33"/>
      <c r="AI128" s="33"/>
      <c r="AJ128" s="33"/>
      <c r="AK128" s="33">
        <f>H128</f>
        <v>108</v>
      </c>
      <c r="AL128" s="33"/>
      <c r="AM128" s="33"/>
      <c r="AN128" s="33"/>
      <c r="AO128" s="33"/>
      <c r="AP128" s="33"/>
      <c r="AQ128" s="34"/>
      <c r="AR128" s="66"/>
      <c r="AS128" s="67"/>
      <c r="AT128" s="66"/>
      <c r="AU128" s="66"/>
      <c r="AV128" s="66"/>
      <c r="AW128" s="66"/>
    </row>
    <row r="129" spans="2:49" s="68" customFormat="1" ht="17.25" customHeight="1" x14ac:dyDescent="0.2">
      <c r="B129" s="56"/>
      <c r="C129" s="35"/>
      <c r="D129" s="36"/>
      <c r="E129" s="36"/>
      <c r="F129" s="37"/>
      <c r="G129" s="38"/>
      <c r="H129" s="37"/>
      <c r="I129" s="72"/>
      <c r="J129" s="69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4"/>
      <c r="AR129" s="66"/>
      <c r="AS129" s="67"/>
      <c r="AT129" s="66"/>
      <c r="AU129" s="66"/>
      <c r="AV129" s="66"/>
      <c r="AW129" s="66"/>
    </row>
    <row r="130" spans="2:49" s="9" customFormat="1" ht="17.25" customHeight="1" x14ac:dyDescent="0.2">
      <c r="B130" s="56"/>
      <c r="C130" s="129" t="s">
        <v>103</v>
      </c>
      <c r="D130" s="130"/>
      <c r="E130" s="130"/>
      <c r="F130" s="130"/>
      <c r="G130" s="130"/>
      <c r="H130" s="130"/>
      <c r="I130" s="131"/>
      <c r="J130" s="55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4"/>
      <c r="AR130" s="8"/>
      <c r="AS130" s="83"/>
      <c r="AT130" s="8"/>
      <c r="AU130" s="8"/>
      <c r="AV130" s="8"/>
      <c r="AW130" s="8"/>
    </row>
    <row r="131" spans="2:49" s="68" customFormat="1" ht="17.25" customHeight="1" x14ac:dyDescent="0.2">
      <c r="B131" s="56" t="s">
        <v>104</v>
      </c>
      <c r="C131" s="35">
        <v>1042.3599999999999</v>
      </c>
      <c r="D131" s="36">
        <v>1061.69</v>
      </c>
      <c r="E131" s="36" t="s">
        <v>61</v>
      </c>
      <c r="F131" s="37">
        <f t="shared" ref="F131:F132" si="45">D131-C131</f>
        <v>19.330000000000155</v>
      </c>
      <c r="G131" s="38">
        <v>22</v>
      </c>
      <c r="H131" s="37"/>
      <c r="I131" s="72">
        <v>557.23</v>
      </c>
      <c r="J131" s="69"/>
      <c r="K131" s="33"/>
      <c r="L131" s="33"/>
      <c r="M131" s="33"/>
      <c r="N131" s="33"/>
      <c r="O131" s="33"/>
      <c r="P131" s="33">
        <f>ROUND(I131/9,2)</f>
        <v>61.91</v>
      </c>
      <c r="Q131" s="33"/>
      <c r="R131" s="33"/>
      <c r="S131" s="33"/>
      <c r="T131" s="33"/>
      <c r="U131" s="33"/>
      <c r="V131" s="33">
        <f t="shared" ref="V131:V132" si="46">ROUND(P131/$V$3,2)</f>
        <v>0.03</v>
      </c>
      <c r="W131" s="33"/>
      <c r="X131" s="33"/>
      <c r="Y131" s="33"/>
      <c r="Z131" s="33"/>
      <c r="AA131" s="33"/>
      <c r="AB131" s="33">
        <f>ROUND(I131*$AB$3/12/27,2)</f>
        <v>10.32</v>
      </c>
      <c r="AC131" s="33"/>
      <c r="AD131" s="33"/>
      <c r="AE131" s="33"/>
      <c r="AF131" s="33"/>
      <c r="AG131" s="33"/>
      <c r="AH131" s="33"/>
      <c r="AI131" s="33"/>
      <c r="AJ131" s="33">
        <f>ROUND(I131/9,2)</f>
        <v>61.91</v>
      </c>
      <c r="AK131" s="33"/>
      <c r="AL131" s="33"/>
      <c r="AM131" s="33"/>
      <c r="AN131" s="33"/>
      <c r="AO131" s="33"/>
      <c r="AP131" s="33"/>
      <c r="AQ131" s="34"/>
      <c r="AR131" s="66"/>
      <c r="AS131" s="67"/>
      <c r="AT131" s="66"/>
      <c r="AU131" s="66"/>
      <c r="AV131" s="66"/>
      <c r="AW131" s="66"/>
    </row>
    <row r="132" spans="2:49" s="68" customFormat="1" ht="17.25" customHeight="1" x14ac:dyDescent="0.2">
      <c r="B132" s="56" t="s">
        <v>105</v>
      </c>
      <c r="C132" s="35">
        <v>1323</v>
      </c>
      <c r="D132" s="36">
        <v>1337</v>
      </c>
      <c r="E132" s="36" t="s">
        <v>61</v>
      </c>
      <c r="F132" s="37">
        <f t="shared" si="45"/>
        <v>14</v>
      </c>
      <c r="G132" s="38">
        <v>14</v>
      </c>
      <c r="H132" s="37">
        <f>14*20+14*5+5*5</f>
        <v>375</v>
      </c>
      <c r="I132" s="72"/>
      <c r="J132" s="69"/>
      <c r="K132" s="33"/>
      <c r="L132" s="33"/>
      <c r="M132" s="33"/>
      <c r="N132" s="33"/>
      <c r="O132" s="33"/>
      <c r="P132" s="33">
        <f t="shared" ref="P132" si="47">ROUND(H132/9,2)</f>
        <v>41.67</v>
      </c>
      <c r="Q132" s="33"/>
      <c r="R132" s="33"/>
      <c r="S132" s="33"/>
      <c r="T132" s="33"/>
      <c r="U132" s="33"/>
      <c r="V132" s="33">
        <f t="shared" si="46"/>
        <v>0.02</v>
      </c>
      <c r="W132" s="33"/>
      <c r="X132" s="33"/>
      <c r="Y132" s="33"/>
      <c r="Z132" s="33"/>
      <c r="AA132" s="33"/>
      <c r="AB132" s="33">
        <f>ROUND(H132*$AB$3/12/27,2)</f>
        <v>6.94</v>
      </c>
      <c r="AC132" s="33"/>
      <c r="AD132" s="33"/>
      <c r="AE132" s="33"/>
      <c r="AF132" s="33"/>
      <c r="AG132" s="33"/>
      <c r="AH132" s="33"/>
      <c r="AI132" s="33"/>
      <c r="AJ132" s="33">
        <f>ROUND(H132/9,2)</f>
        <v>41.67</v>
      </c>
      <c r="AK132" s="33"/>
      <c r="AL132" s="33"/>
      <c r="AM132" s="33"/>
      <c r="AN132" s="33"/>
      <c r="AO132" s="33"/>
      <c r="AP132" s="33"/>
      <c r="AQ132" s="34"/>
      <c r="AR132" s="66"/>
      <c r="AS132" s="67"/>
      <c r="AT132" s="66"/>
      <c r="AU132" s="66"/>
      <c r="AV132" s="66"/>
      <c r="AW132" s="66"/>
    </row>
    <row r="133" spans="2:49" s="68" customFormat="1" ht="17.45" customHeight="1" thickBot="1" x14ac:dyDescent="0.25">
      <c r="B133" s="77"/>
      <c r="C133" s="70"/>
      <c r="D133" s="71"/>
      <c r="E133" s="73"/>
      <c r="F133" s="57"/>
      <c r="G133" s="74"/>
      <c r="H133" s="57"/>
      <c r="I133" s="75"/>
      <c r="J133" s="76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111"/>
      <c r="AR133" s="66"/>
      <c r="AS133" s="67"/>
      <c r="AT133" s="66"/>
      <c r="AU133" s="66"/>
      <c r="AV133" s="66"/>
      <c r="AW133" s="66"/>
    </row>
    <row r="134" spans="2:49" s="79" customFormat="1" ht="20.100000000000001" customHeight="1" thickBot="1" x14ac:dyDescent="0.3">
      <c r="B134" s="139" t="s">
        <v>14</v>
      </c>
      <c r="C134" s="140"/>
      <c r="D134" s="140"/>
      <c r="E134" s="140"/>
      <c r="F134" s="140"/>
      <c r="G134" s="140"/>
      <c r="H134" s="140"/>
      <c r="I134" s="141"/>
      <c r="J134" s="59"/>
      <c r="K134" s="58">
        <f>ROUND(SUM(K11:K133),2)</f>
        <v>3153.42</v>
      </c>
      <c r="L134" s="58">
        <f t="shared" ref="L134" si="48">ROUND(SUM(L11:L133),2)</f>
        <v>2462.11</v>
      </c>
      <c r="M134" s="58">
        <f t="shared" ref="M134" si="49">ROUND(SUM(M11:M133),2)</f>
        <v>4556.32</v>
      </c>
      <c r="N134" s="58">
        <f t="shared" ref="N134" si="50">ROUND(SUM(N11:N133),2)</f>
        <v>13713.23</v>
      </c>
      <c r="O134" s="58">
        <f t="shared" ref="O134" si="51">ROUND(SUM(O11:O133),2)</f>
        <v>1778</v>
      </c>
      <c r="P134" s="58">
        <f t="shared" ref="P134" si="52">ROUND(SUM(P11:P133),2)</f>
        <v>21512.63</v>
      </c>
      <c r="Q134" s="58">
        <f t="shared" ref="Q134" si="53">ROUND(SUM(Q11:Q133),2)</f>
        <v>383.01</v>
      </c>
      <c r="R134" s="58">
        <f t="shared" ref="R134" si="54">ROUND(SUM(R11:R133),2)</f>
        <v>2431.67</v>
      </c>
      <c r="S134" s="58">
        <f t="shared" ref="S134" si="55">ROUND(SUM(S11:S133),2)</f>
        <v>1337.54</v>
      </c>
      <c r="T134" s="58">
        <f t="shared" ref="T134" si="56">ROUND(SUM(T11:T133),2)</f>
        <v>2431.67</v>
      </c>
      <c r="U134" s="58">
        <f t="shared" ref="U134" si="57">ROUND(SUM(U11:U133),2)</f>
        <v>1720.55</v>
      </c>
      <c r="V134" s="58">
        <f t="shared" ref="V134" si="58">ROUND(SUM(V11:V133),2)</f>
        <v>7.07</v>
      </c>
      <c r="W134" s="58">
        <f t="shared" ref="W134" si="59">ROUND(SUM(W11:W133),2)</f>
        <v>7.29</v>
      </c>
      <c r="X134" s="58">
        <f t="shared" ref="X134" si="60">ROUND(SUM(X11:X133),2)</f>
        <v>17618.23</v>
      </c>
      <c r="Y134" s="58">
        <f t="shared" ref="Y134" si="61">ROUND(SUM(Y11:Y133),2)</f>
        <v>8278.7099999999991</v>
      </c>
      <c r="Z134" s="58">
        <f t="shared" ref="Z134" si="62">ROUND(SUM(Z11:Z133),2)</f>
        <v>73.319999999999993</v>
      </c>
      <c r="AA134" s="58">
        <f t="shared" ref="AA134:AB134" si="63">ROUND(SUM(AA11:AA133),2)</f>
        <v>6.36</v>
      </c>
      <c r="AB134" s="58">
        <f t="shared" si="63"/>
        <v>3637.97</v>
      </c>
      <c r="AC134" s="58">
        <f t="shared" ref="AC134" si="64">ROUND(SUM(AC11:AC133),2)</f>
        <v>455.34</v>
      </c>
      <c r="AD134" s="58">
        <f t="shared" ref="AD134" si="65">ROUND(SUM(AD11:AD133),2)</f>
        <v>20.12</v>
      </c>
      <c r="AE134" s="58">
        <f t="shared" ref="AE134" si="66">ROUND(SUM(AE11:AE133),2)</f>
        <v>703.69</v>
      </c>
      <c r="AF134" s="58">
        <f t="shared" ref="AF134" si="67">ROUND(SUM(AF11:AF133),2)</f>
        <v>457.26</v>
      </c>
      <c r="AG134" s="58">
        <f t="shared" ref="AG134" si="68">ROUND(SUM(AG11:AG133),2)</f>
        <v>360.18</v>
      </c>
      <c r="AH134" s="58">
        <f t="shared" ref="AH134" si="69">ROUND(SUM(AH11:AH133),2)</f>
        <v>360.18</v>
      </c>
      <c r="AI134" s="58">
        <f t="shared" ref="AI134" si="70">ROUND(SUM(AI11:AI133),2)</f>
        <v>20353.28</v>
      </c>
      <c r="AJ134" s="58">
        <f t="shared" ref="AJ134" si="71">ROUND(SUM(AJ11:AJ133),2)</f>
        <v>103.58</v>
      </c>
      <c r="AK134" s="58">
        <f t="shared" ref="AK134" si="72">ROUND(SUM(AK11:AK133),2)</f>
        <v>516</v>
      </c>
      <c r="AL134" s="58">
        <f t="shared" ref="AL134" si="73">ROUND(SUM(AL11:AL133),2)</f>
        <v>247.5</v>
      </c>
      <c r="AM134" s="58">
        <f t="shared" ref="AM134" si="74">ROUND(SUM(AM11:AM133),2)</f>
        <v>289.55</v>
      </c>
      <c r="AN134" s="58">
        <f t="shared" ref="AN134" si="75">ROUND(SUM(AN11:AN133),2)</f>
        <v>652.28</v>
      </c>
      <c r="AO134" s="58">
        <f t="shared" ref="AO134" si="76">ROUND(SUM(AO11:AO133),2)</f>
        <v>31.74</v>
      </c>
      <c r="AP134" s="58">
        <f t="shared" ref="AP134" si="77">ROUND(SUM(AP11:AP133),2)</f>
        <v>85.47</v>
      </c>
      <c r="AQ134" s="59"/>
      <c r="AR134" s="78"/>
      <c r="AS134" s="78"/>
    </row>
    <row r="135" spans="2:49" s="82" customFormat="1" ht="21.95" customHeight="1" thickBot="1" x14ac:dyDescent="0.3">
      <c r="B135" s="142" t="s">
        <v>6</v>
      </c>
      <c r="C135" s="143"/>
      <c r="D135" s="143"/>
      <c r="E135" s="143"/>
      <c r="F135" s="143"/>
      <c r="G135" s="143"/>
      <c r="H135" s="143"/>
      <c r="I135" s="144"/>
      <c r="J135" s="60"/>
      <c r="K135" s="41">
        <f t="shared" ref="K135:P135" si="78">ROUND(K134,0)</f>
        <v>3153</v>
      </c>
      <c r="L135" s="41">
        <f t="shared" si="78"/>
        <v>2462</v>
      </c>
      <c r="M135" s="41">
        <f t="shared" si="78"/>
        <v>4556</v>
      </c>
      <c r="N135" s="41">
        <f t="shared" si="78"/>
        <v>13713</v>
      </c>
      <c r="O135" s="41">
        <f t="shared" si="78"/>
        <v>1778</v>
      </c>
      <c r="P135" s="41">
        <f t="shared" si="78"/>
        <v>21513</v>
      </c>
      <c r="Q135" s="137">
        <f>ROUND(Q134+R134,0)</f>
        <v>2815</v>
      </c>
      <c r="R135" s="138"/>
      <c r="S135" s="41">
        <f t="shared" ref="S135" si="79">ROUND(S134,0)</f>
        <v>1338</v>
      </c>
      <c r="T135" s="137">
        <f>ROUND(T134+U134,0)</f>
        <v>4152</v>
      </c>
      <c r="U135" s="138"/>
      <c r="V135" s="137">
        <f>ROUND(V134+W134,0)</f>
        <v>14</v>
      </c>
      <c r="W135" s="138"/>
      <c r="X135" s="41">
        <f t="shared" ref="X135:Z135" si="80">ROUND(X134,0)</f>
        <v>17618</v>
      </c>
      <c r="Y135" s="41">
        <f t="shared" si="80"/>
        <v>8279</v>
      </c>
      <c r="Z135" s="41">
        <f t="shared" si="80"/>
        <v>73</v>
      </c>
      <c r="AA135" s="137">
        <f t="shared" ref="AA135" si="81">ROUND(AA134+AB134,0)</f>
        <v>3644</v>
      </c>
      <c r="AB135" s="138"/>
      <c r="AC135" s="122">
        <f>ROUND(AC134+AD134+AE134,0)</f>
        <v>1179</v>
      </c>
      <c r="AD135" s="122"/>
      <c r="AE135" s="122"/>
      <c r="AF135" s="41">
        <f t="shared" ref="AF135:AP135" si="82">ROUND(AF134,0)</f>
        <v>457</v>
      </c>
      <c r="AG135" s="41">
        <f t="shared" si="82"/>
        <v>360</v>
      </c>
      <c r="AH135" s="41">
        <f t="shared" si="82"/>
        <v>360</v>
      </c>
      <c r="AI135" s="41">
        <f t="shared" si="82"/>
        <v>20353</v>
      </c>
      <c r="AJ135" s="41">
        <f t="shared" si="82"/>
        <v>104</v>
      </c>
      <c r="AK135" s="41">
        <f t="shared" ref="AK135:AL135" si="83">ROUND(AK134,0)</f>
        <v>516</v>
      </c>
      <c r="AL135" s="41">
        <f t="shared" si="83"/>
        <v>248</v>
      </c>
      <c r="AM135" s="41">
        <f t="shared" si="82"/>
        <v>290</v>
      </c>
      <c r="AN135" s="41">
        <f t="shared" si="82"/>
        <v>652</v>
      </c>
      <c r="AO135" s="41">
        <f t="shared" si="82"/>
        <v>32</v>
      </c>
      <c r="AP135" s="41">
        <f t="shared" si="82"/>
        <v>85</v>
      </c>
      <c r="AQ135" s="60"/>
      <c r="AR135" s="80"/>
      <c r="AS135" s="81"/>
    </row>
    <row r="136" spans="2:49" ht="20.100000000000001" customHeight="1" x14ac:dyDescent="0.2">
      <c r="C136" s="6"/>
      <c r="D136" s="6"/>
      <c r="E136" s="6"/>
      <c r="F136" s="6"/>
      <c r="G136" s="6"/>
      <c r="H136" s="6"/>
      <c r="I136" s="6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62"/>
      <c r="AS136" s="6"/>
      <c r="AT136" s="6"/>
    </row>
    <row r="137" spans="2:49" s="87" customFormat="1" ht="20.100000000000001" customHeight="1" x14ac:dyDescent="0.2">
      <c r="B137" s="112" t="s">
        <v>8</v>
      </c>
      <c r="C137" s="6"/>
      <c r="D137" s="6"/>
      <c r="E137" s="6"/>
      <c r="F137" s="6"/>
      <c r="G137" s="6"/>
      <c r="I137" s="88"/>
      <c r="V137" s="13"/>
      <c r="W137" s="13"/>
      <c r="X137" s="13"/>
      <c r="Y137" s="13"/>
      <c r="Z137" s="13"/>
      <c r="AA137" s="13"/>
      <c r="AB137" s="13"/>
      <c r="AC137" s="113"/>
      <c r="AD137" s="113"/>
      <c r="AE137" s="114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</row>
    <row r="138" spans="2:49" ht="20.100000000000001" customHeight="1" x14ac:dyDescent="0.2">
      <c r="B138" s="112" t="s">
        <v>66</v>
      </c>
      <c r="C138" s="6"/>
      <c r="D138" s="6"/>
      <c r="E138" s="6"/>
      <c r="F138" s="6"/>
      <c r="G138" s="6"/>
      <c r="H138" s="6"/>
      <c r="I138" s="88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13"/>
      <c r="AD138" s="113"/>
      <c r="AE138" s="114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S138" s="6"/>
      <c r="AT138" s="6"/>
    </row>
    <row r="139" spans="2:49" ht="20.100000000000001" customHeight="1" x14ac:dyDescent="0.2">
      <c r="B139" s="112" t="s">
        <v>67</v>
      </c>
      <c r="C139" s="6"/>
      <c r="D139" s="6"/>
      <c r="E139" s="6"/>
      <c r="F139" s="6"/>
      <c r="G139" s="6"/>
      <c r="H139" s="6"/>
      <c r="I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1"/>
      <c r="AS139" s="6"/>
      <c r="AT139" s="6"/>
    </row>
    <row r="140" spans="2:49" s="16" customFormat="1" ht="20.100000000000001" customHeight="1" x14ac:dyDescent="0.2">
      <c r="I140" s="88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</row>
    <row r="141" spans="2:49" ht="20.100000000000001" customHeight="1" x14ac:dyDescent="0.2">
      <c r="C141" s="6"/>
      <c r="D141" s="6"/>
      <c r="E141" s="6"/>
      <c r="F141" s="6"/>
      <c r="G141" s="6"/>
      <c r="H141" s="6"/>
      <c r="I141" s="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6"/>
      <c r="AS141" s="6"/>
      <c r="AT141" s="6"/>
    </row>
    <row r="142" spans="2:49" ht="20.100000000000001" customHeight="1" x14ac:dyDescent="0.2">
      <c r="C142" s="6"/>
      <c r="D142" s="6"/>
      <c r="E142" s="6"/>
      <c r="F142" s="6"/>
      <c r="G142" s="6"/>
      <c r="H142" s="6"/>
      <c r="I142" s="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6"/>
      <c r="AS142" s="6"/>
      <c r="AT142" s="6"/>
    </row>
    <row r="143" spans="2:49" ht="20.100000000000001" customHeight="1" x14ac:dyDescent="0.2">
      <c r="C143" s="6"/>
      <c r="D143" s="6"/>
      <c r="E143" s="6"/>
      <c r="F143" s="6"/>
      <c r="G143" s="6"/>
      <c r="H143" s="6"/>
      <c r="I143" s="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6"/>
      <c r="AS143" s="6"/>
      <c r="AT143" s="6"/>
    </row>
    <row r="144" spans="2:49" ht="20.100000000000001" customHeight="1" x14ac:dyDescent="0.2">
      <c r="C144" s="6"/>
      <c r="D144" s="6"/>
      <c r="E144" s="6"/>
      <c r="F144" s="6"/>
      <c r="G144" s="6"/>
      <c r="H144" s="6"/>
      <c r="I144" s="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6"/>
      <c r="AS144" s="6"/>
      <c r="AT144" s="6"/>
    </row>
    <row r="145" spans="3:46" ht="20.100000000000001" customHeight="1" x14ac:dyDescent="0.2">
      <c r="C145" s="6"/>
      <c r="D145" s="6"/>
      <c r="E145" s="6"/>
      <c r="F145" s="6"/>
      <c r="G145" s="6"/>
      <c r="H145" s="6"/>
      <c r="I145" s="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6"/>
      <c r="AS145" s="6"/>
      <c r="AT145" s="6"/>
    </row>
    <row r="146" spans="3:46" ht="20.100000000000001" customHeight="1" x14ac:dyDescent="0.2">
      <c r="C146" s="6"/>
      <c r="D146" s="6"/>
      <c r="E146" s="6"/>
      <c r="F146" s="6"/>
      <c r="G146" s="6"/>
      <c r="H146" s="6"/>
      <c r="I146" s="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6"/>
      <c r="AS146" s="6"/>
      <c r="AT146" s="6"/>
    </row>
    <row r="147" spans="3:46" ht="20.100000000000001" customHeight="1" x14ac:dyDescent="0.2">
      <c r="C147" s="6"/>
      <c r="D147" s="6"/>
      <c r="E147" s="6"/>
      <c r="F147" s="6"/>
      <c r="G147" s="6"/>
      <c r="H147" s="6"/>
      <c r="I147" s="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6"/>
      <c r="AS147" s="6"/>
      <c r="AT147" s="6"/>
    </row>
    <row r="148" spans="3:46" ht="20.100000000000001" customHeight="1" x14ac:dyDescent="0.2">
      <c r="C148" s="6"/>
      <c r="D148" s="6"/>
      <c r="E148" s="6"/>
      <c r="F148" s="6"/>
      <c r="G148" s="6"/>
      <c r="H148" s="6"/>
      <c r="I148" s="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6"/>
      <c r="AS148" s="6"/>
      <c r="AT148" s="6"/>
    </row>
    <row r="149" spans="3:46" ht="20.100000000000001" customHeight="1" x14ac:dyDescent="0.2">
      <c r="C149" s="6"/>
      <c r="D149" s="6"/>
      <c r="E149" s="6"/>
      <c r="F149" s="6"/>
      <c r="G149" s="6"/>
      <c r="H149" s="6"/>
      <c r="I149" s="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6"/>
      <c r="AS149" s="6"/>
      <c r="AT149" s="6"/>
    </row>
    <row r="150" spans="3:46" s="6" customFormat="1" ht="20.100000000000001" customHeight="1" x14ac:dyDescent="0.2"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AP150" s="61"/>
    </row>
    <row r="151" spans="3:46" s="6" customFormat="1" ht="20.100000000000001" customHeight="1" x14ac:dyDescent="0.2"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AP151" s="61"/>
    </row>
    <row r="152" spans="3:46" s="6" customFormat="1" ht="20.100000000000001" customHeight="1" x14ac:dyDescent="0.2"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AP152" s="61"/>
    </row>
    <row r="153" spans="3:46" s="6" customFormat="1" ht="20.100000000000001" customHeight="1" x14ac:dyDescent="0.2"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AP153" s="61"/>
    </row>
    <row r="154" spans="3:46" s="6" customFormat="1" ht="20.100000000000001" customHeight="1" x14ac:dyDescent="0.2"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AP154" s="61"/>
    </row>
    <row r="155" spans="3:46" s="6" customFormat="1" ht="20.100000000000001" customHeight="1" x14ac:dyDescent="0.2"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AP155" s="61"/>
    </row>
    <row r="156" spans="3:46" s="6" customFormat="1" ht="20.100000000000001" customHeight="1" x14ac:dyDescent="0.2"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AP156" s="61"/>
    </row>
    <row r="157" spans="3:46" s="6" customFormat="1" ht="20.100000000000001" customHeight="1" x14ac:dyDescent="0.2"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AP157" s="61"/>
    </row>
    <row r="158" spans="3:46" s="6" customFormat="1" ht="20.100000000000001" customHeight="1" x14ac:dyDescent="0.2"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AP158" s="61"/>
    </row>
    <row r="159" spans="3:46" s="6" customFormat="1" ht="20.100000000000001" customHeight="1" x14ac:dyDescent="0.2"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AP159" s="61"/>
    </row>
    <row r="160" spans="3:46" s="6" customFormat="1" ht="20.100000000000001" customHeight="1" x14ac:dyDescent="0.2"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AP160" s="61"/>
    </row>
    <row r="161" spans="11:42" s="6" customFormat="1" ht="20.100000000000001" customHeight="1" x14ac:dyDescent="0.2"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AP161" s="61"/>
    </row>
    <row r="162" spans="11:42" s="6" customFormat="1" ht="20.100000000000001" customHeight="1" x14ac:dyDescent="0.2"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AP162" s="61"/>
    </row>
    <row r="163" spans="11:42" s="6" customFormat="1" ht="20.100000000000001" customHeight="1" x14ac:dyDescent="0.2"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AP163" s="61"/>
    </row>
    <row r="164" spans="11:42" s="6" customFormat="1" ht="20.100000000000001" customHeight="1" x14ac:dyDescent="0.2"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AP164" s="61"/>
    </row>
    <row r="165" spans="11:42" s="6" customFormat="1" ht="20.100000000000001" customHeight="1" x14ac:dyDescent="0.2"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AP165" s="61"/>
    </row>
    <row r="166" spans="11:42" s="6" customFormat="1" ht="20.100000000000001" customHeight="1" x14ac:dyDescent="0.2"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AP166" s="61"/>
    </row>
    <row r="167" spans="11:42" s="6" customFormat="1" ht="20.100000000000001" customHeight="1" x14ac:dyDescent="0.2"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AP167" s="61"/>
    </row>
    <row r="168" spans="11:42" s="6" customFormat="1" ht="20.100000000000001" customHeight="1" x14ac:dyDescent="0.2"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AP168" s="61"/>
    </row>
    <row r="169" spans="11:42" s="6" customFormat="1" ht="20.100000000000001" customHeight="1" x14ac:dyDescent="0.2"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AP169" s="61"/>
    </row>
    <row r="170" spans="11:42" s="6" customFormat="1" ht="20.100000000000001" customHeight="1" x14ac:dyDescent="0.2"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AP170" s="61"/>
    </row>
    <row r="171" spans="11:42" s="6" customFormat="1" ht="20.100000000000001" customHeight="1" x14ac:dyDescent="0.2"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AP171" s="61"/>
    </row>
    <row r="172" spans="11:42" s="6" customFormat="1" ht="20.100000000000001" customHeight="1" x14ac:dyDescent="0.2"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AP172" s="61"/>
    </row>
    <row r="173" spans="11:42" s="6" customFormat="1" ht="20.100000000000001" customHeight="1" x14ac:dyDescent="0.2"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AP173" s="61"/>
    </row>
    <row r="174" spans="11:42" s="6" customFormat="1" ht="20.100000000000001" customHeight="1" x14ac:dyDescent="0.2"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AP174" s="61"/>
    </row>
    <row r="175" spans="11:42" s="6" customFormat="1" ht="20.100000000000001" customHeight="1" x14ac:dyDescent="0.2"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AP175" s="61"/>
    </row>
    <row r="176" spans="11:42" s="6" customFormat="1" ht="20.100000000000001" customHeight="1" x14ac:dyDescent="0.2"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AP176" s="61"/>
    </row>
    <row r="177" spans="11:42" s="6" customFormat="1" ht="20.100000000000001" customHeight="1" x14ac:dyDescent="0.2"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AP177" s="61"/>
    </row>
    <row r="178" spans="11:42" s="6" customFormat="1" ht="20.100000000000001" customHeight="1" x14ac:dyDescent="0.2"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AP178" s="61"/>
    </row>
    <row r="179" spans="11:42" s="6" customFormat="1" ht="20.100000000000001" customHeight="1" x14ac:dyDescent="0.2"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AP179" s="61"/>
    </row>
    <row r="180" spans="11:42" s="6" customFormat="1" ht="20.100000000000001" customHeight="1" x14ac:dyDescent="0.2"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AP180" s="61"/>
    </row>
    <row r="181" spans="11:42" s="6" customFormat="1" ht="20.100000000000001" customHeight="1" x14ac:dyDescent="0.2"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AP181" s="61"/>
    </row>
    <row r="182" spans="11:42" s="6" customFormat="1" ht="20.100000000000001" customHeight="1" x14ac:dyDescent="0.2"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AP182" s="61"/>
    </row>
    <row r="183" spans="11:42" s="6" customFormat="1" ht="20.100000000000001" customHeight="1" x14ac:dyDescent="0.2"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AP183" s="61"/>
    </row>
    <row r="184" spans="11:42" s="6" customFormat="1" ht="20.100000000000001" customHeight="1" x14ac:dyDescent="0.2"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AP184" s="61"/>
    </row>
    <row r="185" spans="11:42" s="6" customFormat="1" ht="20.100000000000001" customHeight="1" x14ac:dyDescent="0.2"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AP185" s="61"/>
    </row>
    <row r="186" spans="11:42" s="6" customFormat="1" ht="20.100000000000001" customHeight="1" x14ac:dyDescent="0.2"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AP186" s="61"/>
    </row>
    <row r="187" spans="11:42" s="6" customFormat="1" ht="20.100000000000001" customHeight="1" x14ac:dyDescent="0.2"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AP187" s="61"/>
    </row>
    <row r="188" spans="11:42" s="6" customFormat="1" ht="20.100000000000001" customHeight="1" x14ac:dyDescent="0.2"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AP188" s="61"/>
    </row>
    <row r="189" spans="11:42" s="6" customFormat="1" ht="20.100000000000001" customHeight="1" x14ac:dyDescent="0.2"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AP189" s="61"/>
    </row>
    <row r="190" spans="11:42" s="6" customFormat="1" ht="20.100000000000001" customHeight="1" x14ac:dyDescent="0.2"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AP190" s="61"/>
    </row>
    <row r="191" spans="11:42" s="6" customFormat="1" ht="20.100000000000001" customHeight="1" x14ac:dyDescent="0.2"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AP191" s="61"/>
    </row>
    <row r="192" spans="11:42" s="6" customFormat="1" ht="20.100000000000001" customHeight="1" x14ac:dyDescent="0.2"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AP192" s="61"/>
    </row>
    <row r="193" spans="11:42" s="6" customFormat="1" ht="20.100000000000001" customHeight="1" x14ac:dyDescent="0.2"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AP193" s="61"/>
    </row>
    <row r="194" spans="11:42" s="6" customFormat="1" ht="20.100000000000001" customHeight="1" x14ac:dyDescent="0.2"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AP194" s="61"/>
    </row>
    <row r="195" spans="11:42" s="6" customFormat="1" ht="20.100000000000001" customHeight="1" x14ac:dyDescent="0.2"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AP195" s="61"/>
    </row>
    <row r="196" spans="11:42" s="6" customFormat="1" ht="20.100000000000001" customHeight="1" x14ac:dyDescent="0.2"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AP196" s="61"/>
    </row>
    <row r="197" spans="11:42" s="6" customFormat="1" ht="20.100000000000001" customHeight="1" x14ac:dyDescent="0.2"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AP197" s="61"/>
    </row>
    <row r="198" spans="11:42" s="6" customFormat="1" ht="20.100000000000001" customHeight="1" x14ac:dyDescent="0.2"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AP198" s="61"/>
    </row>
    <row r="199" spans="11:42" s="6" customFormat="1" ht="20.100000000000001" customHeight="1" x14ac:dyDescent="0.2"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AP199" s="61"/>
    </row>
    <row r="200" spans="11:42" s="6" customFormat="1" ht="20.100000000000001" customHeight="1" x14ac:dyDescent="0.2"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AP200" s="61"/>
    </row>
    <row r="201" spans="11:42" s="6" customFormat="1" ht="20.100000000000001" customHeight="1" x14ac:dyDescent="0.2"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AP201" s="61"/>
    </row>
    <row r="202" spans="11:42" s="6" customFormat="1" ht="20.100000000000001" customHeight="1" x14ac:dyDescent="0.2"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AP202" s="61"/>
    </row>
    <row r="203" spans="11:42" s="6" customFormat="1" ht="20.100000000000001" customHeight="1" x14ac:dyDescent="0.2"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AP203" s="61"/>
    </row>
    <row r="204" spans="11:42" s="6" customFormat="1" ht="20.100000000000001" customHeight="1" x14ac:dyDescent="0.2"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AP204" s="61"/>
    </row>
  </sheetData>
  <mergeCells count="36">
    <mergeCell ref="Q4:R4"/>
    <mergeCell ref="Q5:R5"/>
    <mergeCell ref="Q6:R6"/>
    <mergeCell ref="V135:W135"/>
    <mergeCell ref="T135:U135"/>
    <mergeCell ref="Q135:R135"/>
    <mergeCell ref="V4:W4"/>
    <mergeCell ref="V5:W5"/>
    <mergeCell ref="V6:W6"/>
    <mergeCell ref="T4:U4"/>
    <mergeCell ref="C130:I130"/>
    <mergeCell ref="B134:I134"/>
    <mergeCell ref="B135:I135"/>
    <mergeCell ref="B5:B8"/>
    <mergeCell ref="C19:I19"/>
    <mergeCell ref="F1:I1"/>
    <mergeCell ref="AC135:AE135"/>
    <mergeCell ref="C4:D5"/>
    <mergeCell ref="E4:E5"/>
    <mergeCell ref="C10:I10"/>
    <mergeCell ref="F4:F5"/>
    <mergeCell ref="H4:H5"/>
    <mergeCell ref="I4:I5"/>
    <mergeCell ref="G4:G5"/>
    <mergeCell ref="AC4:AE4"/>
    <mergeCell ref="AC6:AE6"/>
    <mergeCell ref="AC5:AE5"/>
    <mergeCell ref="T6:U6"/>
    <mergeCell ref="T5:U5"/>
    <mergeCell ref="AA135:AB135"/>
    <mergeCell ref="C123:I123"/>
    <mergeCell ref="AC137:AE137"/>
    <mergeCell ref="AA4:AB4"/>
    <mergeCell ref="AA5:AB5"/>
    <mergeCell ref="AA6:AB6"/>
    <mergeCell ref="AC138:AE138"/>
  </mergeCells>
  <phoneticPr fontId="0" type="noConversion"/>
  <hyperlinks>
    <hyperlink ref="C3" r:id="rId1" display="Return to Table of Contents" xr:uid="{00000000-0004-0000-0000-000000000000}"/>
  </hyperlinks>
  <pageMargins left="0.75" right="0.75" top="0" bottom="0" header="0.5" footer="0.5"/>
  <pageSetup paperSize="17" scale="59" fitToHeight="4" orientation="landscape" r:id="rId2"/>
  <headerFooter alignWithMargins="0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OfficeCalcs</vt:lpstr>
      <vt:lpstr>OfficeCalcs!Print_Area</vt:lpstr>
      <vt:lpstr>OfficeCalcs!Spanner_Auto_Select</vt:lpstr>
    </vt:vector>
  </TitlesOfParts>
  <Company>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J. Thompson</dc:creator>
  <cp:lastModifiedBy>Philips, Matthew</cp:lastModifiedBy>
  <cp:lastPrinted>2008-01-11T19:52:05Z</cp:lastPrinted>
  <dcterms:created xsi:type="dcterms:W3CDTF">2000-07-26T18:06:19Z</dcterms:created>
  <dcterms:modified xsi:type="dcterms:W3CDTF">2026-01-12T11:34:24Z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