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0247-PPFSS01\shared_projects\173609095\110974\Task F HEN-108-17.40\110867\400-Engineering\Roadway\EngData\"/>
    </mc:Choice>
  </mc:AlternateContent>
  <xr:revisionPtr revIDLastSave="0" documentId="13_ncr:1_{CFC5CBC2-C3E2-4563-83FC-1B3C8928F87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Images and Notes" sheetId="2" r:id="rId2"/>
  </sheets>
  <definedNames>
    <definedName name="_xlnm.Print_Area" localSheetId="0">Sheet1!$A$1:$R$17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R4" i="1" l="1"/>
  <c r="O7" i="1"/>
  <c r="O11" i="1"/>
  <c r="O15" i="1"/>
  <c r="R5" i="1"/>
  <c r="L5" i="1"/>
  <c r="I5" i="1"/>
  <c r="H5" i="1"/>
  <c r="P5" i="1" s="1"/>
  <c r="G5" i="1"/>
  <c r="L4" i="1"/>
  <c r="K4" i="1"/>
  <c r="I4" i="1"/>
  <c r="H4" i="1"/>
  <c r="P4" i="1" s="1"/>
  <c r="G4" i="1"/>
  <c r="L3" i="1"/>
  <c r="N3" i="1" s="1"/>
  <c r="K3" i="1"/>
  <c r="I3" i="1"/>
  <c r="H3" i="1"/>
  <c r="P3" i="1" s="1"/>
  <c r="G3" i="1"/>
  <c r="J4" i="1" l="1"/>
  <c r="N11" i="1" s="1"/>
  <c r="Q4" i="1"/>
  <c r="P10" i="1" l="1"/>
  <c r="L8" i="1" l="1"/>
  <c r="L9" i="1"/>
  <c r="L10" i="1"/>
  <c r="L12" i="1"/>
  <c r="L13" i="1"/>
  <c r="L14" i="1"/>
  <c r="N15" i="1"/>
  <c r="L16" i="1"/>
  <c r="L17" i="1"/>
  <c r="K11" i="1"/>
  <c r="K12" i="1"/>
  <c r="K14" i="1"/>
  <c r="R16" i="1"/>
  <c r="K15" i="1"/>
  <c r="K16" i="1"/>
  <c r="K9" i="1"/>
  <c r="R8" i="1" s="1"/>
  <c r="K7" i="1"/>
  <c r="K8" i="1"/>
  <c r="K13" i="1"/>
  <c r="R12" i="1" s="1"/>
  <c r="H14" i="1"/>
  <c r="H17" i="1"/>
  <c r="H15" i="1"/>
  <c r="H9" i="1"/>
  <c r="H7" i="1"/>
  <c r="P7" i="1" s="1"/>
  <c r="H8" i="1"/>
  <c r="J8" i="1" s="1"/>
  <c r="H13" i="1"/>
  <c r="H11" i="1"/>
  <c r="I11" i="1"/>
  <c r="I12" i="1"/>
  <c r="I14" i="1"/>
  <c r="I17" i="1"/>
  <c r="I15" i="1"/>
  <c r="I9" i="1"/>
  <c r="I7" i="1"/>
  <c r="I8" i="1"/>
  <c r="I13" i="1"/>
  <c r="G13" i="1"/>
  <c r="G14" i="1"/>
  <c r="G17" i="1"/>
  <c r="G15" i="1"/>
  <c r="G9" i="1"/>
  <c r="G7" i="1"/>
  <c r="G8" i="1"/>
  <c r="G11" i="1"/>
  <c r="G12" i="1"/>
  <c r="H12" i="1"/>
  <c r="J12" i="1" s="1"/>
  <c r="L7" i="1"/>
  <c r="N7" i="1" s="1"/>
  <c r="Q16" i="1" l="1"/>
  <c r="Q8" i="1"/>
  <c r="P8" i="1"/>
  <c r="Q12" i="1"/>
  <c r="P14" i="1"/>
  <c r="P11" i="1"/>
  <c r="P9" i="1"/>
  <c r="P15" i="1"/>
  <c r="P13" i="1"/>
  <c r="P16" i="1"/>
  <c r="Q7" i="1"/>
  <c r="R7" i="1"/>
  <c r="P17" i="1"/>
  <c r="P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Goodman, Nicholas</author>
  </authors>
  <commentList>
    <comment ref="R4" authorId="0" shapeId="0" xr:uid="{31C32603-4D2A-4E9A-9304-6209BEAA3481}">
      <text>
        <r>
          <rPr>
            <b/>
            <sz val="9"/>
            <color indexed="81"/>
            <rFont val="Tahoma"/>
            <charset val="1"/>
          </rPr>
          <t>Goodman, Nicholas:</t>
        </r>
        <r>
          <rPr>
            <sz val="9"/>
            <color indexed="81"/>
            <rFont val="Tahoma"/>
            <charset val="1"/>
          </rPr>
          <t xml:space="preserve">
based on circ speed of 15 MPH. Not from R4
</t>
        </r>
      </text>
    </comment>
    <comment ref="N11" authorId="0" shapeId="0" xr:uid="{1B6F8EA7-1CA9-4E8B-BD1C-406C8DA1A46D}">
      <text>
        <r>
          <rPr>
            <b/>
            <sz val="9"/>
            <color indexed="81"/>
            <rFont val="Tahoma"/>
            <charset val="1"/>
          </rPr>
          <t>Goodman, Nicholas:</t>
        </r>
        <r>
          <rPr>
            <sz val="9"/>
            <color indexed="81"/>
            <rFont val="Tahoma"/>
            <charset val="1"/>
          </rPr>
          <t xml:space="preserve">
based on R3 of Southbound driver thru movement</t>
        </r>
      </text>
    </comment>
  </commentList>
</comments>
</file>

<file path=xl/sharedStrings.xml><?xml version="1.0" encoding="utf-8"?>
<sst xmlns="http://schemas.openxmlformats.org/spreadsheetml/2006/main" count="48" uniqueCount="33">
  <si>
    <t>MOVEMENT TYPE</t>
  </si>
  <si>
    <t>INPUTS</t>
  </si>
  <si>
    <t>OUTPUTS</t>
  </si>
  <si>
    <r>
      <t>R</t>
    </r>
    <r>
      <rPr>
        <b/>
        <sz val="8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(FT)</t>
    </r>
  </si>
  <si>
    <r>
      <t>R</t>
    </r>
    <r>
      <rPr>
        <b/>
        <sz val="8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(FT)</t>
    </r>
  </si>
  <si>
    <r>
      <t>R</t>
    </r>
    <r>
      <rPr>
        <b/>
        <sz val="8"/>
        <color theme="1"/>
        <rFont val="Calibri"/>
        <family val="2"/>
        <scheme val="minor"/>
      </rPr>
      <t xml:space="preserve">3 </t>
    </r>
    <r>
      <rPr>
        <b/>
        <sz val="11"/>
        <color theme="1"/>
        <rFont val="Calibri"/>
        <family val="2"/>
        <scheme val="minor"/>
      </rPr>
      <t>(FT)</t>
    </r>
  </si>
  <si>
    <r>
      <t>R</t>
    </r>
    <r>
      <rPr>
        <b/>
        <sz val="8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 (FT)</t>
    </r>
  </si>
  <si>
    <r>
      <t>R</t>
    </r>
    <r>
      <rPr>
        <b/>
        <sz val="8"/>
        <color theme="1"/>
        <rFont val="Calibri"/>
        <family val="2"/>
        <scheme val="minor"/>
      </rPr>
      <t xml:space="preserve">5 </t>
    </r>
    <r>
      <rPr>
        <b/>
        <sz val="11"/>
        <color theme="1"/>
        <rFont val="Calibri"/>
        <family val="2"/>
        <scheme val="minor"/>
      </rPr>
      <t>(FT)</t>
    </r>
  </si>
  <si>
    <r>
      <t>V</t>
    </r>
    <r>
      <rPr>
        <b/>
        <sz val="8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(MPH)</t>
    </r>
  </si>
  <si>
    <r>
      <t>V</t>
    </r>
    <r>
      <rPr>
        <b/>
        <sz val="8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(MPH)</t>
    </r>
  </si>
  <si>
    <r>
      <t>V</t>
    </r>
    <r>
      <rPr>
        <b/>
        <sz val="8"/>
        <color theme="1"/>
        <rFont val="Calibri"/>
        <family val="2"/>
        <scheme val="minor"/>
      </rPr>
      <t xml:space="preserve">3 </t>
    </r>
    <r>
      <rPr>
        <b/>
        <sz val="11"/>
        <color theme="1"/>
        <rFont val="Calibri"/>
        <family val="2"/>
        <scheme val="minor"/>
      </rPr>
      <t>(MPH)</t>
    </r>
  </si>
  <si>
    <r>
      <t>V</t>
    </r>
    <r>
      <rPr>
        <b/>
        <sz val="8"/>
        <color theme="1"/>
        <rFont val="Calibri"/>
        <family val="2"/>
        <scheme val="minor"/>
      </rPr>
      <t xml:space="preserve">3A </t>
    </r>
    <r>
      <rPr>
        <b/>
        <sz val="11"/>
        <color theme="1"/>
        <rFont val="Calibri"/>
        <family val="2"/>
        <scheme val="minor"/>
      </rPr>
      <t>(MPH)</t>
    </r>
  </si>
  <si>
    <r>
      <t>V</t>
    </r>
    <r>
      <rPr>
        <b/>
        <sz val="8"/>
        <color theme="1"/>
        <rFont val="Calibri"/>
        <family val="2"/>
        <scheme val="minor"/>
      </rPr>
      <t xml:space="preserve">4 </t>
    </r>
    <r>
      <rPr>
        <b/>
        <sz val="11"/>
        <color theme="1"/>
        <rFont val="Calibri"/>
        <family val="2"/>
        <scheme val="minor"/>
      </rPr>
      <t>(MPH)</t>
    </r>
  </si>
  <si>
    <r>
      <t>V</t>
    </r>
    <r>
      <rPr>
        <b/>
        <sz val="8"/>
        <color theme="1"/>
        <rFont val="Calibri"/>
        <family val="2"/>
        <scheme val="minor"/>
      </rPr>
      <t xml:space="preserve">5 </t>
    </r>
    <r>
      <rPr>
        <b/>
        <sz val="11"/>
        <color theme="1"/>
        <rFont val="Calibri"/>
        <family val="2"/>
        <scheme val="minor"/>
      </rPr>
      <t>(MPH)</t>
    </r>
  </si>
  <si>
    <r>
      <t>SSD</t>
    </r>
    <r>
      <rPr>
        <b/>
        <sz val="8"/>
        <color theme="1"/>
        <rFont val="Calibri"/>
        <family val="2"/>
        <scheme val="minor"/>
      </rPr>
      <t>c</t>
    </r>
  </si>
  <si>
    <r>
      <t>ISD</t>
    </r>
    <r>
      <rPr>
        <b/>
        <sz val="8"/>
        <color theme="1"/>
        <rFont val="Calibri"/>
        <family val="2"/>
        <scheme val="minor"/>
      </rPr>
      <t>e</t>
    </r>
  </si>
  <si>
    <r>
      <t>ISD</t>
    </r>
    <r>
      <rPr>
        <b/>
        <sz val="8"/>
        <color theme="1"/>
        <rFont val="Calibri"/>
        <family val="2"/>
        <scheme val="minor"/>
      </rPr>
      <t>c</t>
    </r>
  </si>
  <si>
    <t>NMG</t>
  </si>
  <si>
    <t>CALCED BY:</t>
  </si>
  <si>
    <t>CHECKED BY:</t>
  </si>
  <si>
    <r>
      <t>SSD</t>
    </r>
    <r>
      <rPr>
        <b/>
        <sz val="8"/>
        <color theme="1"/>
        <rFont val="Calibri"/>
        <family val="2"/>
        <scheme val="minor"/>
      </rPr>
      <t>ped</t>
    </r>
  </si>
  <si>
    <r>
      <t>SSD</t>
    </r>
    <r>
      <rPr>
        <b/>
        <sz val="8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/app</t>
    </r>
  </si>
  <si>
    <t>R4</t>
  </si>
  <si>
    <t>R5</t>
  </si>
  <si>
    <t>R1-R3</t>
  </si>
  <si>
    <t>Revised By:</t>
  </si>
  <si>
    <t>Checked By:</t>
  </si>
  <si>
    <t>X</t>
  </si>
  <si>
    <t>SR-108 (North Leg)</t>
  </si>
  <si>
    <t>US-24W to SR-108</t>
  </si>
  <si>
    <t>SR-108 (South Leg)</t>
  </si>
  <si>
    <t>SR-108 to US-24W</t>
  </si>
  <si>
    <t xml:space="preserve">157.8 was the pre stage 1 submittal.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</si>
</sst>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2" borderId="0" xfId="0" applyFill="1"/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/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quotePrefix="1"/>
    <xf numFmtId="0" fontId="0" fillId="4" borderId="4" xfId="0" applyFill="1" applyBorder="1"/>
    <xf numFmtId="0" fontId="0" fillId="5" borderId="4" xfId="0" applyFill="1" applyBorder="1"/>
    <xf numFmtId="0" fontId="0" fillId="6" borderId="4" xfId="0" applyFill="1" applyBorder="1"/>
    <xf numFmtId="2" fontId="4" fillId="0" borderId="5" xfId="0" applyNumberFormat="1" applyFont="1" applyFill="1" applyBorder="1" applyAlignment="1">
      <alignment horizontal="center"/>
    </xf>
    <xf numFmtId="0" fontId="0" fillId="3" borderId="4" xfId="0" applyFill="1" applyBorder="1"/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7" xfId="0" applyFill="1" applyBorder="1"/>
    <xf numFmtId="0" fontId="0" fillId="0" borderId="9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14" fontId="0" fillId="0" borderId="0" xfId="0" applyNumberFormat="1"/>
    <xf numFmtId="164" fontId="4" fillId="0" borderId="5" xfId="0" applyNumberFormat="1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164" fontId="0" fillId="3" borderId="5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151314</xdr:colOff>
      <xdr:row>25</xdr:row>
      <xdr:rowOff>75595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158C16-9DA9-43FC-8538-24E7C05F3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5714" cy="4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2"/>
  <sheetViews>
    <sheetView showZeros="0" tabSelected="1" zoomScale="80" zoomScaleNormal="80" workbookViewId="0">
      <pane xSplit="1" topLeftCell="B1" activePane="topRight" state="frozen"/>
      <selection pane="topRight" activeCell="B13" sqref="B13"/>
    </sheetView>
  </sheetViews>
  <sheetFormatPr defaultRowHeight="15" x14ac:dyDescent="0.25"/>
  <cols>
    <col min="1" max="1" width="41.85546875" bestFit="1" customWidth="1"/>
    <col min="2" max="12" width="9.140625" style="1"/>
    <col min="13" max="14" width="9.140625" customWidth="1"/>
    <col min="15" max="15" width="10.140625" customWidth="1"/>
    <col min="20" max="20" width="13.42578125" customWidth="1"/>
    <col min="21" max="21" width="6.7109375" customWidth="1"/>
    <col min="22" max="22" width="11.5703125" bestFit="1" customWidth="1"/>
  </cols>
  <sheetData>
    <row r="1" spans="1:24" x14ac:dyDescent="0.25">
      <c r="A1" s="24" t="s">
        <v>0</v>
      </c>
      <c r="B1" s="9" t="s">
        <v>3</v>
      </c>
      <c r="C1" s="9" t="s">
        <v>4</v>
      </c>
      <c r="D1" s="9" t="s">
        <v>5</v>
      </c>
      <c r="E1" s="9" t="s">
        <v>6</v>
      </c>
      <c r="F1" s="9" t="s">
        <v>7</v>
      </c>
      <c r="G1" s="10" t="s">
        <v>8</v>
      </c>
      <c r="H1" s="10" t="s">
        <v>9</v>
      </c>
      <c r="I1" s="10" t="s">
        <v>10</v>
      </c>
      <c r="J1" s="10" t="s">
        <v>11</v>
      </c>
      <c r="K1" s="10" t="s">
        <v>12</v>
      </c>
      <c r="L1" s="10" t="s">
        <v>13</v>
      </c>
      <c r="M1" s="11"/>
      <c r="N1" s="10" t="s">
        <v>20</v>
      </c>
      <c r="O1" s="10" t="s">
        <v>21</v>
      </c>
      <c r="P1" s="10" t="s">
        <v>14</v>
      </c>
      <c r="Q1" s="10" t="s">
        <v>15</v>
      </c>
      <c r="R1" s="12" t="s">
        <v>16</v>
      </c>
    </row>
    <row r="2" spans="1:24" x14ac:dyDescent="0.25">
      <c r="A2" s="27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1"/>
      <c r="O2" s="21"/>
      <c r="P2" s="21"/>
      <c r="Q2" s="21"/>
      <c r="R2" s="23"/>
    </row>
    <row r="3" spans="1:24" x14ac:dyDescent="0.25">
      <c r="A3" s="16" t="s">
        <v>23</v>
      </c>
      <c r="B3" s="29"/>
      <c r="C3" s="29"/>
      <c r="D3" s="29"/>
      <c r="E3" s="29"/>
      <c r="F3" s="29">
        <v>142.86000000000001</v>
      </c>
      <c r="G3" s="32">
        <f t="shared" ref="G3" si="0">ROUNDUP(3.4415*(B3^0.3861),2)</f>
        <v>0</v>
      </c>
      <c r="H3" s="32">
        <f t="shared" ref="H3:H4" si="1">ROUNDUP(3.4614*(C3^0.3673),2)</f>
        <v>0</v>
      </c>
      <c r="I3" s="32">
        <f t="shared" ref="I3:I4" si="2">ROUNDUP(3.4415*(D3^0.3861),2)</f>
        <v>0</v>
      </c>
      <c r="J3" s="32"/>
      <c r="K3" s="32">
        <f t="shared" ref="K3:K4" si="3">ROUNDUP(3.4614*(E3^0.3673),2)</f>
        <v>0</v>
      </c>
      <c r="L3" s="32">
        <f t="shared" ref="L3:L5" si="4">ROUNDUP(3.4415*(F3^0.3861),2)</f>
        <v>23.380000000000003</v>
      </c>
      <c r="M3" s="5"/>
      <c r="N3" s="4">
        <f>ROUNDUP(1.468*2.5*L3+1.087*(L3^2/11.2),0)</f>
        <v>139</v>
      </c>
      <c r="O3" s="4">
        <f>ROUNDUP(1.468*2.5*50+1.087*(35^2/11.2),0)</f>
        <v>303</v>
      </c>
      <c r="P3" s="4">
        <f t="shared" ref="P3:P5" si="5">ROUNDUP(1.468*2.5*H3+1.087*(H3^2/11.2),0)</f>
        <v>0</v>
      </c>
      <c r="Q3" s="4"/>
      <c r="R3" s="6"/>
      <c r="X3" t="s">
        <v>32</v>
      </c>
    </row>
    <row r="4" spans="1:24" x14ac:dyDescent="0.25">
      <c r="A4" s="16" t="s">
        <v>24</v>
      </c>
      <c r="B4" s="41">
        <v>135.24</v>
      </c>
      <c r="C4" s="41">
        <v>93.59</v>
      </c>
      <c r="D4" s="41">
        <v>292.70999999999998</v>
      </c>
      <c r="E4" s="29"/>
      <c r="F4" s="29"/>
      <c r="G4" s="32">
        <f>ROUNDUP(3.4415*(B4^0.3861),2)</f>
        <v>22.89</v>
      </c>
      <c r="H4" s="32">
        <f t="shared" si="1"/>
        <v>18.34</v>
      </c>
      <c r="I4" s="32">
        <f t="shared" si="2"/>
        <v>30.84</v>
      </c>
      <c r="J4" s="32">
        <f>ROUNDUP((1/1.47)*(SQRT(1.47*(H4)^2+2*6.9*82.46)),2)</f>
        <v>27.490000000000002</v>
      </c>
      <c r="K4" s="32">
        <f t="shared" si="3"/>
        <v>0</v>
      </c>
      <c r="L4" s="32">
        <f t="shared" si="4"/>
        <v>0</v>
      </c>
      <c r="M4" s="5"/>
      <c r="N4" s="4"/>
      <c r="O4" s="4"/>
      <c r="P4" s="4">
        <f t="shared" si="5"/>
        <v>100</v>
      </c>
      <c r="Q4" s="4">
        <f>ROUNDUP(1.468*((G4+H4)/2)*5,0)</f>
        <v>152</v>
      </c>
      <c r="R4" s="37">
        <f>ROUNDUP(1.468*15*5, 0)</f>
        <v>111</v>
      </c>
    </row>
    <row r="5" spans="1:24" x14ac:dyDescent="0.25">
      <c r="A5" s="16" t="s">
        <v>22</v>
      </c>
      <c r="B5" s="29"/>
      <c r="C5" s="29"/>
      <c r="D5" s="29"/>
      <c r="E5" s="29" t="s">
        <v>27</v>
      </c>
      <c r="F5" s="29"/>
      <c r="G5" s="32">
        <f>ROUNDUP(3.4415*(B5^0.3861),2)</f>
        <v>0</v>
      </c>
      <c r="H5" s="32">
        <f>ROUNDUP(3.4614*(C5^0.3673),2)</f>
        <v>0</v>
      </c>
      <c r="I5" s="32">
        <f>ROUNDUP(3.4415*(D5^0.3861),2)</f>
        <v>0</v>
      </c>
      <c r="J5" s="32"/>
      <c r="K5" s="32"/>
      <c r="L5" s="32">
        <f t="shared" si="4"/>
        <v>0</v>
      </c>
      <c r="M5" s="5"/>
      <c r="N5" s="4"/>
      <c r="O5" s="4"/>
      <c r="P5" s="4">
        <f t="shared" si="5"/>
        <v>0</v>
      </c>
      <c r="Q5" s="4"/>
      <c r="R5" s="6">
        <f>ROUNDUP(1.468*2.5*J5+1.087*(J5^2/11.2),0)</f>
        <v>0</v>
      </c>
    </row>
    <row r="6" spans="1:24" x14ac:dyDescent="0.25">
      <c r="A6" s="27" t="s">
        <v>29</v>
      </c>
      <c r="B6" s="30"/>
      <c r="C6" s="30"/>
      <c r="D6" s="30"/>
      <c r="E6" s="30"/>
      <c r="F6" s="30"/>
      <c r="G6" s="33"/>
      <c r="H6" s="33"/>
      <c r="I6" s="33"/>
      <c r="J6" s="33"/>
      <c r="K6" s="33"/>
      <c r="L6" s="33"/>
      <c r="M6" s="22"/>
      <c r="N6" s="21"/>
      <c r="O6" s="21"/>
      <c r="P6" s="21"/>
      <c r="Q6" s="21"/>
      <c r="R6" s="23"/>
    </row>
    <row r="7" spans="1:24" x14ac:dyDescent="0.25">
      <c r="A7" s="17" t="s">
        <v>23</v>
      </c>
      <c r="B7" s="29"/>
      <c r="C7" s="29"/>
      <c r="D7" s="29"/>
      <c r="E7" s="29"/>
      <c r="F7" s="41">
        <v>123.85</v>
      </c>
      <c r="G7" s="32">
        <f>ROUNDUP(3.4415*(B7^0.3861),2)</f>
        <v>0</v>
      </c>
      <c r="H7" s="32">
        <f>ROUNDUP(3.4614*(C7^0.3673),2)</f>
        <v>0</v>
      </c>
      <c r="I7" s="32">
        <f>ROUNDUP(3.4415*(D7^0.3861),2)</f>
        <v>0</v>
      </c>
      <c r="J7" s="32"/>
      <c r="K7" s="32">
        <f>ROUNDUP(3.4614*(E7^0.3673),2)</f>
        <v>0</v>
      </c>
      <c r="L7" s="32">
        <f>ROUNDUP(3.4415*(F7^0.3861),2)</f>
        <v>22.130000000000003</v>
      </c>
      <c r="M7" s="5"/>
      <c r="N7" s="4">
        <f>ROUNDUP(1.468*2.5*L7+1.087*(L7^2/11.2),0)</f>
        <v>129</v>
      </c>
      <c r="O7" s="4">
        <f>ROUNDUP(1.468*2.5*50+1.087*(50^2/11.2),0)</f>
        <v>427</v>
      </c>
      <c r="P7" s="4">
        <f t="shared" ref="P7:P17" si="6">ROUNDUP(1.468*2.5*H7+1.087*(H7^2/11.2),0)</f>
        <v>0</v>
      </c>
      <c r="Q7" s="4">
        <f>ROUNDUP(1.468*G7*5,0)</f>
        <v>0</v>
      </c>
      <c r="R7" s="6">
        <f>ROUNDUP(1.468*G7*5, 0)</f>
        <v>0</v>
      </c>
      <c r="T7" s="2" t="s">
        <v>1</v>
      </c>
    </row>
    <row r="8" spans="1:24" x14ac:dyDescent="0.25">
      <c r="A8" s="17" t="s">
        <v>24</v>
      </c>
      <c r="B8" s="41">
        <v>146.62</v>
      </c>
      <c r="C8" s="29">
        <v>64.53</v>
      </c>
      <c r="D8" s="29">
        <v>442.9</v>
      </c>
      <c r="E8" s="29"/>
      <c r="F8" s="29"/>
      <c r="G8" s="32">
        <f>ROUNDUP(3.4415*(B8^0.3861),2)</f>
        <v>23.62</v>
      </c>
      <c r="H8" s="32">
        <f>ROUNDUP(3.4614*(C8^0.3673),2)</f>
        <v>16</v>
      </c>
      <c r="I8" s="32">
        <f>ROUNDUP(3.4415*(D8^0.3861),2)</f>
        <v>36.19</v>
      </c>
      <c r="J8" s="32">
        <f>ROUNDUP((1/1.47)*(SQRT(1.47*(H8)^2+2*6.9*99.19)),2)</f>
        <v>28.42</v>
      </c>
      <c r="K8" s="32">
        <f>ROUNDUP(3.4614*(E8^0.3673),2)</f>
        <v>0</v>
      </c>
      <c r="L8" s="32">
        <f t="shared" ref="L8:L17" si="7">ROUNDUP(3.4415*(F8^0.3861),2)</f>
        <v>0</v>
      </c>
      <c r="M8" s="5"/>
      <c r="N8" s="4"/>
      <c r="O8" s="4"/>
      <c r="P8" s="4">
        <f t="shared" si="6"/>
        <v>84</v>
      </c>
      <c r="Q8" s="4">
        <f>ROUNDUP(1.468*((G8+H8)/2)*5,0)</f>
        <v>146</v>
      </c>
      <c r="R8" s="6">
        <f>ROUNDUP(1.468*K9*5, 0)</f>
        <v>110</v>
      </c>
      <c r="T8" s="3" t="s">
        <v>2</v>
      </c>
    </row>
    <row r="9" spans="1:24" x14ac:dyDescent="0.25">
      <c r="A9" s="17" t="s">
        <v>22</v>
      </c>
      <c r="B9" s="29"/>
      <c r="C9" s="29"/>
      <c r="D9" s="29"/>
      <c r="E9" s="29">
        <v>53.53</v>
      </c>
      <c r="F9" s="29"/>
      <c r="G9" s="32">
        <f>ROUNDUP(3.4415*(B9^0.3861),2)</f>
        <v>0</v>
      </c>
      <c r="H9" s="32">
        <f>ROUNDUP(3.4614*(C9^0.3673),2)</f>
        <v>0</v>
      </c>
      <c r="I9" s="32">
        <f>ROUNDUP(3.4415*(D9^0.3861),2)</f>
        <v>0</v>
      </c>
      <c r="J9" s="32"/>
      <c r="K9" s="32">
        <f>ROUNDUP(3.4614*(E9^0.3673),2)</f>
        <v>14.94</v>
      </c>
      <c r="L9" s="32">
        <f t="shared" si="7"/>
        <v>0</v>
      </c>
      <c r="M9" s="5"/>
      <c r="N9" s="4"/>
      <c r="O9" s="4"/>
      <c r="P9" s="4">
        <f t="shared" si="6"/>
        <v>0</v>
      </c>
      <c r="Q9" s="4"/>
      <c r="R9" s="6"/>
      <c r="W9" s="15"/>
    </row>
    <row r="10" spans="1:24" x14ac:dyDescent="0.25">
      <c r="A10" s="27" t="s">
        <v>30</v>
      </c>
      <c r="B10" s="29"/>
      <c r="C10" s="29"/>
      <c r="D10" s="29"/>
      <c r="E10" s="29"/>
      <c r="F10" s="29"/>
      <c r="G10" s="32"/>
      <c r="H10" s="32"/>
      <c r="I10" s="32"/>
      <c r="J10" s="32"/>
      <c r="K10" s="32"/>
      <c r="L10" s="32">
        <f t="shared" si="7"/>
        <v>0</v>
      </c>
      <c r="M10" s="5"/>
      <c r="N10" s="4"/>
      <c r="O10" s="4"/>
      <c r="P10" s="4">
        <f t="shared" si="6"/>
        <v>0</v>
      </c>
      <c r="Q10" s="4"/>
      <c r="R10" s="6"/>
    </row>
    <row r="11" spans="1:24" x14ac:dyDescent="0.25">
      <c r="A11" s="18" t="s">
        <v>23</v>
      </c>
      <c r="B11" s="29"/>
      <c r="C11" s="29"/>
      <c r="D11" s="29"/>
      <c r="E11" s="29"/>
      <c r="F11" s="36" t="s">
        <v>27</v>
      </c>
      <c r="G11" s="32">
        <f t="shared" ref="G11:G14" si="8">ROUNDUP(3.4415*(B11^0.3861),2)</f>
        <v>0</v>
      </c>
      <c r="H11" s="32">
        <f t="shared" ref="H11:H14" si="9">ROUNDUP(3.4614*(C11^0.3673),2)</f>
        <v>0</v>
      </c>
      <c r="I11" s="32">
        <f t="shared" ref="I11:I14" si="10">ROUNDUP(3.4415*(D11^0.3861),2)</f>
        <v>0</v>
      </c>
      <c r="J11" s="32"/>
      <c r="K11" s="32">
        <f t="shared" ref="K11:K14" si="11">ROUNDUP(3.4614*(E11^0.3673),2)</f>
        <v>0</v>
      </c>
      <c r="L11" s="19"/>
      <c r="M11" s="5"/>
      <c r="N11" s="38">
        <f>ROUNDUP(1.468*2.5*J4+1.087*(J4^2/11.2),0)</f>
        <v>175</v>
      </c>
      <c r="O11" s="4">
        <f>ROUNDUP(1.468*2.5*35+1.087*(35^2/11.2),0)</f>
        <v>248</v>
      </c>
      <c r="P11" s="4">
        <f t="shared" si="6"/>
        <v>0</v>
      </c>
      <c r="Q11" s="4"/>
      <c r="R11" s="6"/>
      <c r="T11" s="13" t="s">
        <v>18</v>
      </c>
      <c r="U11" s="1" t="s">
        <v>17</v>
      </c>
      <c r="V11" s="14"/>
    </row>
    <row r="12" spans="1:24" x14ac:dyDescent="0.25">
      <c r="A12" s="18" t="s">
        <v>24</v>
      </c>
      <c r="B12" s="41">
        <v>137.79</v>
      </c>
      <c r="C12" s="41">
        <v>66.33</v>
      </c>
      <c r="D12" s="41">
        <v>330.46</v>
      </c>
      <c r="E12" s="29"/>
      <c r="F12" s="29"/>
      <c r="G12" s="32">
        <f>ROUNDUP(3.4415*(B12^0.3861),2)</f>
        <v>23.060000000000002</v>
      </c>
      <c r="H12" s="32">
        <f t="shared" si="9"/>
        <v>16.16</v>
      </c>
      <c r="I12" s="32">
        <f t="shared" si="10"/>
        <v>32.32</v>
      </c>
      <c r="J12" s="32">
        <f>ROUNDUP((1/1.47)*(SQRT(1.47*(H12)^2+2*6.9*69.66)),2)</f>
        <v>24.96</v>
      </c>
      <c r="K12" s="32">
        <f t="shared" si="11"/>
        <v>0</v>
      </c>
      <c r="L12" s="32">
        <f t="shared" si="7"/>
        <v>0</v>
      </c>
      <c r="M12" s="5"/>
      <c r="N12" s="4"/>
      <c r="O12" s="4"/>
      <c r="P12" s="4">
        <f t="shared" si="6"/>
        <v>85</v>
      </c>
      <c r="Q12" s="4">
        <f>ROUNDUP(1.468*((G12+H12)/2)*5,0)</f>
        <v>144</v>
      </c>
      <c r="R12" s="6">
        <f>ROUNDUP(1.468*K13*5, 0)</f>
        <v>110</v>
      </c>
      <c r="T12" s="13" t="s">
        <v>19</v>
      </c>
      <c r="U12" s="1"/>
      <c r="V12" s="14"/>
    </row>
    <row r="13" spans="1:24" x14ac:dyDescent="0.25">
      <c r="A13" s="18" t="s">
        <v>22</v>
      </c>
      <c r="B13" s="29"/>
      <c r="C13" s="29"/>
      <c r="D13" s="29"/>
      <c r="E13" s="29">
        <v>53.53</v>
      </c>
      <c r="F13" s="29"/>
      <c r="G13" s="32">
        <f>ROUNDUP(3.4415*(B13^0.3861),2)</f>
        <v>0</v>
      </c>
      <c r="H13" s="32">
        <f>ROUNDUP(3.4614*(C13^0.3673),2)</f>
        <v>0</v>
      </c>
      <c r="I13" s="32">
        <f>ROUNDUP(3.4415*(D13^0.3861),2)</f>
        <v>0</v>
      </c>
      <c r="J13" s="32"/>
      <c r="K13" s="32">
        <f>ROUNDUP(3.4614*(E13^0.3673),2)</f>
        <v>14.94</v>
      </c>
      <c r="L13" s="32">
        <f t="shared" si="7"/>
        <v>0</v>
      </c>
      <c r="M13" s="5"/>
      <c r="N13" s="4"/>
      <c r="O13" s="4"/>
      <c r="P13" s="4">
        <f t="shared" si="6"/>
        <v>0</v>
      </c>
      <c r="Q13" s="4"/>
      <c r="R13" s="6"/>
    </row>
    <row r="14" spans="1:24" x14ac:dyDescent="0.25">
      <c r="A14" s="28" t="s">
        <v>31</v>
      </c>
      <c r="B14" s="29"/>
      <c r="C14" s="29"/>
      <c r="D14" s="29"/>
      <c r="E14" s="29"/>
      <c r="F14" s="29"/>
      <c r="G14" s="32">
        <f t="shared" si="8"/>
        <v>0</v>
      </c>
      <c r="H14" s="32">
        <f t="shared" si="9"/>
        <v>0</v>
      </c>
      <c r="I14" s="32">
        <f t="shared" si="10"/>
        <v>0</v>
      </c>
      <c r="J14" s="32"/>
      <c r="K14" s="32">
        <f t="shared" si="11"/>
        <v>0</v>
      </c>
      <c r="L14" s="32">
        <f t="shared" si="7"/>
        <v>0</v>
      </c>
      <c r="M14" s="5"/>
      <c r="N14" s="4"/>
      <c r="O14" s="4"/>
      <c r="P14" s="4">
        <f t="shared" si="6"/>
        <v>0</v>
      </c>
      <c r="Q14" s="4"/>
      <c r="R14" s="6"/>
      <c r="T14" t="s">
        <v>25</v>
      </c>
      <c r="V14" s="35"/>
    </row>
    <row r="15" spans="1:24" x14ac:dyDescent="0.25">
      <c r="A15" s="20" t="s">
        <v>23</v>
      </c>
      <c r="B15" s="29"/>
      <c r="C15" s="29"/>
      <c r="D15" s="29"/>
      <c r="E15" s="29"/>
      <c r="F15" s="29" t="s">
        <v>27</v>
      </c>
      <c r="G15" s="32">
        <f>ROUNDUP(3.4415*(B15^0.3861),2)</f>
        <v>0</v>
      </c>
      <c r="H15" s="32">
        <f>ROUNDUP(3.4614*(C15^0.3673),2)</f>
        <v>0</v>
      </c>
      <c r="I15" s="32">
        <f>ROUNDUP(3.4415*(D15^0.3861),2)</f>
        <v>0</v>
      </c>
      <c r="J15" s="32"/>
      <c r="K15" s="32">
        <f>ROUNDUP(3.4614*(E15^0.3673),2)</f>
        <v>0</v>
      </c>
      <c r="L15" s="32"/>
      <c r="M15" s="5"/>
      <c r="N15" s="4">
        <f t="shared" ref="N15" si="12">ROUNDUP(1.468*2.5*L15+1.087*(L15^2/11.2),0)</f>
        <v>0</v>
      </c>
      <c r="O15" s="4">
        <f>ROUNDUP(1.468*2.5*25+1.087*(25^2/11.2),0)</f>
        <v>153</v>
      </c>
      <c r="P15" s="4">
        <f t="shared" si="6"/>
        <v>0</v>
      </c>
      <c r="Q15" s="4"/>
      <c r="R15" s="6"/>
      <c r="T15" t="s">
        <v>26</v>
      </c>
      <c r="V15" s="35"/>
    </row>
    <row r="16" spans="1:24" x14ac:dyDescent="0.25">
      <c r="A16" s="20" t="s">
        <v>24</v>
      </c>
      <c r="B16" s="29" t="s">
        <v>27</v>
      </c>
      <c r="C16" s="29" t="s">
        <v>27</v>
      </c>
      <c r="D16" s="29" t="s">
        <v>27</v>
      </c>
      <c r="E16" s="29"/>
      <c r="F16" s="29"/>
      <c r="G16" s="32"/>
      <c r="H16" s="32"/>
      <c r="I16" s="32"/>
      <c r="J16" s="32"/>
      <c r="K16" s="32">
        <f>ROUNDUP(3.4614*(E16^0.3673),2)</f>
        <v>0</v>
      </c>
      <c r="L16" s="32">
        <f t="shared" si="7"/>
        <v>0</v>
      </c>
      <c r="M16" s="5"/>
      <c r="N16" s="4"/>
      <c r="O16" s="4"/>
      <c r="P16" s="4">
        <f t="shared" si="6"/>
        <v>0</v>
      </c>
      <c r="Q16" s="4">
        <f>ROUNDUP(1.468*((G16+H16)/2)*5,0)</f>
        <v>0</v>
      </c>
      <c r="R16" s="6">
        <f>ROUNDUP(1.468*K17*5, 0)</f>
        <v>0</v>
      </c>
    </row>
    <row r="17" spans="1:18" ht="15.75" thickBot="1" x14ac:dyDescent="0.3">
      <c r="A17" s="25" t="s">
        <v>22</v>
      </c>
      <c r="B17" s="31"/>
      <c r="C17" s="31"/>
      <c r="D17" s="31"/>
      <c r="E17" s="31" t="s">
        <v>27</v>
      </c>
      <c r="F17" s="31"/>
      <c r="G17" s="34">
        <f>ROUNDUP(3.4415*(B17^0.3861),2)</f>
        <v>0</v>
      </c>
      <c r="H17" s="34">
        <f>ROUNDUP(3.4614*(C17^0.3673),2)</f>
        <v>0</v>
      </c>
      <c r="I17" s="34">
        <f>ROUNDUP(3.4415*(D17^0.3861),2)</f>
        <v>0</v>
      </c>
      <c r="J17" s="34"/>
      <c r="K17" s="34"/>
      <c r="L17" s="34">
        <f t="shared" si="7"/>
        <v>0</v>
      </c>
      <c r="M17" s="8"/>
      <c r="N17" s="7"/>
      <c r="O17" s="7"/>
      <c r="P17" s="7">
        <f t="shared" si="6"/>
        <v>0</v>
      </c>
      <c r="Q17" s="7"/>
      <c r="R17" s="26"/>
    </row>
    <row r="25" spans="1:18" x14ac:dyDescent="0.25">
      <c r="D25" s="39"/>
    </row>
    <row r="26" spans="1:18" x14ac:dyDescent="0.25">
      <c r="D26" s="39"/>
    </row>
    <row r="27" spans="1:18" x14ac:dyDescent="0.25">
      <c r="D27" s="39"/>
    </row>
    <row r="30" spans="1:18" x14ac:dyDescent="0.25">
      <c r="E30" s="40"/>
    </row>
    <row r="31" spans="1:18" x14ac:dyDescent="0.25">
      <c r="D31" s="40"/>
    </row>
    <row r="32" spans="1:18" x14ac:dyDescent="0.25">
      <c r="D32" s="40"/>
      <c r="G32" s="40"/>
    </row>
  </sheetData>
  <pageMargins left="0.7" right="0.7" top="0.75" bottom="0.75" header="0.3" footer="0.3"/>
  <pageSetup scale="64" fitToHeight="0" orientation="landscape" r:id="rId1"/>
  <headerFooter>
    <oddHeader>&amp;CFast Path Radii and Stopping Distances</oddHeader>
    <oddFooter>&amp;L&amp;Z&amp;F</oddFooter>
  </headerFooter>
  <ignoredErrors>
    <ignoredError sqref="H7:H15 H3:H5 H1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7C701-8DC9-43D6-8404-49B59E4FF8B5}">
  <dimension ref="A1"/>
  <sheetViews>
    <sheetView zoomScale="70" zoomScaleNormal="70" workbookViewId="0">
      <selection activeCell="L38" sqref="L38"/>
    </sheetView>
  </sheetViews>
  <sheetFormatPr defaultRowHeight="15" x14ac:dyDescent="0.25"/>
  <sheetData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Images and Notes</vt:lpstr>
      <vt:lpstr>Sheet1!Print_Area</vt:lpstr>
    </vt:vector>
  </TitlesOfParts>
  <Company>Stantec Consulting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 Kirlangitis</dc:creator>
  <cp:lastModifiedBy>Goodman, Nicholas</cp:lastModifiedBy>
  <cp:lastPrinted>2015-05-06T20:13:48Z</cp:lastPrinted>
  <dcterms:created xsi:type="dcterms:W3CDTF">2013-03-04T15:04:15Z</dcterms:created>
  <dcterms:modified xsi:type="dcterms:W3CDTF">2022-03-15T14:15:43Z</dcterms:modified>
</cp:coreProperties>
</file>