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updateLinks="never"/>
  <mc:AlternateContent xmlns:mc="http://schemas.openxmlformats.org/markup-compatibility/2006">
    <mc:Choice Requires="x15">
      <x15ac:absPath xmlns:x15ac="http://schemas.microsoft.com/office/spreadsheetml/2010/11/ac" url="C:\Users\rotarmj\OneDrive - Jacobs\COS-TR252\FINAL TRACINGS\"/>
    </mc:Choice>
  </mc:AlternateContent>
  <xr:revisionPtr revIDLastSave="0" documentId="13_ncr:1_{38C0B5FB-0537-4BB6-BEAC-7A638FCCBFA6}" xr6:coauthVersionLast="47" xr6:coauthVersionMax="47" xr10:uidLastSave="{00000000-0000-0000-0000-000000000000}"/>
  <bookViews>
    <workbookView xWindow="-108" yWindow="-108" windowWidth="23256" windowHeight="14016" xr2:uid="{00000000-000D-0000-FFFF-FFFF00000000}"/>
  </bookViews>
  <sheets>
    <sheet name="BR-100" sheetId="1" r:id="rId1"/>
    <sheet name="AWS Coding Input" sheetId="4" r:id="rId2"/>
    <sheet name="SNBI Transition Form" sheetId="7" r:id="rId3"/>
    <sheet name="Calcs &amp; Signs" sheetId="5" state="hidden" r:id="rId4"/>
    <sheet name="BrR_Results" sheetId="6" r:id="rId5"/>
    <sheet name="List" sheetId="2" state="hidden" r:id="rId6"/>
  </sheets>
  <definedNames>
    <definedName name="BlankSign">'Calcs &amp; Signs'!$P$10:$Q$17</definedName>
    <definedName name="ClosureSign">'Calcs &amp; Signs'!$V$10:$W$17</definedName>
    <definedName name="Design">List!$V$3:$V$15</definedName>
    <definedName name="DesignRF">'BR-100'!$L$25:$O$28</definedName>
    <definedName name="Disabled">'Calcs &amp; Signs'!$Y$10:$Z$17</definedName>
    <definedName name="EVSign">'Calcs &amp; Signs'!$S$10:$T$17</definedName>
    <definedName name="LegalPosting">INDIRECT('Calcs &amp; Signs'!$N$3)</definedName>
    <definedName name="LegalSign">'Calcs &amp; Signs'!$L$11:$N$17</definedName>
    <definedName name="Manual">'Calcs &amp; Signs'!$AB$11:$AD$17</definedName>
    <definedName name="Method">List!$P$3:$P$12</definedName>
    <definedName name="OpenPostedClosed">List!$Z$3:$Z$13</definedName>
    <definedName name="permitloadratingmethod">List!$G$21</definedName>
    <definedName name="_xlnm.Print_Area" localSheetId="1">'AWS Coding Input'!$A$1:$H$65</definedName>
    <definedName name="_xlnm.Print_Area" localSheetId="0">'BR-100'!$A$1:$O$53</definedName>
    <definedName name="_xlnm.Print_Area" localSheetId="2">'SNBI Transition Form'!$A$1:$F$22</definedName>
    <definedName name="Purpose">List!$G$3:$G$10</definedName>
    <definedName name="RPL">List!$G$16:$G$19</definedName>
    <definedName name="RPLmethod">List!$G$22:$G$26</definedName>
    <definedName name="Software">List!$J$3:$J$13</definedName>
    <definedName name="Source">List!$M$3:$M$7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 i="6" l="1"/>
  <c r="P11" i="6"/>
  <c r="P4" i="6" l="1"/>
  <c r="P5" i="6"/>
  <c r="P13" i="6"/>
  <c r="P14" i="6"/>
  <c r="P15" i="6"/>
  <c r="P16" i="6"/>
  <c r="P17" i="6"/>
  <c r="P18" i="6"/>
  <c r="P19" i="6"/>
  <c r="P20" i="6"/>
  <c r="P21" i="6"/>
  <c r="P22" i="6"/>
  <c r="P3" i="6"/>
  <c r="Q3" i="6" s="1"/>
  <c r="Q4" i="6"/>
  <c r="Q5" i="6"/>
  <c r="Q11" i="6"/>
  <c r="Q12" i="6"/>
  <c r="Q13" i="6"/>
  <c r="Q14" i="6"/>
  <c r="Q15" i="6"/>
  <c r="Q16" i="6"/>
  <c r="Q17" i="6"/>
  <c r="Q18" i="6"/>
  <c r="Q19" i="6"/>
  <c r="Q20" i="6"/>
  <c r="Q21" i="6"/>
  <c r="Q22" i="6"/>
  <c r="E63" i="4" l="1"/>
  <c r="E61" i="4"/>
  <c r="E8" i="4"/>
  <c r="D80" i="5" l="1"/>
  <c r="D79" i="5"/>
  <c r="D78" i="5"/>
  <c r="D77" i="5"/>
  <c r="D76" i="5"/>
  <c r="E14" i="4"/>
  <c r="E10" i="4"/>
  <c r="I26" i="1"/>
  <c r="B31" i="1"/>
  <c r="A31" i="1"/>
  <c r="B30" i="1"/>
  <c r="A30" i="1"/>
  <c r="I26" i="5"/>
  <c r="C43" i="1" s="1"/>
  <c r="D26" i="5"/>
  <c r="I27" i="5"/>
  <c r="C44" i="1" s="1"/>
  <c r="D27" i="5"/>
  <c r="S35" i="5"/>
  <c r="Q35" i="5"/>
  <c r="O35" i="5"/>
  <c r="M35" i="5"/>
  <c r="S34" i="5"/>
  <c r="Q34" i="5"/>
  <c r="O34" i="5"/>
  <c r="M34" i="5"/>
  <c r="S37" i="5" l="1"/>
  <c r="M37" i="5"/>
  <c r="Q37" i="5"/>
  <c r="C28" i="5"/>
  <c r="G28" i="5" s="1"/>
  <c r="E28" i="5" l="1"/>
  <c r="C30" i="5"/>
  <c r="D20" i="7" s="1"/>
  <c r="C29" i="5"/>
  <c r="D19" i="7" s="1"/>
  <c r="O44" i="1"/>
  <c r="O43" i="1"/>
  <c r="G30" i="5" l="1"/>
  <c r="E29" i="5"/>
  <c r="E30" i="5" l="1"/>
  <c r="C13" i="5"/>
  <c r="C12" i="5"/>
  <c r="G29" i="5" l="1"/>
  <c r="C27" i="5" l="1"/>
  <c r="D18" i="7" s="1"/>
  <c r="C26" i="5"/>
  <c r="D17" i="7" s="1"/>
  <c r="E47" i="4" l="1"/>
  <c r="G26" i="5"/>
  <c r="E26" i="5"/>
  <c r="F51" i="5" s="1"/>
  <c r="A35" i="1"/>
  <c r="B35" i="1"/>
  <c r="A43" i="1"/>
  <c r="G27" i="5"/>
  <c r="T14" i="5" l="1"/>
  <c r="E27" i="5"/>
  <c r="B43" i="1"/>
  <c r="F52" i="5" l="1"/>
  <c r="T15" i="5" s="1"/>
  <c r="G43" i="1"/>
  <c r="B29" i="1"/>
  <c r="A29" i="1" l="1"/>
  <c r="C18" i="5"/>
  <c r="D9" i="7" s="1"/>
  <c r="C19" i="5"/>
  <c r="C20" i="5"/>
  <c r="D11" i="7" s="1"/>
  <c r="G19" i="5" l="1"/>
  <c r="D10" i="7"/>
  <c r="G20" i="5"/>
  <c r="H20" i="5"/>
  <c r="E18" i="5"/>
  <c r="E20" i="5"/>
  <c r="E19" i="5"/>
  <c r="G18" i="5"/>
  <c r="G31" i="1" l="1"/>
  <c r="G30" i="1"/>
  <c r="G29" i="1"/>
  <c r="B2" i="4"/>
  <c r="C49" i="4" l="1"/>
  <c r="C47" i="4"/>
  <c r="C45" i="4"/>
  <c r="C31" i="4"/>
  <c r="D34" i="5" l="1"/>
  <c r="C66" i="5"/>
  <c r="C7" i="5"/>
  <c r="E59" i="4" s="1"/>
  <c r="C63" i="4"/>
  <c r="C61" i="4"/>
  <c r="C59" i="4"/>
  <c r="C57" i="4"/>
  <c r="C55" i="4"/>
  <c r="C53" i="4"/>
  <c r="C51" i="4"/>
  <c r="C18" i="4"/>
  <c r="C43" i="4"/>
  <c r="C41" i="4"/>
  <c r="C39" i="4"/>
  <c r="C37" i="4"/>
  <c r="C35" i="4"/>
  <c r="C33" i="4"/>
  <c r="C24" i="4"/>
  <c r="C22" i="4"/>
  <c r="C20" i="4"/>
  <c r="C16" i="4"/>
  <c r="C14" i="4"/>
  <c r="C12" i="4"/>
  <c r="C10" i="4"/>
  <c r="C8" i="4"/>
  <c r="E53" i="4" l="1"/>
  <c r="E55" i="4"/>
  <c r="E57" i="4"/>
  <c r="C63" i="5"/>
  <c r="E63" i="5" s="1"/>
  <c r="C62" i="5"/>
  <c r="E62" i="5" s="1"/>
  <c r="B26" i="1" l="1"/>
  <c r="B27" i="1"/>
  <c r="B28" i="1"/>
  <c r="B34" i="1"/>
  <c r="B37" i="1"/>
  <c r="B38" i="1"/>
  <c r="B44" i="1" l="1"/>
  <c r="H62" i="5" l="1"/>
  <c r="H63" i="5" l="1"/>
  <c r="I63" i="5" s="1"/>
  <c r="I62" i="5"/>
  <c r="L62" i="5" l="1"/>
  <c r="Q8" i="1" s="1"/>
  <c r="C24" i="5" l="1"/>
  <c r="A44" i="1"/>
  <c r="A38" i="1"/>
  <c r="A37" i="1"/>
  <c r="A34" i="1"/>
  <c r="A28" i="1"/>
  <c r="A27" i="1"/>
  <c r="A26" i="1"/>
  <c r="E24" i="5" l="1"/>
  <c r="D16" i="7"/>
  <c r="E45" i="4"/>
  <c r="G24" i="5"/>
  <c r="M80" i="5"/>
  <c r="I4" i="5"/>
  <c r="M78" i="5"/>
  <c r="M77" i="5"/>
  <c r="M76" i="5"/>
  <c r="D39" i="5" l="1"/>
  <c r="L24" i="1" s="1"/>
  <c r="M79" i="5"/>
  <c r="M81" i="5" s="1"/>
  <c r="C21" i="5"/>
  <c r="C22" i="5"/>
  <c r="D14" i="7" s="1"/>
  <c r="C15" i="5"/>
  <c r="D7" i="7" s="1"/>
  <c r="C70" i="5"/>
  <c r="C23" i="5"/>
  <c r="C17" i="5"/>
  <c r="C14" i="5"/>
  <c r="D13" i="7" l="1"/>
  <c r="D12" i="7"/>
  <c r="E23" i="5"/>
  <c r="F49" i="5" s="1"/>
  <c r="D15" i="7"/>
  <c r="D8" i="7"/>
  <c r="F50" i="5"/>
  <c r="N17" i="5" s="1"/>
  <c r="E14" i="5"/>
  <c r="D6" i="7"/>
  <c r="E17" i="5"/>
  <c r="H17" i="5"/>
  <c r="E21" i="5"/>
  <c r="E35" i="4"/>
  <c r="D37" i="5"/>
  <c r="E22" i="5"/>
  <c r="E49" i="4"/>
  <c r="E15" i="5"/>
  <c r="E37" i="4"/>
  <c r="E43" i="4"/>
  <c r="E41" i="4"/>
  <c r="E39" i="4"/>
  <c r="E33" i="4"/>
  <c r="E31" i="4"/>
  <c r="G38" i="1"/>
  <c r="C34" i="5"/>
  <c r="G18" i="7" s="1"/>
  <c r="G14" i="5"/>
  <c r="G23" i="5"/>
  <c r="G22" i="5"/>
  <c r="G21" i="5"/>
  <c r="G17" i="5"/>
  <c r="G15" i="5"/>
  <c r="G22" i="4"/>
  <c r="G12" i="4"/>
  <c r="C71" i="5"/>
  <c r="C72" i="5" s="1"/>
  <c r="G17" i="7" l="1"/>
  <c r="E18" i="7"/>
  <c r="E17" i="7"/>
  <c r="F45" i="5"/>
  <c r="N12" i="5" s="1"/>
  <c r="F46" i="5"/>
  <c r="N13" i="5" s="1"/>
  <c r="F48" i="5"/>
  <c r="N15" i="5" s="1"/>
  <c r="F47" i="5"/>
  <c r="N14" i="5" s="1"/>
  <c r="G28" i="1"/>
  <c r="N16" i="5"/>
  <c r="G34" i="1"/>
  <c r="G37" i="1"/>
  <c r="G26" i="1"/>
  <c r="D47" i="1"/>
  <c r="G47" i="1" s="1"/>
  <c r="G35" i="1"/>
  <c r="D56" i="5"/>
  <c r="E16" i="4"/>
  <c r="D57" i="5"/>
  <c r="D58" i="5" s="1"/>
  <c r="E51" i="4"/>
  <c r="E12" i="4"/>
  <c r="C33" i="5"/>
  <c r="C35" i="5"/>
  <c r="G27" i="1"/>
  <c r="G44" i="1"/>
  <c r="E14" i="7" l="1"/>
  <c r="E6" i="7"/>
  <c r="G10" i="7"/>
  <c r="E13" i="7"/>
  <c r="G16" i="7"/>
  <c r="G7" i="7"/>
  <c r="G6" i="7"/>
  <c r="E10" i="7"/>
  <c r="G13" i="7"/>
  <c r="E16" i="7"/>
  <c r="E15" i="7"/>
  <c r="G15" i="7"/>
  <c r="E9" i="7"/>
  <c r="E8" i="7"/>
  <c r="G14" i="7"/>
  <c r="E7" i="7"/>
  <c r="G9" i="7"/>
  <c r="G8" i="7"/>
  <c r="E18" i="4"/>
  <c r="N3" i="5"/>
  <c r="D38" i="5" s="1"/>
  <c r="L27" i="1" s="1"/>
  <c r="C91" i="2" l="1"/>
  <c r="C67" i="5" s="1"/>
  <c r="H6" i="1" s="1"/>
</calcChain>
</file>

<file path=xl/sharedStrings.xml><?xml version="1.0" encoding="utf-8"?>
<sst xmlns="http://schemas.openxmlformats.org/spreadsheetml/2006/main" count="543" uniqueCount="484">
  <si>
    <t>BRIDGE LOAD RATING SUMMARY REPORT</t>
  </si>
  <si>
    <t>OFFICE OF STRUCTURAL ENGINEERING</t>
  </si>
  <si>
    <t>OHIO DEPARTMENT OF TRANSPORTATION</t>
  </si>
  <si>
    <t>SFN</t>
  </si>
  <si>
    <t>Bridge Number</t>
  </si>
  <si>
    <t>DISTRICT</t>
  </si>
  <si>
    <t>GPS COORDINATES</t>
  </si>
  <si>
    <t>LATITUDE:</t>
  </si>
  <si>
    <t>LONGITUDE:</t>
  </si>
  <si>
    <t>Use Only of These Formats For GPS</t>
  </si>
  <si>
    <t>COS-TR 252-0.01</t>
  </si>
  <si>
    <t>XX XX' XX.XX"</t>
  </si>
  <si>
    <t xml:space="preserve">ORIGINAL </t>
  </si>
  <si>
    <t>YEAR REBUILT</t>
  </si>
  <si>
    <t>TOTAL BRIDGE LENGTH</t>
  </si>
  <si>
    <t>FEATURE INTERSECTED (Below)</t>
  </si>
  <si>
    <t>XX.XXXXXX</t>
  </si>
  <si>
    <t>YEAR BUILT</t>
  </si>
  <si>
    <t>SPECIAL ASSUMPTIONS &amp; COMMENTS</t>
  </si>
  <si>
    <t>Please type or select on right using drop down arrow</t>
  </si>
  <si>
    <t>Revision Notes:</t>
  </si>
  <si>
    <t>LOAD RATING PURPOSE:</t>
  </si>
  <si>
    <t>1 - Initial Load Rating</t>
  </si>
  <si>
    <t>added "To be determined by inspection" to the GA drop down</t>
  </si>
  <si>
    <t>GENERAL APPRAISAL (0-9):</t>
  </si>
  <si>
    <t>Rearranged signature block and added space for PE stamp</t>
  </si>
  <si>
    <t>LOAD RATING SOFTWARE:</t>
  </si>
  <si>
    <t xml:space="preserve">3 - AASHTO  BrR </t>
  </si>
  <si>
    <t>Moved GPS Coordinates to print area</t>
  </si>
  <si>
    <t>SOFTWARE VERSION:</t>
  </si>
  <si>
    <t>7.4.1.3001</t>
  </si>
  <si>
    <t>Added "AssetWise Coding Input" sheet for future SMS Update to AssetWise system (hidden)</t>
  </si>
  <si>
    <t>ROUTINE PERMIT LOAD (RPL):</t>
  </si>
  <si>
    <t>A - No routine permit Loads are restricted</t>
  </si>
  <si>
    <t>RATING SOURCE:</t>
  </si>
  <si>
    <t>1 - Plan information available for load rating analysis</t>
  </si>
  <si>
    <t>Added slight tint to posting sign</t>
  </si>
  <si>
    <t>LOAD RATING METHOD:</t>
  </si>
  <si>
    <t>LRFR - Load &amp; Resistance Factor Rating (RF) - Code 8</t>
  </si>
  <si>
    <t>Moved all calculations to the "Calcs &amp; Signs" sheet</t>
  </si>
  <si>
    <t>DESIGN LOADING:</t>
  </si>
  <si>
    <t>A - HL93</t>
  </si>
  <si>
    <t xml:space="preserve">Modified logic to prevent vehicle with less axles having a higher legal weight </t>
  </si>
  <si>
    <t>Added Posting Recommendation note for Manual sign Override</t>
  </si>
  <si>
    <t>STRUCTURE RATING SUMMARY</t>
  </si>
  <si>
    <t>Unhide "AssetWise Coding Input" sheet and hid "SMS Coding Input"</t>
  </si>
  <si>
    <t>OHIO &amp; AASHTO LEGAL VEHICLES</t>
  </si>
  <si>
    <t>Design Inventory and Operating Ratings</t>
  </si>
  <si>
    <t>Legal Load</t>
  </si>
  <si>
    <t>GVW (Tons)</t>
  </si>
  <si>
    <t>No of Axles</t>
  </si>
  <si>
    <t>Rating Factor</t>
  </si>
  <si>
    <t>Safe Weight (Tons)</t>
  </si>
  <si>
    <t>Loading Type</t>
  </si>
  <si>
    <t>Revised to include AASHTO legal loads and Permit Load (PL) 2022 SNBI</t>
  </si>
  <si>
    <t>RF</t>
  </si>
  <si>
    <t>Inventory</t>
  </si>
  <si>
    <t>Operating</t>
  </si>
  <si>
    <t>Revised to make posting when RF&lt;1.0, added Tim's rule for 5 axle</t>
  </si>
  <si>
    <t>Revised to fix minor bugs; added perception rule; added option BrR Result page</t>
  </si>
  <si>
    <t xml:space="preserve">Recommendation </t>
  </si>
  <si>
    <t>Sign Posting Recommendation:</t>
  </si>
  <si>
    <t>SPECIALIZED HAULING VEHICLES (SHV)</t>
  </si>
  <si>
    <t>EMERGENCY VEHICLES (EV)</t>
  </si>
  <si>
    <t>Permit Load (PL) Analysis (optional)</t>
  </si>
  <si>
    <t xml:space="preserve">Check box if rating for EV3       </t>
  </si>
  <si>
    <t>Safe Load (Tons)</t>
  </si>
  <si>
    <t>PL 60T</t>
  </si>
  <si>
    <t>PL 65T</t>
  </si>
  <si>
    <t>Controlling Legal Load RF</t>
  </si>
  <si>
    <t>PL Analysis Method</t>
  </si>
  <si>
    <t>Load &amp; Resistance Factor Rating (LRFR)</t>
  </si>
  <si>
    <t>AGENCY/FIRM/OFFICE</t>
  </si>
  <si>
    <t>JACOBS ENGINEERING GROUP</t>
  </si>
  <si>
    <t>Name</t>
  </si>
  <si>
    <t>PE Number</t>
  </si>
  <si>
    <t>Phone Number</t>
  </si>
  <si>
    <t>Email</t>
  </si>
  <si>
    <t>Report Date:</t>
  </si>
  <si>
    <t>Rated By</t>
  </si>
  <si>
    <t>Muhammad Asad Nawaz</t>
  </si>
  <si>
    <t>N/A</t>
  </si>
  <si>
    <t>614-825-6704</t>
  </si>
  <si>
    <t>asad.nawaz@jacobs.com</t>
  </si>
  <si>
    <t>Reviewed By</t>
  </si>
  <si>
    <t>Matthew J. Rotar</t>
  </si>
  <si>
    <t>440-477-7596</t>
  </si>
  <si>
    <t>matt.rotar@jacobs.com</t>
  </si>
  <si>
    <t xml:space="preserve">BR-100  (2/2023) </t>
  </si>
  <si>
    <t>*This document is locked to prevent accidental changes, No password is required to unlock.</t>
  </si>
  <si>
    <t>Structure Inventory and Appraisal / National Bridge Inventory</t>
  </si>
  <si>
    <t>Load Rating and Posting</t>
  </si>
  <si>
    <t>By Inspection</t>
  </si>
  <si>
    <t>Structure Inventory and Appraisal / Ohio Bridge Inventory</t>
  </si>
  <si>
    <t>Load Rating</t>
  </si>
  <si>
    <t>Temp SNBI Transition Form</t>
  </si>
  <si>
    <t>Legal Vehicles</t>
  </si>
  <si>
    <t>Rating Factor (###.###)</t>
  </si>
  <si>
    <t>Posting Type</t>
  </si>
  <si>
    <t>Posting Value (Tons)</t>
  </si>
  <si>
    <t>Read Only</t>
  </si>
  <si>
    <t>2F1 RF</t>
  </si>
  <si>
    <t>3F1 RF</t>
  </si>
  <si>
    <t>5C1 RF</t>
  </si>
  <si>
    <t>Type 3 RF</t>
  </si>
  <si>
    <t>Type 3-3 RF</t>
  </si>
  <si>
    <t>Type 3S2 RF</t>
  </si>
  <si>
    <t>4F1 RF</t>
  </si>
  <si>
    <t>SU4 RF</t>
  </si>
  <si>
    <t>SU5 RF</t>
  </si>
  <si>
    <t>SU6 RF</t>
  </si>
  <si>
    <t>SU7 RF</t>
  </si>
  <si>
    <t>EV2 RF</t>
  </si>
  <si>
    <t>EV3 RF</t>
  </si>
  <si>
    <t>PL 60T RF</t>
  </si>
  <si>
    <t>PL 65T RF</t>
  </si>
  <si>
    <t>Presets</t>
  </si>
  <si>
    <t>Recommend Posting Below =</t>
  </si>
  <si>
    <t>Check Box for NBI =</t>
  </si>
  <si>
    <t>Sign Selection =</t>
  </si>
  <si>
    <t>Recommend Bridge Closure At =</t>
  </si>
  <si>
    <t xml:space="preserve">Rating Reported by </t>
  </si>
  <si>
    <t>Check box for Manual Sign</t>
  </si>
  <si>
    <t>Rating Date</t>
  </si>
  <si>
    <t>Posting Sign Section</t>
  </si>
  <si>
    <t>Vehicle Table and Rating Factors</t>
  </si>
  <si>
    <t>LegalSign</t>
  </si>
  <si>
    <t>Blank Sign</t>
  </si>
  <si>
    <t>EV Sign</t>
  </si>
  <si>
    <t>Closure Sign</t>
  </si>
  <si>
    <t>Disabled</t>
  </si>
  <si>
    <t>Manual</t>
  </si>
  <si>
    <t>Vehicle</t>
  </si>
  <si>
    <t>GVW (TONS)</t>
  </si>
  <si>
    <t>Safe Weight (TONS)</t>
  </si>
  <si>
    <t>Require Posting?</t>
  </si>
  <si>
    <t>No of</t>
  </si>
  <si>
    <t>WEIGHT LIMIT          SINGLE UNIT</t>
  </si>
  <si>
    <t>Axles</t>
  </si>
  <si>
    <t>EMERGENCY VEHICLE</t>
  </si>
  <si>
    <t>Design Inv.</t>
  </si>
  <si>
    <t>AXLE</t>
  </si>
  <si>
    <t>BRIDGE          CLOSED</t>
  </si>
  <si>
    <t>Sign</t>
  </si>
  <si>
    <t>Design Oper.</t>
  </si>
  <si>
    <t>WEIGHT LIMIT</t>
  </si>
  <si>
    <t>Recommendation</t>
  </si>
  <si>
    <t>2F1</t>
  </si>
  <si>
    <t xml:space="preserve">  2 AXLE</t>
  </si>
  <si>
    <t>3F1</t>
  </si>
  <si>
    <t xml:space="preserve">  3 AXLE</t>
  </si>
  <si>
    <t>6+</t>
  </si>
  <si>
    <t>5C1</t>
  </si>
  <si>
    <t>Type 3</t>
  </si>
  <si>
    <t>Type 3-3</t>
  </si>
  <si>
    <t>Type 3S2</t>
  </si>
  <si>
    <t>SU4/4F1</t>
  </si>
  <si>
    <t>Posting load of 2F1 (2 Axle) can't be greater than posting load of 3F1 (3 Axle)</t>
  </si>
  <si>
    <t>SU5</t>
  </si>
  <si>
    <t>SU6</t>
  </si>
  <si>
    <t>If NBI check box is checked:</t>
  </si>
  <si>
    <t>SU7</t>
  </si>
  <si>
    <t>EV3 rating will be included</t>
  </si>
  <si>
    <t>EV2</t>
  </si>
  <si>
    <t>EV3</t>
  </si>
  <si>
    <t>NRL</t>
  </si>
  <si>
    <t>Posting/Closure Check by Weight</t>
  </si>
  <si>
    <t>Check Box</t>
  </si>
  <si>
    <t>Controlling PE</t>
  </si>
  <si>
    <t>Post for Legal Loads -</t>
  </si>
  <si>
    <t>First</t>
  </si>
  <si>
    <t>Middle</t>
  </si>
  <si>
    <t>Last</t>
  </si>
  <si>
    <t>PE</t>
  </si>
  <si>
    <t>Post for EV's -</t>
  </si>
  <si>
    <t>Rater</t>
  </si>
  <si>
    <t>Bridge Closure -</t>
  </si>
  <si>
    <t>Reviewer</t>
  </si>
  <si>
    <t>Reported for AWS</t>
  </si>
  <si>
    <t>Controlling Legal Load RF =</t>
  </si>
  <si>
    <t>Posting Recommendations =</t>
  </si>
  <si>
    <t>Reporting Units =</t>
  </si>
  <si>
    <t>All posting loads truncated to full ton</t>
  </si>
  <si>
    <t>Posting Table</t>
  </si>
  <si>
    <t>Posted Weight</t>
  </si>
  <si>
    <t>2 Axle</t>
  </si>
  <si>
    <t>*Lower safe weight of 2F1, EV2 (LE safe weight of 3F1)</t>
  </si>
  <si>
    <t>3 Axle</t>
  </si>
  <si>
    <t xml:space="preserve"> *Lower safe weight of 3F1, Type 3</t>
  </si>
  <si>
    <t>4 Axle</t>
  </si>
  <si>
    <t xml:space="preserve"> *Lower safe weight of SU4</t>
  </si>
  <si>
    <t>5 Axle</t>
  </si>
  <si>
    <t xml:space="preserve"> *Lower safe weight of SU5</t>
  </si>
  <si>
    <t>6 &amp; 7 Axle</t>
  </si>
  <si>
    <t xml:space="preserve"> *Lower safe weight of 3-3, SU6 and SU7</t>
  </si>
  <si>
    <t>SEMI 5C1/3S2</t>
  </si>
  <si>
    <t xml:space="preserve"> *Lower safe weight of 3S2, 5C1, when both RFs &lt;=1.0, otherwise 40T (Tim's rule)</t>
  </si>
  <si>
    <t>Posting Status</t>
  </si>
  <si>
    <t>Live Load Response =</t>
  </si>
  <si>
    <t>Overall Percent Legal =</t>
  </si>
  <si>
    <t>Bridge Posting:</t>
  </si>
  <si>
    <t>Latitude Longitude</t>
  </si>
  <si>
    <t>From BR-100</t>
  </si>
  <si>
    <t>Decimal Conversion</t>
  </si>
  <si>
    <t>Is Text</t>
  </si>
  <si>
    <t>For Map</t>
  </si>
  <si>
    <t>Map HTML Link</t>
  </si>
  <si>
    <t>Latitude</t>
  </si>
  <si>
    <t>Longitude</t>
  </si>
  <si>
    <t>District Lookup</t>
  </si>
  <si>
    <t>County</t>
  </si>
  <si>
    <t xml:space="preserve">District </t>
  </si>
  <si>
    <t>Inv vs Oper Check</t>
  </si>
  <si>
    <t>Design Inv. =</t>
  </si>
  <si>
    <t>Design Oper. =</t>
  </si>
  <si>
    <t>Is Error =</t>
  </si>
  <si>
    <t>*Error if Design Inv. is &gt; Design Oper.</t>
  </si>
  <si>
    <t>Check for Manually Entered Data</t>
  </si>
  <si>
    <t>Entered Manually</t>
  </si>
  <si>
    <t>RATING METHOD:</t>
  </si>
  <si>
    <t>ORIGINAL DESIGN LOADING:</t>
  </si>
  <si>
    <t>This is an optional sheet to store rating results from BrR. Copy tabular results of each unique beam/girder/member using "Single rating level per row" and paste in the light yellow area column "C" below for each member.  Delete unrelevant data from this sheet. Columns P &amp; Q provide controlling RFs for reference.  This sheet is not linked to any other sheet. Additional sheets can be added to right of this sheet to store results from other software, if used for the rating.
Name the Beam/Girder (to match plans or analysis).  In white area of columns "D-N" give a brief description, if needed.</t>
  </si>
  <si>
    <t>Controlling RF</t>
  </si>
  <si>
    <t>G01</t>
  </si>
  <si>
    <t>G02</t>
  </si>
  <si>
    <t>G03</t>
  </si>
  <si>
    <t>G04</t>
  </si>
  <si>
    <t>G05</t>
  </si>
  <si>
    <t>G06</t>
  </si>
  <si>
    <t>Load Rating Purpose</t>
  </si>
  <si>
    <t>#708 - Load Rating Software</t>
  </si>
  <si>
    <t>#709 - Rating Source</t>
  </si>
  <si>
    <t>#63 &amp; 65 - Method of Rating</t>
  </si>
  <si>
    <t>Rating Type</t>
  </si>
  <si>
    <t>Rating Vehicle</t>
  </si>
  <si>
    <t>#31 - Original Design Load</t>
  </si>
  <si>
    <t>#70 - Bridge Posting</t>
  </si>
  <si>
    <t>#41 - Open, Posted or Closed</t>
  </si>
  <si>
    <t>County Number</t>
  </si>
  <si>
    <t>Abbr.</t>
  </si>
  <si>
    <t>District</t>
  </si>
  <si>
    <t>1 - BARS</t>
  </si>
  <si>
    <t>0 - No Plans or information available for load rating analysis</t>
  </si>
  <si>
    <t>EJ - Field Evaluation and Documented Eng Judgement (Tons) - Code 0</t>
  </si>
  <si>
    <t>Tons</t>
  </si>
  <si>
    <t>HS20 Loading</t>
  </si>
  <si>
    <t>0 - Unknown</t>
  </si>
  <si>
    <t>0 - More than 39.9% below legal loads</t>
  </si>
  <si>
    <t>Adams</t>
  </si>
  <si>
    <t>ADA</t>
  </si>
  <si>
    <t>2 - Rehabilitation</t>
  </si>
  <si>
    <t>2 - BRASS</t>
  </si>
  <si>
    <t>LT - Load Testing (Tons) -Code 4</t>
  </si>
  <si>
    <t>1 - H10</t>
  </si>
  <si>
    <t>1 - 30.0-39.9% below legal loads</t>
  </si>
  <si>
    <t>A - Open, No Restriction</t>
  </si>
  <si>
    <t>Allen</t>
  </si>
  <si>
    <t>ALL</t>
  </si>
  <si>
    <t>3 - Dead Load Changed</t>
  </si>
  <si>
    <t>2 - Field measured information for load rating analysis</t>
  </si>
  <si>
    <t>N -No Rating Analysis or Evaluation Performed (Tons) - Code 5</t>
  </si>
  <si>
    <t>2 - H15</t>
  </si>
  <si>
    <t>2 - 20.0-29.9% below legal loads</t>
  </si>
  <si>
    <t>B - Open, Posting Recommended</t>
  </si>
  <si>
    <t>Ashland</t>
  </si>
  <si>
    <t>ASD</t>
  </si>
  <si>
    <t>4 - Wearing Surface Added</t>
  </si>
  <si>
    <t>4 - Testing</t>
  </si>
  <si>
    <t>3 - Field testing information (Non-destructive)</t>
  </si>
  <si>
    <t>LFR - Load Factor Rating (RF) - Code 6</t>
  </si>
  <si>
    <t>3 - HS15</t>
  </si>
  <si>
    <t>3 - 10-19.9% below legal loads</t>
  </si>
  <si>
    <t>C - Open, Half-Width construction</t>
  </si>
  <si>
    <t>Ashtabula</t>
  </si>
  <si>
    <t>ATB</t>
  </si>
  <si>
    <t>5 - Deterioration or GA Dropped Below 5</t>
  </si>
  <si>
    <t>5 - Finite Element (FE) Program</t>
  </si>
  <si>
    <t>N- Not Applicable</t>
  </si>
  <si>
    <t>ASR - Allowable Stress Rating (RF) - Code 7</t>
  </si>
  <si>
    <t>4 - H20</t>
  </si>
  <si>
    <t>4 - 0.1-9.9% below legal loads</t>
  </si>
  <si>
    <t>D - Open to Allow Unrestricted Traffic</t>
  </si>
  <si>
    <t>Athens</t>
  </si>
  <si>
    <t>ATH</t>
  </si>
  <si>
    <t>6 - Damage</t>
  </si>
  <si>
    <t>6 - In-House Program/Spreadsheet</t>
  </si>
  <si>
    <t>HL93 Loading</t>
  </si>
  <si>
    <t>5 - HS20</t>
  </si>
  <si>
    <t>5 - Equal to or above legal loads</t>
  </si>
  <si>
    <t>E - Open, Temporary Structure in Place</t>
  </si>
  <si>
    <t>Auglaize</t>
  </si>
  <si>
    <t>AUG</t>
  </si>
  <si>
    <t>7 - Not Applicable</t>
  </si>
  <si>
    <t>7 - Combination</t>
  </si>
  <si>
    <t>AR - Assigned Rating (RF) - Code F</t>
  </si>
  <si>
    <t>6 - HS20-44 &amp; Alternate Military Loading</t>
  </si>
  <si>
    <t>G - New Structure Not Yet Open to Traffic</t>
  </si>
  <si>
    <t>Belmont</t>
  </si>
  <si>
    <t>BEL</t>
  </si>
  <si>
    <t>8 - Update Analysis Model and Software</t>
  </si>
  <si>
    <t>8 - Other program</t>
  </si>
  <si>
    <t>7 - Pedestrian</t>
  </si>
  <si>
    <t>K - Bridge Closed to All Traffic</t>
  </si>
  <si>
    <t>Brown</t>
  </si>
  <si>
    <t>BRO</t>
  </si>
  <si>
    <t>9 - Manual Calculations</t>
  </si>
  <si>
    <t>N - Not Applicable (RR bridges, buildings, Non-highway, etc.)</t>
  </si>
  <si>
    <t>8 - Railroad</t>
  </si>
  <si>
    <t>P - Posted for Load-Carrying Restriction</t>
  </si>
  <si>
    <t>Bulter</t>
  </si>
  <si>
    <t>BUT</t>
  </si>
  <si>
    <t>0 - Assigned rating (No calculations were done)</t>
  </si>
  <si>
    <t>9 - HS25 or Greater</t>
  </si>
  <si>
    <t>R - Posted for Other Reasons</t>
  </si>
  <si>
    <t>Carroll</t>
  </si>
  <si>
    <t>CAR</t>
  </si>
  <si>
    <t>X - Not Applicable</t>
  </si>
  <si>
    <t>X - Bridge Closed for Other Reasons</t>
  </si>
  <si>
    <t>Champaign</t>
  </si>
  <si>
    <t>CHP</t>
  </si>
  <si>
    <t>B - Greater than HL93</t>
  </si>
  <si>
    <t>Clark</t>
  </si>
  <si>
    <t>CLA</t>
  </si>
  <si>
    <t>Routine Permit Load (RPL)</t>
  </si>
  <si>
    <t>C - Other (includes railroad bridges w/track removed)</t>
  </si>
  <si>
    <t>Clermont</t>
  </si>
  <si>
    <t>CLE</t>
  </si>
  <si>
    <t>Clinton</t>
  </si>
  <si>
    <t>CLI</t>
  </si>
  <si>
    <t>B - Some routine permit Loads are restricted</t>
  </si>
  <si>
    <t>Columbia</t>
  </si>
  <si>
    <t>COL</t>
  </si>
  <si>
    <t>C - All routine permit Loads are restricted from the bridge</t>
  </si>
  <si>
    <t>Coshocton</t>
  </si>
  <si>
    <t>COS</t>
  </si>
  <si>
    <t>N - Agency doesnot issue routine permits</t>
  </si>
  <si>
    <t>Crawford</t>
  </si>
  <si>
    <t>CRA</t>
  </si>
  <si>
    <t>Cuyahoga</t>
  </si>
  <si>
    <t>CUY</t>
  </si>
  <si>
    <t>RPL Analysis Method</t>
  </si>
  <si>
    <t>Darke</t>
  </si>
  <si>
    <t>DAR</t>
  </si>
  <si>
    <t>Load Factor Rating (LFR)</t>
  </si>
  <si>
    <t>Defiance</t>
  </si>
  <si>
    <t>DEF</t>
  </si>
  <si>
    <t xml:space="preserve"> Allowable Stress Rating (ASR)</t>
  </si>
  <si>
    <t>Delaware</t>
  </si>
  <si>
    <t>DEL</t>
  </si>
  <si>
    <t>Erie</t>
  </si>
  <si>
    <t>ERI</t>
  </si>
  <si>
    <t>Fairfield</t>
  </si>
  <si>
    <t>FAI</t>
  </si>
  <si>
    <t>Fayette</t>
  </si>
  <si>
    <t>FAY</t>
  </si>
  <si>
    <t>Franklin</t>
  </si>
  <si>
    <t>FRA</t>
  </si>
  <si>
    <t>Fulton</t>
  </si>
  <si>
    <t>FUL</t>
  </si>
  <si>
    <t>Gallia</t>
  </si>
  <si>
    <t>GAL</t>
  </si>
  <si>
    <t>Geauga</t>
  </si>
  <si>
    <t>GEA</t>
  </si>
  <si>
    <t>Green</t>
  </si>
  <si>
    <t>GRE</t>
  </si>
  <si>
    <t>Guernsey</t>
  </si>
  <si>
    <t>GUE</t>
  </si>
  <si>
    <t>Hamilton</t>
  </si>
  <si>
    <t>HAM</t>
  </si>
  <si>
    <t>Hancock</t>
  </si>
  <si>
    <t>HAN</t>
  </si>
  <si>
    <t>Harden</t>
  </si>
  <si>
    <t>HAR</t>
  </si>
  <si>
    <t>Harrison</t>
  </si>
  <si>
    <t>HAS</t>
  </si>
  <si>
    <t>Henry</t>
  </si>
  <si>
    <t>HEN</t>
  </si>
  <si>
    <t>Highland</t>
  </si>
  <si>
    <t>HIG</t>
  </si>
  <si>
    <t>Hocking</t>
  </si>
  <si>
    <t>HOC</t>
  </si>
  <si>
    <t>Holmes</t>
  </si>
  <si>
    <t>HOL</t>
  </si>
  <si>
    <t>Huron</t>
  </si>
  <si>
    <t>HUR</t>
  </si>
  <si>
    <t>Jackson</t>
  </si>
  <si>
    <t>JAC</t>
  </si>
  <si>
    <t>Jefferson</t>
  </si>
  <si>
    <t>JEF</t>
  </si>
  <si>
    <t>Knox</t>
  </si>
  <si>
    <t>KNO</t>
  </si>
  <si>
    <t>Lake</t>
  </si>
  <si>
    <t>LAK</t>
  </si>
  <si>
    <t>Lawrence</t>
  </si>
  <si>
    <t>LAW</t>
  </si>
  <si>
    <t>Licking</t>
  </si>
  <si>
    <t>LIC</t>
  </si>
  <si>
    <t>Logan</t>
  </si>
  <si>
    <t>LOG</t>
  </si>
  <si>
    <t>Lorain</t>
  </si>
  <si>
    <t>LOR</t>
  </si>
  <si>
    <t>Lucas</t>
  </si>
  <si>
    <t>LUC</t>
  </si>
  <si>
    <t>Madison</t>
  </si>
  <si>
    <t>MAD</t>
  </si>
  <si>
    <t>Mahoning</t>
  </si>
  <si>
    <t>MAH</t>
  </si>
  <si>
    <t>Marion</t>
  </si>
  <si>
    <t>MAR</t>
  </si>
  <si>
    <t>Medina</t>
  </si>
  <si>
    <t>MED</t>
  </si>
  <si>
    <t>Meigs</t>
  </si>
  <si>
    <t>MEG</t>
  </si>
  <si>
    <t>Mercer</t>
  </si>
  <si>
    <t>MER</t>
  </si>
  <si>
    <t>Miami</t>
  </si>
  <si>
    <t>MIA</t>
  </si>
  <si>
    <t>Monroe</t>
  </si>
  <si>
    <t>MOE</t>
  </si>
  <si>
    <t>Montgomery</t>
  </si>
  <si>
    <t>MOT</t>
  </si>
  <si>
    <t>Morgan</t>
  </si>
  <si>
    <t>MRG</t>
  </si>
  <si>
    <t>Morrow</t>
  </si>
  <si>
    <t>MRW</t>
  </si>
  <si>
    <t>Muckingum</t>
  </si>
  <si>
    <t>MUS</t>
  </si>
  <si>
    <t>Noble</t>
  </si>
  <si>
    <t>NOB</t>
  </si>
  <si>
    <t>Ottawa</t>
  </si>
  <si>
    <t>OTT</t>
  </si>
  <si>
    <t>Paulding</t>
  </si>
  <si>
    <t>PAU</t>
  </si>
  <si>
    <t>Perry</t>
  </si>
  <si>
    <t>PER</t>
  </si>
  <si>
    <t>Pickaway</t>
  </si>
  <si>
    <t>PIC</t>
  </si>
  <si>
    <t>Pike</t>
  </si>
  <si>
    <t>PIK</t>
  </si>
  <si>
    <t>Portage</t>
  </si>
  <si>
    <t>POR</t>
  </si>
  <si>
    <t>Preble</t>
  </si>
  <si>
    <t>PRE</t>
  </si>
  <si>
    <t>Putnam</t>
  </si>
  <si>
    <t>PUT</t>
  </si>
  <si>
    <t>Richland</t>
  </si>
  <si>
    <t>RIC</t>
  </si>
  <si>
    <t>Ross</t>
  </si>
  <si>
    <t>ROS</t>
  </si>
  <si>
    <t>Sandusky</t>
  </si>
  <si>
    <t>SAN</t>
  </si>
  <si>
    <t>Scioto</t>
  </si>
  <si>
    <t>SCI</t>
  </si>
  <si>
    <t>Seneca</t>
  </si>
  <si>
    <t>SEN</t>
  </si>
  <si>
    <t>Shelby</t>
  </si>
  <si>
    <t>SHE</t>
  </si>
  <si>
    <t>Stark</t>
  </si>
  <si>
    <t>STA</t>
  </si>
  <si>
    <t>Summit</t>
  </si>
  <si>
    <t>SUM</t>
  </si>
  <si>
    <t>Trumbull</t>
  </si>
  <si>
    <t>TRU</t>
  </si>
  <si>
    <t>Tuscarawas</t>
  </si>
  <si>
    <t>TUS</t>
  </si>
  <si>
    <t>Union</t>
  </si>
  <si>
    <t>UNI</t>
  </si>
  <si>
    <t>Van Wert</t>
  </si>
  <si>
    <t>VAN</t>
  </si>
  <si>
    <t>Vinton</t>
  </si>
  <si>
    <t>VIN</t>
  </si>
  <si>
    <t>Warren</t>
  </si>
  <si>
    <t>WAR</t>
  </si>
  <si>
    <t>Washington</t>
  </si>
  <si>
    <t>WAS</t>
  </si>
  <si>
    <t>Wayne</t>
  </si>
  <si>
    <t>WAY</t>
  </si>
  <si>
    <t>Williams</t>
  </si>
  <si>
    <t>WIL</t>
  </si>
  <si>
    <t>Wood</t>
  </si>
  <si>
    <t>WOO</t>
  </si>
  <si>
    <t>Wyandot</t>
  </si>
  <si>
    <t xml:space="preserve">MODELED BY MAN. REVIEWED BY MJR, MARCH 2024.
THIS RATING IS INTENDED FOR THE COS-TR252-0.00 (PID 117980) POJECT WHICH INVOLVES FULL REPLACEMENT OF EXISTING COS-TR252-0.01 BRIDGE OVER EVANS CREEK.
SINGLE SPAN (46'-6" C/C BRG.) PRESTRESSED CONCRETE BOX BEAM (CB17X48) WITH 6" (MIN.) THICK COMPOSITE REINFORCED CONCRETE DECK SUPPORTED ON INTEGRAL ABUTMENTS.
24'-0" OUT-TO-OUT DECK (F/F RAILING) WITH FASCIA-MOUNTED DEEP BEAM RAILING WITH TUBULAR BACKUP AND RETROFIT.
TANGENT ALIGNMENT. 30° 00' 00" SKEW (L.F)
NO FWS MODELED (NOT REQUIRED BY BDM NOR REQUIRED BY CLIENT)
DBR LOADS DISTRIBUTED EQUALLY TO ALL BEAMS. USER CALCULATED TO BE 0.10 K/FT (EACH BEAM).
TOPPING LOADS VARY BY BEAMS. HOWEVER, FOR SIMPLICITY, THE CONTROLLING TOPPING LOAD FOR INTERIOR BEAMS IS CONSIDERED FOR INPUT (B4) FOR ALL INTERIOR BEAMS CONSERVATIVELY. SIMILARLY, THE CONTROLLING TOPPING LOAD FOR EXTERIOR BEAMS (B1) IS CONSIDERED FOR INPUT FOR BOTH EXTERIOR BEAMS CONSERVATIVELY. 
SERVICE III TENSILE STRESS, AND RATING FACTORS FOR SHEAR INCLUDED IN RATING. 
INCLUDES 2% ADDITIONAL SELF-WEIGHT CONTINGENCY. 
ELASTIC GAINS INCLUDED. HL93 INVENTORY AND OPERATING, 2F1, 3F1, 5C1, TYPE 3, TPE 3-3, TYPE 3S2, SU4/4F1, SU5, SU6, SU7 AND EV2 CONTROLLED BY INTERIOR BEAM. EV3, PL 60T AND PL 65T CONTROLLED BY EXTERIOR BEAM. SERVICE III TENSILE STRESS CONTROLS ALL LEGAL AND SU VEHICLES. HL93 OPERATING CONTROLLED BY STRENGTH I - FLEXURE. EV2 CONTROLLED BY STRENGTH II - FLEXURE. EV3, PL60T AND PL 65T CONTROLLED BY STRENGTH II - SHEAR. </t>
  </si>
  <si>
    <t>EVANS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</si>
</sst>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 \f\t"/>
    <numFmt numFmtId="166" formatCode="0000000"/>
    <numFmt numFmtId="167" formatCode="0\ &quot; T&quot;"/>
    <numFmt numFmtId="168" formatCode="[hh]\°mm\'ss.00\&quot;"/>
    <numFmt numFmtId="169" formatCode="0\ &quot;T &quot;"/>
    <numFmt numFmtId="170" formatCode="mm/dd/yy;@"/>
    <numFmt numFmtId="171" formatCode="yyyy\-mm\-dd;@"/>
    <numFmt numFmtId="172" formatCode="mm/yyyy"/>
    <numFmt numFmtId="173" formatCode="0.00\ \f\t"/>
  </numFmts>
  <fonts count="21"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sz val="8"/>
      <color theme="1"/>
      <name val="Calibri"/>
      <family val="2"/>
      <scheme val="minor"/>
    </font>
    <font>
      <u/>
      <sz val="11"/>
      <color theme="10"/>
      <name val="Calibri"/>
      <family val="2"/>
      <scheme val="minor"/>
    </font>
    <font>
      <sz val="11"/>
      <name val="Calibri"/>
      <family val="2"/>
      <scheme val="minor"/>
    </font>
    <font>
      <sz val="12"/>
      <name val="Calibri"/>
      <family val="2"/>
      <scheme val="minor"/>
    </font>
    <font>
      <b/>
      <u/>
      <sz val="11"/>
      <color theme="1"/>
      <name val="Calibri"/>
      <family val="2"/>
      <scheme val="minor"/>
    </font>
    <font>
      <sz val="14"/>
      <color theme="1"/>
      <name val="Calibri"/>
      <family val="2"/>
      <scheme val="minor"/>
    </font>
    <font>
      <sz val="11"/>
      <color theme="0"/>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color rgb="FFFFFF00"/>
      <name val="Calibri"/>
      <family val="2"/>
      <scheme val="minor"/>
    </font>
    <font>
      <b/>
      <sz val="12"/>
      <color theme="1"/>
      <name val="Calibri"/>
      <family val="2"/>
      <scheme val="minor"/>
    </font>
    <font>
      <b/>
      <u/>
      <sz val="12"/>
      <color theme="1"/>
      <name val="Calibri"/>
      <family val="2"/>
      <scheme val="minor"/>
    </font>
    <font>
      <sz val="9"/>
      <color theme="1"/>
      <name val="Calibri"/>
      <family val="2"/>
      <scheme val="minor"/>
    </font>
    <font>
      <sz val="8"/>
      <name val="Calibri"/>
      <family val="2"/>
      <scheme val="minor"/>
    </font>
    <font>
      <b/>
      <sz val="14"/>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65"/>
        <bgColor indexed="64"/>
      </patternFill>
    </fill>
    <fill>
      <patternFill patternType="solid">
        <fgColor rgb="FFF5F5F5"/>
        <bgColor indexed="64"/>
      </patternFill>
    </fill>
    <fill>
      <patternFill patternType="solid">
        <fgColor theme="0" tint="-0.249977111117893"/>
        <bgColor indexed="64"/>
      </patternFill>
    </fill>
    <fill>
      <patternFill patternType="solid">
        <fgColor rgb="FFB4C6E7"/>
        <bgColor indexed="64"/>
      </patternFill>
    </fill>
    <fill>
      <patternFill patternType="solid">
        <fgColor theme="0" tint="-0.34998626667073579"/>
        <bgColor indexed="64"/>
      </patternFill>
    </fill>
    <fill>
      <patternFill patternType="solid">
        <fgColor rgb="FFFFFFE1"/>
        <bgColor indexed="64"/>
      </patternFill>
    </fill>
    <fill>
      <patternFill patternType="solid">
        <fgColor rgb="FF92D050"/>
        <bgColor indexed="64"/>
      </patternFill>
    </fill>
    <fill>
      <patternFill patternType="solid">
        <fgColor rgb="FF9999FF"/>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theme="0"/>
      </left>
      <right/>
      <top style="medium">
        <color indexed="64"/>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style="medium">
        <color indexed="64"/>
      </bottom>
      <diagonal/>
    </border>
    <border>
      <left/>
      <right/>
      <top/>
      <bottom style="thin">
        <color theme="0"/>
      </bottom>
      <diagonal/>
    </border>
    <border>
      <left style="medium">
        <color indexed="64"/>
      </left>
      <right style="thin">
        <color theme="0"/>
      </right>
      <top/>
      <bottom/>
      <diagonal/>
    </border>
    <border>
      <left style="thin">
        <color theme="0"/>
      </left>
      <right style="thin">
        <color theme="0"/>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ck">
        <color rgb="FF7030A0"/>
      </left>
      <right style="thin">
        <color indexed="64"/>
      </right>
      <top/>
      <bottom style="thin">
        <color indexed="64"/>
      </bottom>
      <diagonal/>
    </border>
    <border>
      <left style="thin">
        <color indexed="64"/>
      </left>
      <right style="thick">
        <color rgb="FF7030A0"/>
      </right>
      <top/>
      <bottom style="thin">
        <color indexed="64"/>
      </bottom>
      <diagonal/>
    </border>
    <border>
      <left style="thick">
        <color rgb="FF7030A0"/>
      </left>
      <right style="thin">
        <color indexed="64"/>
      </right>
      <top style="thin">
        <color indexed="64"/>
      </top>
      <bottom style="thin">
        <color indexed="64"/>
      </bottom>
      <diagonal/>
    </border>
    <border>
      <left style="thin">
        <color indexed="64"/>
      </left>
      <right style="thick">
        <color rgb="FF7030A0"/>
      </right>
      <top style="thin">
        <color indexed="64"/>
      </top>
      <bottom style="thin">
        <color indexed="64"/>
      </bottom>
      <diagonal/>
    </border>
    <border>
      <left style="thick">
        <color auto="1"/>
      </left>
      <right/>
      <top style="thick">
        <color auto="1"/>
      </top>
      <bottom style="double">
        <color indexed="64"/>
      </bottom>
      <diagonal/>
    </border>
    <border>
      <left/>
      <right style="thick">
        <color rgb="FF7030A0"/>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68">
    <xf numFmtId="0" fontId="0" fillId="0" borderId="0" xfId="0"/>
    <xf numFmtId="164" fontId="0" fillId="0" borderId="0" xfId="0" applyNumberFormat="1"/>
    <xf numFmtId="0" fontId="0" fillId="0" borderId="1" xfId="0" applyBorder="1" applyAlignment="1">
      <alignment horizontal="center"/>
    </xf>
    <xf numFmtId="0" fontId="0" fillId="0" borderId="1" xfId="0" applyBorder="1"/>
    <xf numFmtId="0" fontId="8" fillId="0" borderId="1" xfId="0" applyFont="1" applyBorder="1"/>
    <xf numFmtId="0" fontId="6" fillId="2" borderId="1" xfId="0" applyFont="1" applyFill="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1" xfId="0" applyFont="1" applyBorder="1" applyAlignment="1" applyProtection="1">
      <alignment horizontal="left" vertical="center" wrapText="1"/>
      <protection hidden="1"/>
    </xf>
    <xf numFmtId="0" fontId="7" fillId="0" borderId="1" xfId="0" applyFont="1" applyBorder="1" applyAlignment="1" applyProtection="1">
      <alignment horizontal="left" vertical="center" wrapText="1"/>
      <protection hidden="1"/>
    </xf>
    <xf numFmtId="0" fontId="0" fillId="0" borderId="0" xfId="0" applyAlignment="1">
      <alignment horizontal="right"/>
    </xf>
    <xf numFmtId="0" fontId="4" fillId="0" borderId="0" xfId="0" applyFont="1" applyAlignment="1">
      <alignment vertical="top"/>
    </xf>
    <xf numFmtId="0" fontId="0" fillId="0" borderId="0" xfId="0" applyAlignment="1">
      <alignment horizontal="center"/>
    </xf>
    <xf numFmtId="0" fontId="0" fillId="2" borderId="49" xfId="0" applyFill="1" applyBorder="1" applyAlignment="1">
      <alignment horizontal="center" vertical="center"/>
    </xf>
    <xf numFmtId="0" fontId="0" fillId="4" borderId="18" xfId="0" applyFill="1" applyBorder="1" applyAlignment="1">
      <alignment vertical="center"/>
    </xf>
    <xf numFmtId="0" fontId="0" fillId="4" borderId="0" xfId="0" applyFill="1" applyAlignment="1">
      <alignment horizontal="right" vertical="center"/>
    </xf>
    <xf numFmtId="0" fontId="0" fillId="4" borderId="0" xfId="0" applyFill="1" applyAlignment="1">
      <alignment vertical="center"/>
    </xf>
    <xf numFmtId="0" fontId="0" fillId="4" borderId="16" xfId="0" applyFill="1" applyBorder="1" applyAlignment="1">
      <alignment vertical="center"/>
    </xf>
    <xf numFmtId="0" fontId="1" fillId="4" borderId="0" xfId="0" applyFont="1" applyFill="1" applyAlignment="1">
      <alignment vertical="center"/>
    </xf>
    <xf numFmtId="0" fontId="1" fillId="4" borderId="0" xfId="0" applyFont="1" applyFill="1" applyAlignment="1">
      <alignment horizontal="left" vertical="center"/>
    </xf>
    <xf numFmtId="0" fontId="0" fillId="4" borderId="0" xfId="0" applyFill="1" applyAlignment="1">
      <alignment horizontal="left" vertical="center"/>
    </xf>
    <xf numFmtId="0" fontId="0" fillId="4" borderId="19" xfId="0" applyFill="1" applyBorder="1" applyAlignment="1">
      <alignment vertical="center"/>
    </xf>
    <xf numFmtId="0" fontId="0" fillId="4" borderId="21" xfId="0" applyFill="1" applyBorder="1" applyAlignment="1">
      <alignment vertical="center"/>
    </xf>
    <xf numFmtId="0" fontId="0" fillId="2" borderId="24" xfId="0" applyFill="1" applyBorder="1"/>
    <xf numFmtId="0" fontId="0" fillId="2" borderId="26" xfId="0" applyFill="1" applyBorder="1" applyAlignment="1">
      <alignment horizontal="right"/>
    </xf>
    <xf numFmtId="2" fontId="0" fillId="2" borderId="25" xfId="0" applyNumberFormat="1" applyFill="1" applyBorder="1" applyAlignment="1">
      <alignment horizontal="left"/>
    </xf>
    <xf numFmtId="0" fontId="0" fillId="2" borderId="23" xfId="0" applyFill="1" applyBorder="1"/>
    <xf numFmtId="0" fontId="9" fillId="2" borderId="23" xfId="0" applyFont="1" applyFill="1" applyBorder="1" applyAlignment="1">
      <alignment vertical="center" wrapText="1"/>
    </xf>
    <xf numFmtId="0" fontId="0" fillId="2" borderId="22" xfId="0" applyFill="1" applyBorder="1"/>
    <xf numFmtId="0" fontId="0" fillId="0" borderId="31" xfId="0" applyBorder="1" applyAlignment="1">
      <alignment horizontal="center"/>
    </xf>
    <xf numFmtId="0" fontId="0" fillId="0" borderId="33" xfId="0" applyBorder="1" applyAlignment="1">
      <alignment horizontal="center"/>
    </xf>
    <xf numFmtId="0" fontId="1" fillId="0" borderId="28" xfId="0" applyFont="1" applyBorder="1" applyAlignment="1">
      <alignment horizontal="center"/>
    </xf>
    <xf numFmtId="0" fontId="0" fillId="2" borderId="18" xfId="0" applyFill="1" applyBorder="1" applyAlignment="1">
      <alignment horizontal="right" vertical="center"/>
    </xf>
    <xf numFmtId="0" fontId="0" fillId="2" borderId="16" xfId="0" applyFill="1" applyBorder="1" applyAlignment="1">
      <alignment horizontal="center" vertical="center"/>
    </xf>
    <xf numFmtId="0" fontId="0" fillId="2" borderId="47" xfId="0" applyFill="1" applyBorder="1" applyAlignment="1">
      <alignment vertical="center"/>
    </xf>
    <xf numFmtId="0" fontId="0" fillId="2" borderId="40" xfId="0" applyFill="1" applyBorder="1" applyAlignment="1">
      <alignment horizontal="right" vertical="center"/>
    </xf>
    <xf numFmtId="0" fontId="0" fillId="2" borderId="38" xfId="0" applyFill="1" applyBorder="1" applyAlignment="1">
      <alignment horizontal="center" vertical="center"/>
    </xf>
    <xf numFmtId="0" fontId="0" fillId="2" borderId="19" xfId="0" applyFill="1" applyBorder="1" applyAlignment="1">
      <alignment horizontal="right" vertical="center"/>
    </xf>
    <xf numFmtId="0" fontId="0" fillId="2" borderId="21" xfId="0" applyFill="1" applyBorder="1" applyAlignment="1">
      <alignment horizontal="center" vertical="center"/>
    </xf>
    <xf numFmtId="0" fontId="0" fillId="2" borderId="48" xfId="0" applyFill="1" applyBorder="1" applyAlignment="1">
      <alignment vertical="center"/>
    </xf>
    <xf numFmtId="0" fontId="0" fillId="0" borderId="24" xfId="0" applyBorder="1"/>
    <xf numFmtId="164" fontId="0" fillId="0" borderId="26" xfId="0" applyNumberFormat="1" applyBorder="1" applyAlignment="1">
      <alignment horizontal="left"/>
    </xf>
    <xf numFmtId="0" fontId="0" fillId="0" borderId="26" xfId="0" applyBorder="1"/>
    <xf numFmtId="0" fontId="0" fillId="0" borderId="25" xfId="0" applyBorder="1"/>
    <xf numFmtId="164" fontId="0" fillId="2" borderId="20" xfId="0" applyNumberFormat="1" applyFill="1" applyBorder="1" applyAlignment="1">
      <alignment horizontal="left"/>
    </xf>
    <xf numFmtId="0" fontId="0" fillId="0" borderId="0" xfId="0" applyAlignment="1">
      <alignment horizontal="left"/>
    </xf>
    <xf numFmtId="0" fontId="0" fillId="2" borderId="18" xfId="0" applyFill="1" applyBorder="1" applyAlignment="1">
      <alignment horizontal="right"/>
    </xf>
    <xf numFmtId="164" fontId="0" fillId="2" borderId="16" xfId="0" applyNumberFormat="1" applyFill="1" applyBorder="1" applyAlignment="1">
      <alignment horizontal="left"/>
    </xf>
    <xf numFmtId="0" fontId="0" fillId="2" borderId="19" xfId="0" applyFill="1" applyBorder="1" applyAlignment="1">
      <alignment horizontal="right"/>
    </xf>
    <xf numFmtId="164" fontId="0" fillId="2" borderId="21" xfId="0" applyNumberFormat="1" applyFill="1" applyBorder="1" applyAlignment="1">
      <alignment horizontal="left"/>
    </xf>
    <xf numFmtId="164" fontId="0" fillId="2" borderId="23" xfId="0" applyNumberFormat="1" applyFill="1" applyBorder="1" applyAlignment="1">
      <alignment horizontal="left"/>
    </xf>
    <xf numFmtId="0" fontId="0" fillId="0" borderId="28" xfId="0" applyBorder="1"/>
    <xf numFmtId="0" fontId="0" fillId="0" borderId="28" xfId="0" applyBorder="1" applyAlignment="1">
      <alignment horizontal="center"/>
    </xf>
    <xf numFmtId="0" fontId="0" fillId="0" borderId="29" xfId="0" applyBorder="1" applyAlignment="1">
      <alignment horizontal="center"/>
    </xf>
    <xf numFmtId="0" fontId="0" fillId="0" borderId="5" xfId="0" applyBorder="1"/>
    <xf numFmtId="0" fontId="0" fillId="0" borderId="34" xfId="0" applyBorder="1"/>
    <xf numFmtId="0" fontId="10" fillId="2" borderId="25" xfId="0" applyFont="1" applyFill="1" applyBorder="1" applyProtection="1">
      <protection locked="0"/>
    </xf>
    <xf numFmtId="0" fontId="0" fillId="2" borderId="25" xfId="0" applyFill="1" applyBorder="1" applyAlignment="1" applyProtection="1">
      <alignment horizontal="left"/>
      <protection locked="0"/>
    </xf>
    <xf numFmtId="0" fontId="13" fillId="2" borderId="4" xfId="0" applyFont="1" applyFill="1" applyBorder="1" applyAlignment="1">
      <alignment horizontal="center" vertical="center"/>
    </xf>
    <xf numFmtId="0" fontId="12" fillId="0" borderId="31" xfId="0" applyFont="1" applyBorder="1" applyAlignment="1">
      <alignment horizontal="center" vertical="center"/>
    </xf>
    <xf numFmtId="2" fontId="12" fillId="3" borderId="1" xfId="0" applyNumberFormat="1"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2" fillId="6" borderId="31" xfId="0" applyFont="1" applyFill="1" applyBorder="1" applyAlignment="1">
      <alignment horizontal="center" vertical="center"/>
    </xf>
    <xf numFmtId="0" fontId="13" fillId="0" borderId="0" xfId="0" applyFont="1"/>
    <xf numFmtId="1" fontId="13" fillId="0" borderId="9" xfId="0" applyNumberFormat="1" applyFont="1" applyBorder="1" applyAlignment="1">
      <alignment horizontal="center" vertical="center"/>
    </xf>
    <xf numFmtId="0" fontId="13" fillId="0" borderId="9" xfId="0" applyFont="1" applyBorder="1" applyAlignment="1">
      <alignment horizontal="center" vertical="center"/>
    </xf>
    <xf numFmtId="0" fontId="13" fillId="6" borderId="9" xfId="0"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right" vertical="top"/>
    </xf>
    <xf numFmtId="0" fontId="12" fillId="0" borderId="0" xfId="0" applyFont="1" applyAlignment="1">
      <alignment vertical="center" wrapText="1"/>
    </xf>
    <xf numFmtId="165" fontId="12" fillId="0" borderId="0" xfId="0" applyNumberFormat="1" applyFont="1" applyAlignment="1">
      <alignment vertical="center"/>
    </xf>
    <xf numFmtId="165" fontId="12" fillId="0" borderId="0" xfId="0" applyNumberFormat="1" applyFont="1" applyAlignment="1">
      <alignment vertical="center" wrapText="1"/>
    </xf>
    <xf numFmtId="0" fontId="13" fillId="0" borderId="0" xfId="0" applyFont="1" applyAlignment="1">
      <alignment vertical="center"/>
    </xf>
    <xf numFmtId="168" fontId="0" fillId="0" borderId="0" xfId="0" applyNumberFormat="1" applyAlignment="1">
      <alignment horizontal="center"/>
    </xf>
    <xf numFmtId="0" fontId="0" fillId="2" borderId="0" xfId="0" applyFill="1"/>
    <xf numFmtId="0" fontId="0" fillId="0" borderId="50" xfId="0" applyBorder="1" applyAlignment="1">
      <alignment horizontal="center"/>
    </xf>
    <xf numFmtId="0" fontId="0" fillId="0" borderId="52" xfId="0" applyBorder="1" applyAlignment="1">
      <alignment horizontal="center"/>
    </xf>
    <xf numFmtId="0" fontId="0" fillId="0" borderId="32" xfId="0" applyBorder="1" applyAlignment="1">
      <alignment horizontal="center"/>
    </xf>
    <xf numFmtId="0" fontId="0" fillId="2" borderId="17" xfId="0" applyFill="1" applyBorder="1" applyAlignment="1">
      <alignment horizontal="righ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4" borderId="17" xfId="0" applyFill="1" applyBorder="1" applyAlignment="1">
      <alignment vertical="center"/>
    </xf>
    <xf numFmtId="0" fontId="0" fillId="4" borderId="22" xfId="0" applyFill="1" applyBorder="1" applyAlignment="1">
      <alignment horizontal="right" vertical="center"/>
    </xf>
    <xf numFmtId="0" fontId="0" fillId="4" borderId="22" xfId="0" applyFill="1" applyBorder="1" applyAlignment="1">
      <alignment vertical="center"/>
    </xf>
    <xf numFmtId="0" fontId="0" fillId="4" borderId="20" xfId="0" applyFill="1" applyBorder="1" applyAlignment="1">
      <alignment vertical="center"/>
    </xf>
    <xf numFmtId="0" fontId="1" fillId="4" borderId="23" xfId="0" applyFont="1" applyFill="1" applyBorder="1" applyAlignment="1">
      <alignment horizontal="right" vertical="center"/>
    </xf>
    <xf numFmtId="0" fontId="1" fillId="4" borderId="23" xfId="0" applyFont="1" applyFill="1" applyBorder="1" applyAlignment="1">
      <alignment vertical="center"/>
    </xf>
    <xf numFmtId="0" fontId="1" fillId="4" borderId="23" xfId="0" applyFont="1" applyFill="1" applyBorder="1" applyAlignment="1">
      <alignment horizontal="left" vertical="center"/>
    </xf>
    <xf numFmtId="0" fontId="0" fillId="4" borderId="23" xfId="0" applyFill="1" applyBorder="1" applyAlignment="1">
      <alignment horizontal="left" vertical="center"/>
    </xf>
    <xf numFmtId="0" fontId="0" fillId="0" borderId="22" xfId="0" applyBorder="1" applyAlignment="1">
      <alignment vertical="center"/>
    </xf>
    <xf numFmtId="0" fontId="11" fillId="0" borderId="23" xfId="0" applyFont="1" applyBorder="1" applyAlignment="1">
      <alignment horizontal="center"/>
    </xf>
    <xf numFmtId="0" fontId="0" fillId="4" borderId="15" xfId="0" applyFill="1" applyBorder="1" applyAlignment="1">
      <alignment horizontal="left" vertical="center"/>
    </xf>
    <xf numFmtId="0" fontId="11" fillId="0" borderId="23" xfId="0" applyFont="1" applyBorder="1" applyAlignment="1">
      <alignment horizontal="left"/>
    </xf>
    <xf numFmtId="0" fontId="11" fillId="0" borderId="0" xfId="0" applyFont="1" applyAlignment="1">
      <alignment horizontal="center"/>
    </xf>
    <xf numFmtId="0" fontId="11" fillId="0" borderId="0" xfId="0" applyFont="1" applyAlignment="1">
      <alignment horizontal="left"/>
    </xf>
    <xf numFmtId="0" fontId="0" fillId="0" borderId="20" xfId="0" applyBorder="1" applyAlignment="1">
      <alignment horizontal="center"/>
    </xf>
    <xf numFmtId="2" fontId="0" fillId="0" borderId="0" xfId="0" applyNumberFormat="1" applyAlignment="1">
      <alignment horizontal="left"/>
    </xf>
    <xf numFmtId="0" fontId="10" fillId="0" borderId="0" xfId="0" applyFont="1" applyProtection="1">
      <protection locked="0"/>
    </xf>
    <xf numFmtId="0" fontId="0" fillId="0" borderId="19" xfId="0" applyBorder="1"/>
    <xf numFmtId="0" fontId="0" fillId="0" borderId="23" xfId="0" applyBorder="1"/>
    <xf numFmtId="0" fontId="0" fillId="7" borderId="17" xfId="0" applyFill="1" applyBorder="1"/>
    <xf numFmtId="0" fontId="0" fillId="7" borderId="22" xfId="0" applyFill="1" applyBorder="1"/>
    <xf numFmtId="0" fontId="0" fillId="7" borderId="20" xfId="0" applyFill="1" applyBorder="1"/>
    <xf numFmtId="0" fontId="0" fillId="7" borderId="18" xfId="0" applyFill="1" applyBorder="1"/>
    <xf numFmtId="0" fontId="0" fillId="7" borderId="0" xfId="0" applyFill="1"/>
    <xf numFmtId="0" fontId="0" fillId="7" borderId="16" xfId="0" applyFill="1" applyBorder="1"/>
    <xf numFmtId="0" fontId="0" fillId="7" borderId="0" xfId="0" applyFill="1" applyAlignment="1">
      <alignment horizontal="center"/>
    </xf>
    <xf numFmtId="0" fontId="0" fillId="7" borderId="23" xfId="0" applyFill="1" applyBorder="1"/>
    <xf numFmtId="0" fontId="0" fillId="7" borderId="18" xfId="0" applyFill="1" applyBorder="1" applyAlignment="1">
      <alignment horizontal="center"/>
    </xf>
    <xf numFmtId="167" fontId="0" fillId="7" borderId="16" xfId="0" applyNumberFormat="1" applyFill="1" applyBorder="1" applyAlignment="1">
      <alignment horizontal="center"/>
    </xf>
    <xf numFmtId="167" fontId="0" fillId="7" borderId="16" xfId="0" applyNumberFormat="1" applyFill="1" applyBorder="1" applyAlignment="1" applyProtection="1">
      <alignment horizontal="center"/>
      <protection locked="0"/>
    </xf>
    <xf numFmtId="169" fontId="0" fillId="7" borderId="16" xfId="0" applyNumberFormat="1" applyFill="1" applyBorder="1" applyAlignment="1">
      <alignment horizontal="center"/>
    </xf>
    <xf numFmtId="0" fontId="0" fillId="7" borderId="19" xfId="0" applyFill="1" applyBorder="1"/>
    <xf numFmtId="169" fontId="0" fillId="7" borderId="21" xfId="0" applyNumberFormat="1" applyFill="1" applyBorder="1" applyAlignment="1">
      <alignment horizontal="center"/>
    </xf>
    <xf numFmtId="0" fontId="0" fillId="7" borderId="19" xfId="0" applyFill="1" applyBorder="1" applyAlignment="1">
      <alignment horizontal="center"/>
    </xf>
    <xf numFmtId="167" fontId="0" fillId="7" borderId="21" xfId="0" applyNumberFormat="1" applyFill="1" applyBorder="1" applyAlignment="1">
      <alignment horizontal="center"/>
    </xf>
    <xf numFmtId="167" fontId="0" fillId="7" borderId="21" xfId="0" applyNumberFormat="1" applyFill="1" applyBorder="1" applyAlignment="1" applyProtection="1">
      <alignment horizontal="center"/>
      <protection locked="0"/>
    </xf>
    <xf numFmtId="167" fontId="0" fillId="7" borderId="25" xfId="0" applyNumberFormat="1" applyFill="1" applyBorder="1" applyAlignment="1">
      <alignment horizontal="center"/>
    </xf>
    <xf numFmtId="167" fontId="0" fillId="7" borderId="25" xfId="0" applyNumberFormat="1" applyFill="1" applyBorder="1" applyAlignment="1" applyProtection="1">
      <alignment horizontal="center"/>
      <protection locked="0"/>
    </xf>
    <xf numFmtId="0" fontId="0" fillId="7" borderId="21" xfId="0" applyFill="1" applyBorder="1"/>
    <xf numFmtId="0" fontId="0" fillId="2" borderId="56" xfId="0" applyFill="1" applyBorder="1" applyAlignment="1">
      <alignment horizontal="center"/>
    </xf>
    <xf numFmtId="0" fontId="0" fillId="2" borderId="57" xfId="0" applyFill="1" applyBorder="1" applyAlignment="1">
      <alignment horizontal="center"/>
    </xf>
    <xf numFmtId="0" fontId="0" fillId="2" borderId="58" xfId="0" applyFill="1" applyBorder="1"/>
    <xf numFmtId="0" fontId="0" fillId="2" borderId="59" xfId="0" applyFill="1" applyBorder="1"/>
    <xf numFmtId="0" fontId="0" fillId="2" borderId="60" xfId="0" applyFill="1" applyBorder="1"/>
    <xf numFmtId="0" fontId="0" fillId="2" borderId="61" xfId="0" applyFill="1" applyBorder="1"/>
    <xf numFmtId="0" fontId="0" fillId="2" borderId="55" xfId="0" applyFill="1" applyBorder="1"/>
    <xf numFmtId="0" fontId="0" fillId="2" borderId="62" xfId="0" applyFill="1" applyBorder="1"/>
    <xf numFmtId="0" fontId="0" fillId="7" borderId="58" xfId="0" applyFill="1" applyBorder="1"/>
    <xf numFmtId="0" fontId="0" fillId="2" borderId="63" xfId="0" applyFill="1" applyBorder="1"/>
    <xf numFmtId="0" fontId="0" fillId="7" borderId="64" xfId="0" applyFill="1" applyBorder="1"/>
    <xf numFmtId="0" fontId="0" fillId="7" borderId="65" xfId="0" applyFill="1" applyBorder="1"/>
    <xf numFmtId="0" fontId="0" fillId="2" borderId="58" xfId="0" applyFill="1" applyBorder="1" applyAlignment="1">
      <alignment horizontal="center"/>
    </xf>
    <xf numFmtId="0" fontId="0" fillId="4" borderId="66" xfId="0" applyFill="1" applyBorder="1" applyAlignment="1">
      <alignment vertical="center"/>
    </xf>
    <xf numFmtId="0" fontId="1" fillId="0" borderId="24" xfId="0" applyFont="1" applyBorder="1" applyAlignment="1">
      <alignment horizontal="center"/>
    </xf>
    <xf numFmtId="168" fontId="0" fillId="0" borderId="0" xfId="0" applyNumberFormat="1"/>
    <xf numFmtId="0" fontId="0" fillId="4" borderId="16" xfId="0" applyFill="1" applyBorder="1"/>
    <xf numFmtId="0" fontId="0" fillId="4" borderId="0" xfId="0" applyFill="1"/>
    <xf numFmtId="0" fontId="0" fillId="4" borderId="19" xfId="0" applyFill="1" applyBorder="1"/>
    <xf numFmtId="0" fontId="0" fillId="4" borderId="23" xfId="0" applyFill="1" applyBorder="1" applyAlignment="1">
      <alignment horizontal="right"/>
    </xf>
    <xf numFmtId="0" fontId="0" fillId="4" borderId="23" xfId="0" applyFill="1" applyBorder="1"/>
    <xf numFmtId="0" fontId="0" fillId="4" borderId="21" xfId="0" applyFill="1" applyBorder="1"/>
    <xf numFmtId="0" fontId="0" fillId="0" borderId="30" xfId="0" applyBorder="1" applyAlignment="1">
      <alignment horizontal="center"/>
    </xf>
    <xf numFmtId="0" fontId="0" fillId="0" borderId="49" xfId="0" applyBorder="1" applyAlignment="1">
      <alignment horizontal="center"/>
    </xf>
    <xf numFmtId="0" fontId="0" fillId="0" borderId="18" xfId="0" applyBorder="1" applyAlignment="1">
      <alignment horizontal="center"/>
    </xf>
    <xf numFmtId="0" fontId="0" fillId="0" borderId="70" xfId="0" applyBorder="1" applyAlignment="1">
      <alignment horizontal="center"/>
    </xf>
    <xf numFmtId="164" fontId="0" fillId="0" borderId="1" xfId="0" applyNumberFormat="1" applyBorder="1" applyAlignment="1">
      <alignment horizontal="center"/>
    </xf>
    <xf numFmtId="164" fontId="0" fillId="0" borderId="34" xfId="0" applyNumberFormat="1" applyBorder="1" applyAlignment="1">
      <alignment horizontal="center"/>
    </xf>
    <xf numFmtId="0" fontId="0" fillId="0" borderId="34" xfId="0" applyBorder="1" applyAlignment="1">
      <alignment horizontal="center"/>
    </xf>
    <xf numFmtId="0" fontId="0" fillId="0" borderId="58" xfId="0" applyBorder="1"/>
    <xf numFmtId="167" fontId="0" fillId="7" borderId="0" xfId="0" applyNumberFormat="1" applyFill="1" applyAlignment="1">
      <alignment horizontal="center"/>
    </xf>
    <xf numFmtId="167" fontId="0" fillId="7" borderId="0" xfId="0" applyNumberFormat="1" applyFill="1" applyAlignment="1" applyProtection="1">
      <alignment horizontal="center"/>
      <protection locked="0"/>
    </xf>
    <xf numFmtId="0" fontId="13" fillId="0" borderId="16" xfId="0" applyFont="1" applyBorder="1"/>
    <xf numFmtId="1" fontId="13" fillId="0" borderId="0" xfId="0" applyNumberFormat="1" applyFont="1" applyAlignment="1">
      <alignment vertical="center" wrapText="1"/>
    </xf>
    <xf numFmtId="1" fontId="13" fillId="0" borderId="16" xfId="0" applyNumberFormat="1" applyFont="1" applyBorder="1" applyAlignment="1">
      <alignment vertical="center" wrapText="1"/>
    </xf>
    <xf numFmtId="0" fontId="18" fillId="0" borderId="0" xfId="0" applyFont="1"/>
    <xf numFmtId="0" fontId="18" fillId="0" borderId="22" xfId="0" applyFont="1" applyBorder="1"/>
    <xf numFmtId="0" fontId="12" fillId="0" borderId="40" xfId="0" applyFont="1" applyBorder="1" applyAlignment="1">
      <alignment horizontal="center" vertical="center"/>
    </xf>
    <xf numFmtId="2" fontId="12" fillId="3" borderId="3" xfId="0" applyNumberFormat="1" applyFont="1" applyFill="1" applyBorder="1" applyAlignment="1">
      <alignment horizontal="center" vertical="center"/>
    </xf>
    <xf numFmtId="0" fontId="12" fillId="0" borderId="29" xfId="0" applyFont="1" applyBorder="1" applyAlignment="1">
      <alignment horizontal="center" vertical="center"/>
    </xf>
    <xf numFmtId="0" fontId="12" fillId="2" borderId="0" xfId="0" applyFont="1" applyFill="1" applyAlignment="1">
      <alignment horizontal="center" vertical="center"/>
    </xf>
    <xf numFmtId="0" fontId="0" fillId="0" borderId="18" xfId="0" applyBorder="1"/>
    <xf numFmtId="0" fontId="12" fillId="3" borderId="29" xfId="0" applyFont="1" applyFill="1" applyBorder="1" applyAlignment="1">
      <alignment vertical="center"/>
    </xf>
    <xf numFmtId="0" fontId="12" fillId="3" borderId="31" xfId="0" applyFont="1" applyFill="1" applyBorder="1" applyAlignment="1">
      <alignment vertical="center"/>
    </xf>
    <xf numFmtId="0" fontId="12" fillId="3" borderId="33" xfId="0" applyFont="1" applyFill="1" applyBorder="1" applyAlignment="1">
      <alignment vertical="center"/>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1" fontId="13" fillId="0" borderId="8" xfId="0" applyNumberFormat="1" applyFont="1" applyBorder="1" applyAlignment="1">
      <alignment horizontal="center" vertical="center"/>
    </xf>
    <xf numFmtId="0" fontId="12" fillId="3" borderId="84" xfId="0" applyFont="1" applyFill="1" applyBorder="1" applyAlignment="1">
      <alignment horizontal="center" vertical="center" wrapText="1"/>
    </xf>
    <xf numFmtId="2" fontId="12" fillId="3" borderId="32" xfId="0" applyNumberFormat="1" applyFont="1" applyFill="1" applyBorder="1" applyAlignment="1">
      <alignment horizontal="center" vertical="center"/>
    </xf>
    <xf numFmtId="0" fontId="0" fillId="0" borderId="16" xfId="0" applyBorder="1"/>
    <xf numFmtId="0" fontId="1" fillId="0" borderId="1" xfId="0" applyFont="1" applyBorder="1" applyAlignment="1">
      <alignment horizontal="center"/>
    </xf>
    <xf numFmtId="0" fontId="0" fillId="9" borderId="9" xfId="0" applyFill="1" applyBorder="1"/>
    <xf numFmtId="0" fontId="0" fillId="9" borderId="38" xfId="0" applyFill="1" applyBorder="1"/>
    <xf numFmtId="0" fontId="1" fillId="0" borderId="0" xfId="0" applyFont="1"/>
    <xf numFmtId="0" fontId="1" fillId="0" borderId="1" xfId="0" applyFont="1" applyBorder="1"/>
    <xf numFmtId="2" fontId="12" fillId="3" borderId="5" xfId="0" applyNumberFormat="1" applyFont="1" applyFill="1" applyBorder="1" applyAlignment="1">
      <alignment horizontal="center" vertical="center"/>
    </xf>
    <xf numFmtId="0" fontId="12" fillId="3" borderId="7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74" xfId="0" applyFont="1" applyFill="1" applyBorder="1" applyAlignment="1">
      <alignment horizontal="center" vertical="center" wrapText="1"/>
    </xf>
    <xf numFmtId="1" fontId="13" fillId="0" borderId="1" xfId="0" applyNumberFormat="1" applyFont="1" applyBorder="1" applyAlignment="1">
      <alignment horizontal="center" vertical="center"/>
    </xf>
    <xf numFmtId="164" fontId="0" fillId="0" borderId="49" xfId="0" applyNumberFormat="1" applyBorder="1" applyAlignment="1">
      <alignment horizontal="center"/>
    </xf>
    <xf numFmtId="2" fontId="13" fillId="0" borderId="83" xfId="0" applyNumberFormat="1" applyFont="1" applyBorder="1" applyAlignment="1">
      <alignment horizontal="center" vertical="center"/>
    </xf>
    <xf numFmtId="0" fontId="12" fillId="0" borderId="1" xfId="0" applyFont="1" applyBorder="1" applyAlignment="1">
      <alignment horizontal="center" vertical="center"/>
    </xf>
    <xf numFmtId="0" fontId="0" fillId="0" borderId="11" xfId="0" applyBorder="1" applyAlignment="1">
      <alignment horizontal="center"/>
    </xf>
    <xf numFmtId="0" fontId="0" fillId="0" borderId="13" xfId="0" applyBorder="1" applyAlignment="1">
      <alignment horizontal="center"/>
    </xf>
    <xf numFmtId="0" fontId="0" fillId="0" borderId="89" xfId="0" applyBorder="1" applyAlignment="1">
      <alignment horizontal="center"/>
    </xf>
    <xf numFmtId="0" fontId="0" fillId="0" borderId="49" xfId="0" applyBorder="1" applyAlignment="1">
      <alignment horizontal="center" vertical="center"/>
    </xf>
    <xf numFmtId="0" fontId="0" fillId="0" borderId="38" xfId="0" applyBorder="1" applyAlignment="1">
      <alignment horizontal="center"/>
    </xf>
    <xf numFmtId="164" fontId="0" fillId="0" borderId="89" xfId="0" applyNumberFormat="1" applyBorder="1" applyAlignment="1">
      <alignment horizontal="center"/>
    </xf>
    <xf numFmtId="0" fontId="12" fillId="0" borderId="10" xfId="0" applyFont="1" applyBorder="1" applyAlignment="1">
      <alignment horizontal="center" vertical="center"/>
    </xf>
    <xf numFmtId="0" fontId="0" fillId="9" borderId="10" xfId="0" applyFill="1" applyBorder="1"/>
    <xf numFmtId="1" fontId="13" fillId="0" borderId="10" xfId="0" applyNumberFormat="1" applyFont="1" applyBorder="1" applyAlignment="1">
      <alignment horizontal="center" vertical="center"/>
    </xf>
    <xf numFmtId="2" fontId="13" fillId="5" borderId="10" xfId="0" applyNumberFormat="1" applyFont="1" applyFill="1" applyBorder="1" applyAlignment="1">
      <alignment horizontal="center" vertical="center"/>
    </xf>
    <xf numFmtId="2" fontId="12" fillId="3" borderId="38" xfId="0" applyNumberFormat="1" applyFont="1" applyFill="1" applyBorder="1" applyAlignment="1">
      <alignment horizontal="center" vertical="center"/>
    </xf>
    <xf numFmtId="0" fontId="0" fillId="0" borderId="36" xfId="0" applyBorder="1" applyAlignment="1">
      <alignment horizontal="center"/>
    </xf>
    <xf numFmtId="0" fontId="0" fillId="0" borderId="40" xfId="0" applyBorder="1" applyAlignment="1">
      <alignment horizontal="center"/>
    </xf>
    <xf numFmtId="0" fontId="0" fillId="0" borderId="93" xfId="0" applyBorder="1" applyAlignment="1">
      <alignment horizontal="center"/>
    </xf>
    <xf numFmtId="0" fontId="0" fillId="0" borderId="94" xfId="0" applyBorder="1" applyAlignment="1">
      <alignment horizontal="center"/>
    </xf>
    <xf numFmtId="171" fontId="1" fillId="5" borderId="32"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vertical="center"/>
    </xf>
    <xf numFmtId="0" fontId="12" fillId="3" borderId="38" xfId="0" applyFont="1" applyFill="1" applyBorder="1" applyAlignment="1">
      <alignment horizontal="center" vertical="center"/>
    </xf>
    <xf numFmtId="0" fontId="0" fillId="0" borderId="5" xfId="0" applyBorder="1" applyAlignment="1">
      <alignment horizontal="center"/>
    </xf>
    <xf numFmtId="0" fontId="17" fillId="0" borderId="0" xfId="0" applyFont="1" applyAlignment="1">
      <alignment horizontal="center"/>
    </xf>
    <xf numFmtId="0" fontId="13" fillId="2" borderId="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164" fontId="0" fillId="2" borderId="25" xfId="0" applyNumberFormat="1" applyFill="1" applyBorder="1" applyAlignment="1">
      <alignment horizontal="left"/>
    </xf>
    <xf numFmtId="0" fontId="12" fillId="3" borderId="10" xfId="0" applyFont="1" applyFill="1" applyBorder="1" applyAlignment="1">
      <alignment horizontal="left" vertical="center"/>
    </xf>
    <xf numFmtId="0" fontId="12" fillId="3" borderId="9" xfId="0" applyFont="1" applyFill="1" applyBorder="1" applyAlignment="1">
      <alignment horizontal="left" vertical="center"/>
    </xf>
    <xf numFmtId="1" fontId="0" fillId="0" borderId="0" xfId="0" applyNumberFormat="1"/>
    <xf numFmtId="0" fontId="0" fillId="10" borderId="17" xfId="0" applyFill="1" applyBorder="1"/>
    <xf numFmtId="0" fontId="0" fillId="10" borderId="22" xfId="0" applyFill="1" applyBorder="1" applyAlignment="1">
      <alignment horizontal="center"/>
    </xf>
    <xf numFmtId="0" fontId="0" fillId="10" borderId="22" xfId="0" applyFill="1" applyBorder="1"/>
    <xf numFmtId="0" fontId="0" fillId="10" borderId="20" xfId="0" applyFill="1" applyBorder="1"/>
    <xf numFmtId="0" fontId="0" fillId="10" borderId="19" xfId="0" applyFill="1" applyBorder="1"/>
    <xf numFmtId="0" fontId="0" fillId="10" borderId="23" xfId="0" applyFill="1" applyBorder="1" applyAlignment="1">
      <alignment horizontal="center"/>
    </xf>
    <xf numFmtId="0" fontId="0" fillId="10" borderId="23" xfId="0" applyFill="1" applyBorder="1"/>
    <xf numFmtId="0" fontId="0" fillId="10" borderId="21" xfId="0" applyFill="1" applyBorder="1"/>
    <xf numFmtId="0" fontId="16" fillId="0" borderId="0" xfId="0" applyFont="1" applyAlignment="1">
      <alignment horizontal="left"/>
    </xf>
    <xf numFmtId="0" fontId="0" fillId="0" borderId="95" xfId="0" applyBorder="1" applyAlignment="1">
      <alignment horizontal="center"/>
    </xf>
    <xf numFmtId="164" fontId="0" fillId="0" borderId="70" xfId="0" applyNumberFormat="1" applyBorder="1" applyAlignment="1">
      <alignment horizontal="center"/>
    </xf>
    <xf numFmtId="0" fontId="0" fillId="7" borderId="36" xfId="0" applyFill="1" applyBorder="1" applyAlignment="1">
      <alignment horizontal="left"/>
    </xf>
    <xf numFmtId="0" fontId="0" fillId="7" borderId="2" xfId="0" applyFill="1" applyBorder="1" applyAlignment="1">
      <alignment horizontal="left"/>
    </xf>
    <xf numFmtId="0" fontId="0" fillId="7" borderId="37" xfId="0" applyFill="1" applyBorder="1" applyAlignment="1">
      <alignment horizontal="left"/>
    </xf>
    <xf numFmtId="172" fontId="18" fillId="0" borderId="0" xfId="0" applyNumberFormat="1" applyFont="1"/>
    <xf numFmtId="172" fontId="0" fillId="0" borderId="0" xfId="0" applyNumberFormat="1"/>
    <xf numFmtId="0" fontId="0" fillId="11" borderId="96" xfId="0" applyFill="1" applyBorder="1" applyAlignment="1" applyProtection="1">
      <alignment horizontal="center" vertical="center"/>
      <protection locked="0"/>
    </xf>
    <xf numFmtId="0" fontId="0" fillId="11" borderId="5" xfId="0" applyFill="1" applyBorder="1" applyAlignment="1" applyProtection="1">
      <alignment horizontal="center" vertical="center"/>
      <protection locked="0"/>
    </xf>
    <xf numFmtId="0" fontId="0" fillId="11" borderId="97" xfId="0" applyFill="1" applyBorder="1" applyAlignment="1" applyProtection="1">
      <alignment horizontal="center" vertical="center"/>
      <protection locked="0"/>
    </xf>
    <xf numFmtId="0" fontId="0" fillId="11" borderId="98" xfId="0" applyFill="1" applyBorder="1" applyAlignment="1" applyProtection="1">
      <alignment horizontal="center" vertical="center"/>
      <protection locked="0"/>
    </xf>
    <xf numFmtId="0" fontId="0" fillId="11" borderId="1" xfId="0" applyFill="1" applyBorder="1" applyAlignment="1" applyProtection="1">
      <alignment horizontal="center" vertical="center"/>
      <protection locked="0"/>
    </xf>
    <xf numFmtId="0" fontId="0" fillId="11" borderId="99" xfId="0" applyFill="1" applyBorder="1" applyAlignment="1" applyProtection="1">
      <alignment horizontal="center" vertical="center"/>
      <protection locked="0"/>
    </xf>
    <xf numFmtId="0" fontId="20" fillId="0" borderId="0" xfId="0" applyFont="1" applyAlignment="1">
      <alignment horizontal="center" vertical="center" wrapText="1"/>
    </xf>
    <xf numFmtId="0" fontId="0" fillId="0" borderId="9" xfId="0" applyBorder="1"/>
    <xf numFmtId="0" fontId="0" fillId="0" borderId="10" xfId="0" applyBorder="1"/>
    <xf numFmtId="0" fontId="11" fillId="5" borderId="100" xfId="0" applyFont="1" applyFill="1" applyBorder="1" applyAlignment="1" applyProtection="1">
      <alignment horizontal="center" vertical="center"/>
      <protection locked="0"/>
    </xf>
    <xf numFmtId="0" fontId="11" fillId="0" borderId="0" xfId="0" applyFont="1" applyAlignment="1" applyProtection="1">
      <alignment horizontal="right" vertical="center"/>
      <protection locked="0"/>
    </xf>
    <xf numFmtId="0" fontId="0" fillId="0" borderId="15" xfId="0" applyBorder="1" applyAlignment="1" applyProtection="1">
      <alignment horizontal="center" vertical="center"/>
      <protection locked="0"/>
    </xf>
    <xf numFmtId="0" fontId="0" fillId="0" borderId="101" xfId="0" applyBorder="1"/>
    <xf numFmtId="0" fontId="1" fillId="13" borderId="1" xfId="0" applyFont="1" applyFill="1" applyBorder="1" applyAlignment="1" applyProtection="1">
      <alignment horizontal="center" vertical="center"/>
      <protection locked="0"/>
    </xf>
    <xf numFmtId="0" fontId="0" fillId="13" borderId="1" xfId="0" applyFill="1" applyBorder="1"/>
    <xf numFmtId="0" fontId="1" fillId="13" borderId="1" xfId="0" applyFont="1" applyFill="1" applyBorder="1" applyAlignment="1">
      <alignment horizontal="center" wrapText="1"/>
    </xf>
    <xf numFmtId="0" fontId="0" fillId="0" borderId="11" xfId="0" applyBorder="1"/>
    <xf numFmtId="0" fontId="0" fillId="0" borderId="99" xfId="0" applyBorder="1"/>
    <xf numFmtId="0" fontId="11" fillId="5" borderId="0" xfId="0" applyFont="1" applyFill="1" applyAlignment="1">
      <alignment horizontal="left"/>
    </xf>
    <xf numFmtId="0" fontId="0" fillId="0" borderId="0" xfId="0" applyAlignment="1">
      <alignment wrapText="1"/>
    </xf>
    <xf numFmtId="164" fontId="0" fillId="0" borderId="0" xfId="0" applyNumberFormat="1" applyAlignment="1">
      <alignment horizontal="left" vertical="center"/>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164" fontId="0" fillId="0" borderId="32" xfId="0" applyNumberFormat="1" applyBorder="1" applyAlignment="1">
      <alignment horizontal="center" vertical="center"/>
    </xf>
    <xf numFmtId="164" fontId="0" fillId="0" borderId="1" xfId="0" applyNumberFormat="1" applyBorder="1" applyAlignment="1">
      <alignment horizontal="center" vertical="center"/>
    </xf>
    <xf numFmtId="164" fontId="0" fillId="14" borderId="32" xfId="0" applyNumberFormat="1" applyFill="1" applyBorder="1" applyAlignment="1">
      <alignment horizontal="center" vertical="center"/>
    </xf>
    <xf numFmtId="0" fontId="11" fillId="5" borderId="0" xfId="0" applyFont="1" applyFill="1" applyAlignment="1">
      <alignment horizontal="center"/>
    </xf>
    <xf numFmtId="0" fontId="0" fillId="0" borderId="18" xfId="0"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6" fillId="14" borderId="24" xfId="0" applyFont="1" applyFill="1" applyBorder="1" applyAlignment="1">
      <alignment horizontal="center" vertical="center" wrapText="1"/>
    </xf>
    <xf numFmtId="0" fontId="16" fillId="14" borderId="26" xfId="0" applyFont="1" applyFill="1" applyBorder="1" applyAlignment="1">
      <alignment horizontal="center" vertical="center" wrapText="1"/>
    </xf>
    <xf numFmtId="0" fontId="0" fillId="14" borderId="40" xfId="0" applyFill="1" applyBorder="1" applyAlignment="1">
      <alignment horizontal="left" vertical="center"/>
    </xf>
    <xf numFmtId="0" fontId="1" fillId="14" borderId="11" xfId="0" applyFont="1" applyFill="1" applyBorder="1" applyAlignment="1">
      <alignment horizontal="left" vertical="center"/>
    </xf>
    <xf numFmtId="0" fontId="16" fillId="14" borderId="28" xfId="0" applyFont="1" applyFill="1" applyBorder="1" applyAlignment="1">
      <alignment horizontal="center" vertical="center" wrapText="1"/>
    </xf>
    <xf numFmtId="0" fontId="0" fillId="14" borderId="19" xfId="0" applyFill="1" applyBorder="1" applyAlignment="1">
      <alignment horizontal="left" vertical="center"/>
    </xf>
    <xf numFmtId="0" fontId="0" fillId="14" borderId="23" xfId="0" applyFill="1" applyBorder="1"/>
    <xf numFmtId="0" fontId="0" fillId="14" borderId="44" xfId="0" applyFill="1" applyBorder="1"/>
    <xf numFmtId="0" fontId="0" fillId="14" borderId="21" xfId="0" applyFill="1" applyBorder="1"/>
    <xf numFmtId="0" fontId="16" fillId="0" borderId="16" xfId="0" applyFont="1" applyBorder="1" applyAlignment="1">
      <alignment horizontal="center" vertical="center" wrapText="1"/>
    </xf>
    <xf numFmtId="164" fontId="11" fillId="0" borderId="49" xfId="0" applyNumberFormat="1" applyFont="1" applyBorder="1" applyAlignment="1">
      <alignment horizontal="center" vertical="center"/>
    </xf>
    <xf numFmtId="0" fontId="0" fillId="14" borderId="47" xfId="0" applyFill="1" applyBorder="1" applyAlignment="1">
      <alignment horizontal="left" vertical="center"/>
    </xf>
    <xf numFmtId="164" fontId="11" fillId="14" borderId="49" xfId="0" applyNumberFormat="1" applyFont="1" applyFill="1" applyBorder="1" applyAlignment="1">
      <alignment horizontal="center" vertical="center"/>
    </xf>
    <xf numFmtId="164" fontId="0" fillId="14" borderId="1" xfId="0" applyNumberFormat="1" applyFill="1" applyBorder="1" applyAlignment="1">
      <alignment horizontal="center" vertical="center"/>
    </xf>
    <xf numFmtId="0" fontId="5" fillId="0" borderId="0" xfId="1" applyAlignment="1" applyProtection="1">
      <alignment horizontal="center" vertical="center"/>
    </xf>
    <xf numFmtId="0" fontId="12" fillId="5" borderId="40" xfId="0" applyFont="1" applyFill="1" applyBorder="1" applyAlignment="1" applyProtection="1">
      <alignment horizontal="center" vertical="center"/>
      <protection locked="0"/>
    </xf>
    <xf numFmtId="0" fontId="12" fillId="5" borderId="10" xfId="0" applyFont="1" applyFill="1" applyBorder="1" applyAlignment="1" applyProtection="1">
      <alignment horizontal="center" vertical="center"/>
      <protection locked="0"/>
    </xf>
    <xf numFmtId="164" fontId="13" fillId="5" borderId="1" xfId="0" applyNumberFormat="1" applyFont="1" applyFill="1" applyBorder="1" applyAlignment="1" applyProtection="1">
      <alignment horizontal="center" vertical="center"/>
      <protection locked="0"/>
    </xf>
    <xf numFmtId="164" fontId="13" fillId="5" borderId="32"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2" fontId="13" fillId="0" borderId="9" xfId="0" applyNumberFormat="1" applyFont="1" applyBorder="1" applyAlignment="1">
      <alignment horizontal="center" vertical="center"/>
    </xf>
    <xf numFmtId="2" fontId="13" fillId="0" borderId="10" xfId="0" applyNumberFormat="1" applyFont="1" applyBorder="1" applyAlignment="1">
      <alignment horizontal="center" vertical="center"/>
    </xf>
    <xf numFmtId="2" fontId="13" fillId="0" borderId="11" xfId="0" applyNumberFormat="1"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3"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5" borderId="9" xfId="0" applyFont="1" applyFill="1" applyBorder="1" applyAlignment="1" applyProtection="1">
      <alignment horizontal="center" vertical="center"/>
      <protection locked="0"/>
    </xf>
    <xf numFmtId="1" fontId="13" fillId="0" borderId="3" xfId="0" applyNumberFormat="1" applyFont="1" applyBorder="1" applyAlignment="1">
      <alignment horizontal="center" vertical="center"/>
    </xf>
    <xf numFmtId="1" fontId="13" fillId="0" borderId="5" xfId="0" applyNumberFormat="1" applyFont="1" applyBorder="1" applyAlignment="1">
      <alignment horizontal="center" vertical="center"/>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2" xfId="0" applyFont="1" applyFill="1" applyBorder="1" applyAlignment="1">
      <alignment horizontal="center" vertical="center" wrapText="1"/>
    </xf>
    <xf numFmtId="2" fontId="12" fillId="2" borderId="8" xfId="0" applyNumberFormat="1" applyFont="1" applyFill="1" applyBorder="1" applyAlignment="1">
      <alignment horizontal="center" vertical="center" wrapText="1"/>
    </xf>
    <xf numFmtId="2" fontId="12" fillId="2" borderId="2" xfId="0" applyNumberFormat="1" applyFont="1" applyFill="1" applyBorder="1" applyAlignment="1">
      <alignment horizontal="center" vertical="center" wrapText="1"/>
    </xf>
    <xf numFmtId="2" fontId="12" fillId="2" borderId="13" xfId="0" applyNumberFormat="1" applyFont="1" applyFill="1" applyBorder="1" applyAlignment="1">
      <alignment horizontal="center" vertical="center" wrapText="1"/>
    </xf>
    <xf numFmtId="0" fontId="12" fillId="3" borderId="12" xfId="0"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protection locked="0"/>
    </xf>
    <xf numFmtId="164" fontId="13" fillId="5" borderId="10" xfId="0" applyNumberFormat="1" applyFont="1" applyFill="1" applyBorder="1" applyAlignment="1" applyProtection="1">
      <alignment horizontal="center" vertical="center"/>
      <protection locked="0"/>
    </xf>
    <xf numFmtId="164" fontId="13" fillId="5" borderId="11"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32" xfId="0" applyFont="1" applyBorder="1" applyAlignment="1">
      <alignment horizontal="center" vertical="center" wrapText="1"/>
    </xf>
    <xf numFmtId="0" fontId="12" fillId="3" borderId="7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74"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77"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5" borderId="9" xfId="0" applyFont="1" applyFill="1" applyBorder="1" applyAlignment="1" applyProtection="1">
      <alignment horizontal="left" vertical="center" wrapText="1"/>
      <protection locked="0"/>
    </xf>
    <xf numFmtId="0" fontId="13" fillId="5" borderId="10" xfId="0" applyFont="1" applyFill="1" applyBorder="1" applyAlignment="1" applyProtection="1">
      <alignment horizontal="left" vertical="center" wrapText="1"/>
      <protection locked="0"/>
    </xf>
    <xf numFmtId="0" fontId="13" fillId="5" borderId="38" xfId="0" applyFont="1" applyFill="1" applyBorder="1" applyAlignment="1" applyProtection="1">
      <alignment horizontal="left" vertical="center" wrapText="1"/>
      <protection locked="0"/>
    </xf>
    <xf numFmtId="0" fontId="12" fillId="2" borderId="40"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3" fillId="5" borderId="9" xfId="0" applyFont="1" applyFill="1" applyBorder="1" applyAlignment="1" applyProtection="1">
      <alignment horizontal="left" vertical="center"/>
      <protection locked="0"/>
    </xf>
    <xf numFmtId="0" fontId="13" fillId="5" borderId="10" xfId="0" applyFont="1" applyFill="1" applyBorder="1" applyAlignment="1" applyProtection="1">
      <alignment horizontal="left" vertical="center"/>
      <protection locked="0"/>
    </xf>
    <xf numFmtId="0" fontId="13" fillId="5" borderId="11" xfId="0" applyFont="1" applyFill="1" applyBorder="1" applyAlignment="1" applyProtection="1">
      <alignment horizontal="left" vertical="center"/>
      <protection locked="0"/>
    </xf>
    <xf numFmtId="0" fontId="12" fillId="3" borderId="1"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42"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13" xfId="0" applyFont="1" applyFill="1" applyBorder="1" applyAlignment="1">
      <alignment horizontal="center" vertical="center" wrapText="1"/>
    </xf>
    <xf numFmtId="166" fontId="12" fillId="5" borderId="40" xfId="0" applyNumberFormat="1" applyFont="1" applyFill="1" applyBorder="1" applyAlignment="1" applyProtection="1">
      <alignment horizontal="center" vertical="center"/>
      <protection locked="0"/>
    </xf>
    <xf numFmtId="166" fontId="12" fillId="5" borderId="10" xfId="0" applyNumberFormat="1"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protection locked="0"/>
    </xf>
    <xf numFmtId="0" fontId="12" fillId="5" borderId="38" xfId="0" applyFont="1" applyFill="1" applyBorder="1" applyAlignment="1" applyProtection="1">
      <alignment horizontal="center" vertical="center"/>
      <protection locked="0"/>
    </xf>
    <xf numFmtId="0" fontId="12" fillId="3" borderId="1"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7" xfId="0" applyFont="1" applyBorder="1" applyAlignment="1">
      <alignment horizontal="center" vertical="center" wrapText="1"/>
    </xf>
    <xf numFmtId="0" fontId="12" fillId="0" borderId="39" xfId="0" applyFont="1" applyBorder="1" applyAlignment="1">
      <alignment horizontal="center" vertical="center"/>
    </xf>
    <xf numFmtId="0" fontId="12" fillId="0" borderId="29" xfId="0" applyFont="1" applyBorder="1" applyAlignment="1">
      <alignment horizontal="center" vertical="center"/>
    </xf>
    <xf numFmtId="0" fontId="12" fillId="3" borderId="42"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2" xfId="0" applyFont="1" applyFill="1" applyBorder="1" applyAlignment="1">
      <alignment horizontal="center" vertical="center"/>
    </xf>
    <xf numFmtId="9" fontId="12" fillId="0" borderId="5" xfId="0" applyNumberFormat="1" applyFont="1" applyBorder="1" applyAlignment="1">
      <alignment horizontal="center" vertical="center"/>
    </xf>
    <xf numFmtId="9" fontId="12" fillId="0" borderId="30" xfId="0" applyNumberFormat="1" applyFont="1" applyBorder="1" applyAlignment="1">
      <alignment horizontal="center" vertical="center"/>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0" borderId="32" xfId="0" applyFont="1" applyBorder="1" applyAlignment="1">
      <alignment horizontal="center" vertical="center"/>
    </xf>
    <xf numFmtId="0" fontId="12" fillId="2" borderId="3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0" xfId="0" applyFont="1" applyFill="1" applyAlignment="1">
      <alignment horizontal="center" vertical="center"/>
    </xf>
    <xf numFmtId="0" fontId="12" fillId="2" borderId="16"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6" xfId="0" applyFont="1" applyFill="1" applyBorder="1" applyAlignment="1">
      <alignment horizontal="center" vertical="center"/>
    </xf>
    <xf numFmtId="173" fontId="12" fillId="5" borderId="1" xfId="0" applyNumberFormat="1" applyFont="1" applyFill="1" applyBorder="1" applyAlignment="1" applyProtection="1">
      <alignment horizontal="center" vertical="center"/>
      <protection locked="0"/>
    </xf>
    <xf numFmtId="0" fontId="12" fillId="0" borderId="39" xfId="0" applyFont="1" applyBorder="1" applyAlignment="1">
      <alignment horizontal="center" vertical="center" wrapText="1"/>
    </xf>
    <xf numFmtId="0" fontId="12" fillId="0" borderId="29" xfId="0" applyFont="1" applyBorder="1" applyAlignment="1">
      <alignment horizontal="center" vertical="center" wrapText="1"/>
    </xf>
    <xf numFmtId="0" fontId="12" fillId="3" borderId="4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1" xfId="0" applyFont="1" applyFill="1" applyBorder="1" applyAlignment="1">
      <alignment horizontal="center" vertical="center"/>
    </xf>
    <xf numFmtId="0" fontId="12" fillId="3" borderId="31" xfId="0" applyFont="1" applyFill="1" applyBorder="1" applyAlignment="1">
      <alignment horizontal="center" vertical="center"/>
    </xf>
    <xf numFmtId="0" fontId="18" fillId="0" borderId="0" xfId="0" applyFont="1" applyAlignment="1">
      <alignment horizontal="lef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164" fontId="13" fillId="5" borderId="8" xfId="0" applyNumberFormat="1" applyFont="1" applyFill="1" applyBorder="1" applyAlignment="1" applyProtection="1">
      <alignment horizontal="center" vertical="center"/>
      <protection locked="0"/>
    </xf>
    <xf numFmtId="164" fontId="13" fillId="5" borderId="2" xfId="0" applyNumberFormat="1" applyFont="1" applyFill="1" applyBorder="1" applyAlignment="1" applyProtection="1">
      <alignment horizontal="center" vertical="center"/>
      <protection locked="0"/>
    </xf>
    <xf numFmtId="164" fontId="13" fillId="5" borderId="13" xfId="0" applyNumberFormat="1" applyFont="1" applyFill="1" applyBorder="1" applyAlignment="1" applyProtection="1">
      <alignment horizontal="center" vertical="center"/>
      <protection locked="0"/>
    </xf>
    <xf numFmtId="164" fontId="13" fillId="5" borderId="7" xfId="0" applyNumberFormat="1" applyFont="1" applyFill="1" applyBorder="1" applyAlignment="1" applyProtection="1">
      <alignment horizontal="center" vertical="center"/>
      <protection locked="0"/>
    </xf>
    <xf numFmtId="164" fontId="13" fillId="5" borderId="6" xfId="0" applyNumberFormat="1" applyFont="1" applyFill="1" applyBorder="1" applyAlignment="1" applyProtection="1">
      <alignment horizontal="center" vertical="center"/>
      <protection locked="0"/>
    </xf>
    <xf numFmtId="164" fontId="13" fillId="5" borderId="12" xfId="0" applyNumberFormat="1" applyFont="1" applyFill="1" applyBorder="1" applyAlignment="1" applyProtection="1">
      <alignment horizontal="center" vertical="center"/>
      <protection locked="0"/>
    </xf>
    <xf numFmtId="0" fontId="18" fillId="0" borderId="0" xfId="0" applyFont="1" applyAlignment="1">
      <alignment horizontal="left"/>
    </xf>
    <xf numFmtId="0" fontId="12" fillId="0" borderId="40" xfId="0" applyFont="1" applyBorder="1" applyAlignment="1">
      <alignment horizontal="center" vertical="center"/>
    </xf>
    <xf numFmtId="0" fontId="12" fillId="0" borderId="10"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2" fontId="12" fillId="3" borderId="3" xfId="0" applyNumberFormat="1" applyFont="1" applyFill="1" applyBorder="1" applyAlignment="1">
      <alignment horizontal="center" vertical="center"/>
    </xf>
    <xf numFmtId="2" fontId="12" fillId="3" borderId="5" xfId="0" applyNumberFormat="1" applyFont="1" applyFill="1" applyBorder="1" applyAlignment="1">
      <alignment horizontal="center" vertical="center"/>
    </xf>
    <xf numFmtId="0" fontId="13" fillId="3" borderId="40"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 fillId="5" borderId="43" xfId="0" applyFont="1" applyFill="1" applyBorder="1" applyAlignment="1" applyProtection="1">
      <alignment horizontal="center" vertical="center"/>
      <protection locked="0"/>
    </xf>
    <xf numFmtId="0" fontId="1" fillId="5" borderId="54"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44" xfId="0" applyFont="1" applyFill="1" applyBorder="1" applyAlignment="1" applyProtection="1">
      <alignment horizontal="center" vertical="center"/>
      <protection locked="0"/>
    </xf>
    <xf numFmtId="0" fontId="1" fillId="0" borderId="81" xfId="0" applyFont="1" applyBorder="1" applyAlignment="1">
      <alignment horizontal="center" vertical="center" wrapText="1"/>
    </xf>
    <xf numFmtId="0" fontId="1" fillId="0" borderId="82" xfId="0" applyFont="1" applyBorder="1" applyAlignment="1">
      <alignment horizontal="center" vertical="center" wrapText="1"/>
    </xf>
    <xf numFmtId="0" fontId="1" fillId="9" borderId="78" xfId="0" applyFont="1" applyFill="1" applyBorder="1" applyAlignment="1">
      <alignment horizontal="center"/>
    </xf>
    <xf numFmtId="0" fontId="1" fillId="9" borderId="79" xfId="0" applyFont="1" applyFill="1" applyBorder="1" applyAlignment="1">
      <alignment horizontal="center"/>
    </xf>
    <xf numFmtId="0" fontId="1" fillId="9" borderId="80" xfId="0" applyFont="1" applyFill="1" applyBorder="1" applyAlignment="1">
      <alignment horizontal="center"/>
    </xf>
    <xf numFmtId="0" fontId="12" fillId="0" borderId="18" xfId="0" applyFont="1" applyBorder="1" applyAlignment="1">
      <alignment horizontal="center" vertical="center"/>
    </xf>
    <xf numFmtId="0" fontId="12" fillId="0" borderId="0" xfId="0" applyFont="1" applyAlignment="1">
      <alignment horizontal="center" vertical="center"/>
    </xf>
    <xf numFmtId="164" fontId="15" fillId="5" borderId="9" xfId="0" applyNumberFormat="1" applyFont="1" applyFill="1" applyBorder="1" applyAlignment="1" applyProtection="1">
      <alignment horizontal="center" vertical="center"/>
      <protection locked="0"/>
    </xf>
    <xf numFmtId="164" fontId="15" fillId="5" borderId="10" xfId="0" applyNumberFormat="1" applyFont="1" applyFill="1" applyBorder="1" applyAlignment="1" applyProtection="1">
      <alignment horizontal="center" vertical="center"/>
      <protection locked="0"/>
    </xf>
    <xf numFmtId="164" fontId="15" fillId="5" borderId="11" xfId="0" applyNumberFormat="1" applyFont="1" applyFill="1" applyBorder="1" applyAlignment="1" applyProtection="1">
      <alignment horizontal="center" vertical="center"/>
      <protection locked="0"/>
    </xf>
    <xf numFmtId="0" fontId="12" fillId="5" borderId="69" xfId="0" applyFont="1" applyFill="1" applyBorder="1" applyAlignment="1" applyProtection="1">
      <alignment horizontal="center" vertical="center"/>
      <protection locked="0"/>
    </xf>
    <xf numFmtId="0" fontId="12" fillId="5" borderId="87" xfId="0" applyFont="1" applyFill="1" applyBorder="1" applyAlignment="1" applyProtection="1">
      <alignment horizontal="center" vertical="center"/>
      <protection locked="0"/>
    </xf>
    <xf numFmtId="0" fontId="12" fillId="5" borderId="88" xfId="0" applyFont="1" applyFill="1" applyBorder="1" applyAlignment="1" applyProtection="1">
      <alignment horizontal="center" vertical="center"/>
      <protection locked="0"/>
    </xf>
    <xf numFmtId="0" fontId="12" fillId="3" borderId="9"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5" fillId="5" borderId="9" xfId="1" applyFill="1" applyBorder="1" applyAlignment="1" applyProtection="1">
      <alignment vertical="center"/>
      <protection locked="0"/>
    </xf>
    <xf numFmtId="0" fontId="1" fillId="5" borderId="10" xfId="0" applyFont="1" applyFill="1" applyBorder="1" applyAlignment="1" applyProtection="1">
      <alignment vertical="center"/>
      <protection locked="0"/>
    </xf>
    <xf numFmtId="0" fontId="1" fillId="5" borderId="38" xfId="0" applyFont="1" applyFill="1" applyBorder="1" applyAlignment="1" applyProtection="1">
      <alignment vertical="center"/>
      <protection locked="0"/>
    </xf>
    <xf numFmtId="0" fontId="5" fillId="5" borderId="43" xfId="1" applyFill="1" applyBorder="1" applyAlignment="1" applyProtection="1">
      <alignment horizontal="left" vertical="center"/>
      <protection locked="0"/>
    </xf>
    <xf numFmtId="0" fontId="1" fillId="5" borderId="44" xfId="0" applyFont="1" applyFill="1" applyBorder="1" applyAlignment="1" applyProtection="1">
      <alignment horizontal="left" vertical="center"/>
      <protection locked="0"/>
    </xf>
    <xf numFmtId="0" fontId="1" fillId="5" borderId="72" xfId="0" applyFont="1" applyFill="1" applyBorder="1" applyAlignment="1" applyProtection="1">
      <alignment horizontal="left" vertical="center"/>
      <protection locked="0"/>
    </xf>
    <xf numFmtId="2" fontId="12" fillId="2" borderId="9" xfId="0" applyNumberFormat="1" applyFont="1" applyFill="1" applyBorder="1" applyAlignment="1">
      <alignment horizontal="center" vertical="center" wrapText="1"/>
    </xf>
    <xf numFmtId="2" fontId="12" fillId="2" borderId="10" xfId="0" applyNumberFormat="1" applyFont="1" applyFill="1" applyBorder="1" applyAlignment="1">
      <alignment horizontal="center" vertical="center" wrapText="1"/>
    </xf>
    <xf numFmtId="2" fontId="12" fillId="2" borderId="11" xfId="0" applyNumberFormat="1" applyFont="1" applyFill="1" applyBorder="1" applyAlignment="1">
      <alignment horizontal="center" vertical="center" wrapText="1"/>
    </xf>
    <xf numFmtId="9" fontId="13" fillId="0" borderId="90" xfId="0" applyNumberFormat="1" applyFont="1" applyBorder="1" applyAlignment="1">
      <alignment horizontal="center" vertical="center"/>
    </xf>
    <xf numFmtId="9" fontId="13" fillId="0" borderId="91" xfId="0" applyNumberFormat="1" applyFont="1" applyBorder="1" applyAlignment="1">
      <alignment horizontal="center" vertical="center"/>
    </xf>
    <xf numFmtId="9" fontId="13" fillId="0" borderId="92" xfId="0" applyNumberFormat="1" applyFont="1" applyBorder="1" applyAlignment="1">
      <alignment horizontal="center" vertical="center"/>
    </xf>
    <xf numFmtId="0" fontId="1" fillId="0" borderId="1" xfId="0" applyFont="1" applyBorder="1" applyAlignment="1">
      <alignment horizontal="center"/>
    </xf>
    <xf numFmtId="0" fontId="0" fillId="5" borderId="1" xfId="0" applyFill="1" applyBorder="1" applyAlignment="1" applyProtection="1">
      <alignment horizontal="center"/>
      <protection locked="0"/>
    </xf>
    <xf numFmtId="0" fontId="0" fillId="5" borderId="32" xfId="0" applyFill="1" applyBorder="1" applyAlignment="1" applyProtection="1">
      <alignment horizontal="center"/>
      <protection locked="0"/>
    </xf>
    <xf numFmtId="0" fontId="12" fillId="3" borderId="85" xfId="0" applyFont="1" applyFill="1" applyBorder="1" applyAlignment="1">
      <alignment horizontal="center" vertical="center"/>
    </xf>
    <xf numFmtId="0" fontId="12" fillId="3" borderId="86" xfId="0" applyFont="1" applyFill="1" applyBorder="1" applyAlignment="1">
      <alignment horizontal="center" vertical="center"/>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36" xfId="0" applyFont="1" applyBorder="1" applyAlignment="1">
      <alignment horizontal="center" vertical="center"/>
    </xf>
    <xf numFmtId="0" fontId="12" fillId="0" borderId="2" xfId="0" applyFont="1" applyBorder="1" applyAlignment="1">
      <alignment horizontal="center" vertical="center"/>
    </xf>
    <xf numFmtId="2" fontId="12" fillId="3" borderId="42" xfId="0" applyNumberFormat="1" applyFont="1" applyFill="1" applyBorder="1" applyAlignment="1">
      <alignment horizontal="center" vertical="center"/>
    </xf>
    <xf numFmtId="2" fontId="12" fillId="3" borderId="6"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2" fontId="14" fillId="3" borderId="36" xfId="0" applyNumberFormat="1" applyFont="1" applyFill="1" applyBorder="1" applyAlignment="1">
      <alignment horizontal="center" vertical="top"/>
    </xf>
    <xf numFmtId="2" fontId="14" fillId="3" borderId="2" xfId="0" applyNumberFormat="1" applyFont="1" applyFill="1" applyBorder="1" applyAlignment="1">
      <alignment horizontal="center" vertical="top"/>
    </xf>
    <xf numFmtId="2" fontId="14" fillId="3" borderId="13" xfId="0" applyNumberFormat="1" applyFont="1" applyFill="1" applyBorder="1" applyAlignment="1">
      <alignment horizontal="center" vertical="top"/>
    </xf>
    <xf numFmtId="0" fontId="1" fillId="3" borderId="1" xfId="0" applyFont="1" applyFill="1" applyBorder="1" applyAlignment="1">
      <alignment horizontal="center" vertical="center"/>
    </xf>
    <xf numFmtId="0" fontId="1" fillId="3" borderId="32" xfId="0" applyFont="1" applyFill="1" applyBorder="1" applyAlignment="1">
      <alignment horizontal="center" vertical="center"/>
    </xf>
    <xf numFmtId="0" fontId="0" fillId="4" borderId="0" xfId="0" applyFill="1" applyAlignment="1">
      <alignment horizontal="left" vertical="center"/>
    </xf>
    <xf numFmtId="0" fontId="0" fillId="4" borderId="15" xfId="0" applyFill="1" applyBorder="1" applyAlignment="1">
      <alignment horizontal="left" vertical="center"/>
    </xf>
    <xf numFmtId="0" fontId="1" fillId="4" borderId="0" xfId="0" applyFont="1" applyFill="1" applyAlignment="1">
      <alignment horizontal="left" vertical="center"/>
    </xf>
    <xf numFmtId="0" fontId="1" fillId="4" borderId="15" xfId="0" applyFont="1" applyFill="1" applyBorder="1" applyAlignment="1">
      <alignment horizontal="left" vertical="center"/>
    </xf>
    <xf numFmtId="164" fontId="0" fillId="8" borderId="9" xfId="0" applyNumberFormat="1" applyFill="1" applyBorder="1" applyAlignment="1">
      <alignment horizontal="left" vertical="center"/>
    </xf>
    <xf numFmtId="164" fontId="0" fillId="8" borderId="11" xfId="0" applyNumberFormat="1" applyFill="1" applyBorder="1" applyAlignment="1">
      <alignment horizontal="left" vertical="center"/>
    </xf>
    <xf numFmtId="0" fontId="0" fillId="8" borderId="9" xfId="0" applyFill="1" applyBorder="1" applyAlignment="1">
      <alignment horizontal="left" vertical="center"/>
    </xf>
    <xf numFmtId="0" fontId="0" fillId="8" borderId="11" xfId="0" applyFill="1"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2" fontId="0" fillId="0" borderId="9" xfId="0" applyNumberFormat="1" applyBorder="1" applyAlignment="1">
      <alignment horizontal="left" vertical="center"/>
    </xf>
    <xf numFmtId="2" fontId="0" fillId="0" borderId="11" xfId="0" applyNumberFormat="1" applyBorder="1" applyAlignment="1">
      <alignment horizontal="left" vertical="center"/>
    </xf>
    <xf numFmtId="0" fontId="0" fillId="0" borderId="0" xfId="0" applyAlignment="1">
      <alignment horizontal="left" vertical="center"/>
    </xf>
    <xf numFmtId="170" fontId="0" fillId="0" borderId="9" xfId="0" applyNumberFormat="1" applyBorder="1" applyAlignment="1">
      <alignment horizontal="left" vertical="center"/>
    </xf>
    <xf numFmtId="170" fontId="0" fillId="0" borderId="11" xfId="0" applyNumberFormat="1" applyBorder="1" applyAlignment="1">
      <alignment horizontal="left" vertical="center"/>
    </xf>
    <xf numFmtId="0" fontId="16" fillId="4" borderId="19"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21" xfId="0" applyFont="1" applyFill="1" applyBorder="1" applyAlignment="1">
      <alignment horizontal="center" vertical="center"/>
    </xf>
    <xf numFmtId="0" fontId="11" fillId="0" borderId="24" xfId="0" applyFont="1" applyBorder="1" applyAlignment="1">
      <alignment horizontal="center"/>
    </xf>
    <xf numFmtId="0" fontId="11" fillId="0" borderId="26" xfId="0" applyFont="1" applyBorder="1" applyAlignment="1">
      <alignment horizontal="center"/>
    </xf>
    <xf numFmtId="0" fontId="11" fillId="0" borderId="25" xfId="0" applyFont="1" applyBorder="1" applyAlignment="1">
      <alignment horizontal="center"/>
    </xf>
    <xf numFmtId="0" fontId="11" fillId="0" borderId="22" xfId="0" applyFont="1" applyBorder="1" applyAlignment="1">
      <alignment horizontal="center"/>
    </xf>
    <xf numFmtId="164" fontId="0" fillId="0" borderId="9" xfId="0" applyNumberFormat="1" applyBorder="1" applyAlignment="1">
      <alignment horizontal="left" vertical="center"/>
    </xf>
    <xf numFmtId="164" fontId="0" fillId="0" borderId="11" xfId="0" applyNumberFormat="1" applyBorder="1" applyAlignment="1">
      <alignment horizontal="left" vertical="center"/>
    </xf>
    <xf numFmtId="0" fontId="0" fillId="0" borderId="0" xfId="0" applyAlignment="1">
      <alignment horizontal="center" vertical="center"/>
    </xf>
    <xf numFmtId="0" fontId="16" fillId="4" borderId="24"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25" xfId="0" applyFont="1" applyFill="1" applyBorder="1" applyAlignment="1">
      <alignment horizontal="center" vertical="center"/>
    </xf>
    <xf numFmtId="0" fontId="0" fillId="0" borderId="9" xfId="0" applyBorder="1" applyAlignment="1">
      <alignment horizontal="center"/>
    </xf>
    <xf numFmtId="0" fontId="0" fillId="0" borderId="11" xfId="0" applyBorder="1" applyAlignment="1">
      <alignment horizontal="center"/>
    </xf>
    <xf numFmtId="0" fontId="0" fillId="7" borderId="0" xfId="0" applyFill="1" applyAlignment="1">
      <alignment horizontal="center"/>
    </xf>
    <xf numFmtId="0" fontId="0" fillId="7" borderId="24" xfId="0" applyFill="1" applyBorder="1" applyAlignment="1">
      <alignment horizontal="center"/>
    </xf>
    <xf numFmtId="0" fontId="0" fillId="7" borderId="26" xfId="0" applyFill="1" applyBorder="1" applyAlignment="1">
      <alignment horizontal="center"/>
    </xf>
    <xf numFmtId="0" fontId="0" fillId="7" borderId="63" xfId="0" applyFill="1"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7" borderId="23" xfId="0" applyFill="1" applyBorder="1" applyAlignment="1">
      <alignment horizontal="center"/>
    </xf>
    <xf numFmtId="0" fontId="1" fillId="0" borderId="53" xfId="0" applyFont="1" applyBorder="1" applyAlignment="1">
      <alignment horizontal="center" wrapText="1"/>
    </xf>
    <xf numFmtId="0" fontId="1" fillId="0" borderId="48" xfId="0" applyFont="1" applyBorder="1" applyAlignment="1">
      <alignment horizontal="center" wrapText="1"/>
    </xf>
    <xf numFmtId="0" fontId="0" fillId="7" borderId="17" xfId="0" applyFill="1" applyBorder="1" applyAlignment="1">
      <alignment horizontal="center" vertical="center" wrapText="1"/>
    </xf>
    <xf numFmtId="0" fontId="0" fillId="7" borderId="22"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0" xfId="0" applyFill="1" applyAlignment="1">
      <alignment horizontal="center" vertical="center" wrapText="1"/>
    </xf>
    <xf numFmtId="0" fontId="0" fillId="7" borderId="16" xfId="0"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0" fillId="0" borderId="24"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16" fontId="0" fillId="0" borderId="34" xfId="0" applyNumberFormat="1" applyBorder="1" applyAlignment="1">
      <alignment horizontal="left"/>
    </xf>
    <xf numFmtId="0" fontId="0" fillId="2" borderId="19" xfId="0" applyFill="1" applyBorder="1" applyAlignment="1">
      <alignment horizontal="right"/>
    </xf>
    <xf numFmtId="0" fontId="0" fillId="2" borderId="23" xfId="0" applyFill="1" applyBorder="1" applyAlignment="1">
      <alignment horizontal="right"/>
    </xf>
    <xf numFmtId="0" fontId="0" fillId="0" borderId="31" xfId="0" applyBorder="1" applyAlignment="1">
      <alignment horizontal="center"/>
    </xf>
    <xf numFmtId="0" fontId="0" fillId="0" borderId="1" xfId="0" applyBorder="1" applyAlignment="1">
      <alignment horizontal="center"/>
    </xf>
    <xf numFmtId="0" fontId="0" fillId="0" borderId="29" xfId="0" applyBorder="1" applyAlignment="1">
      <alignment horizontal="center"/>
    </xf>
    <xf numFmtId="0" fontId="0" fillId="0" borderId="5" xfId="0" applyBorder="1" applyAlignment="1">
      <alignment horizontal="center"/>
    </xf>
    <xf numFmtId="16" fontId="0" fillId="0" borderId="1" xfId="0" applyNumberFormat="1" applyBorder="1" applyAlignment="1">
      <alignment horizontal="left"/>
    </xf>
    <xf numFmtId="0" fontId="0" fillId="0" borderId="35" xfId="0" applyBorder="1" applyAlignment="1">
      <alignment horizont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xf>
    <xf numFmtId="0" fontId="0" fillId="0" borderId="52" xfId="0" applyBorder="1" applyAlignment="1">
      <alignment horizontal="center"/>
    </xf>
    <xf numFmtId="0" fontId="0" fillId="0" borderId="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54" xfId="0" applyBorder="1" applyAlignment="1">
      <alignment horizontal="center"/>
    </xf>
    <xf numFmtId="0" fontId="0" fillId="0" borderId="51" xfId="0"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1" fillId="0" borderId="24" xfId="0" applyFont="1" applyBorder="1" applyAlignment="1">
      <alignment horizontal="center"/>
    </xf>
    <xf numFmtId="0" fontId="1" fillId="0" borderId="26" xfId="0" applyFont="1" applyBorder="1" applyAlignment="1">
      <alignment horizontal="center"/>
    </xf>
    <xf numFmtId="0" fontId="1" fillId="0" borderId="25" xfId="0" applyFont="1" applyBorder="1" applyAlignment="1">
      <alignment horizontal="center"/>
    </xf>
    <xf numFmtId="14" fontId="0" fillId="0" borderId="26" xfId="0" applyNumberFormat="1" applyBorder="1" applyAlignment="1">
      <alignment horizontal="center"/>
    </xf>
    <xf numFmtId="0" fontId="0" fillId="0" borderId="69" xfId="0" applyBorder="1" applyAlignment="1">
      <alignment horizontal="center"/>
    </xf>
    <xf numFmtId="0" fontId="0" fillId="0" borderId="8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17" xfId="0" applyBorder="1" applyAlignment="1">
      <alignment horizontal="center"/>
    </xf>
    <xf numFmtId="0" fontId="0" fillId="0" borderId="22" xfId="0" applyBorder="1" applyAlignment="1">
      <alignment horizontal="center"/>
    </xf>
    <xf numFmtId="0" fontId="0" fillId="0" borderId="20" xfId="0" applyBorder="1" applyAlignment="1">
      <alignment horizontal="center"/>
    </xf>
    <xf numFmtId="0" fontId="0" fillId="0" borderId="24" xfId="0" applyBorder="1" applyAlignment="1">
      <alignment horizontal="right"/>
    </xf>
    <xf numFmtId="0" fontId="0" fillId="0" borderId="26" xfId="0" applyBorder="1" applyAlignment="1">
      <alignment horizontal="right"/>
    </xf>
    <xf numFmtId="0" fontId="0" fillId="0" borderId="10" xfId="0" applyBorder="1" applyAlignment="1">
      <alignment horizontal="center"/>
    </xf>
    <xf numFmtId="0" fontId="0" fillId="7" borderId="23" xfId="0" applyFill="1" applyBorder="1" applyAlignment="1">
      <alignment horizontal="left"/>
    </xf>
    <xf numFmtId="0" fontId="0" fillId="7" borderId="17" xfId="0" applyFill="1" applyBorder="1" applyAlignment="1">
      <alignment horizontal="left"/>
    </xf>
    <xf numFmtId="0" fontId="0" fillId="7" borderId="22" xfId="0" applyFill="1" applyBorder="1" applyAlignment="1">
      <alignment horizontal="left"/>
    </xf>
    <xf numFmtId="0" fontId="0" fillId="7" borderId="20" xfId="0" applyFill="1" applyBorder="1" applyAlignment="1">
      <alignment horizontal="left"/>
    </xf>
    <xf numFmtId="0" fontId="1" fillId="0" borderId="17" xfId="0" applyFont="1" applyBorder="1" applyAlignment="1">
      <alignment horizontal="center" wrapText="1"/>
    </xf>
    <xf numFmtId="0" fontId="1" fillId="0" borderId="19" xfId="0" applyFont="1" applyBorder="1" applyAlignment="1">
      <alignment horizontal="center" wrapText="1"/>
    </xf>
    <xf numFmtId="0" fontId="0" fillId="2" borderId="24" xfId="0" applyFill="1" applyBorder="1" applyAlignment="1">
      <alignment horizontal="center"/>
    </xf>
    <xf numFmtId="0" fontId="0" fillId="2" borderId="26" xfId="0" applyFill="1" applyBorder="1" applyAlignment="1">
      <alignment horizontal="center"/>
    </xf>
    <xf numFmtId="0" fontId="0" fillId="2" borderId="24" xfId="0" applyFill="1" applyBorder="1" applyAlignment="1">
      <alignment horizontal="right"/>
    </xf>
    <xf numFmtId="0" fontId="0" fillId="2" borderId="26" xfId="0" applyFill="1" applyBorder="1" applyAlignment="1">
      <alignment horizontal="right"/>
    </xf>
    <xf numFmtId="0" fontId="0" fillId="2" borderId="26" xfId="0" applyFill="1" applyBorder="1" applyAlignment="1">
      <alignment horizontal="left"/>
    </xf>
    <xf numFmtId="0" fontId="0" fillId="2" borderId="25" xfId="0" applyFill="1" applyBorder="1" applyAlignment="1">
      <alignment horizontal="left"/>
    </xf>
    <xf numFmtId="0" fontId="1" fillId="0" borderId="20" xfId="0" applyFont="1" applyBorder="1" applyAlignment="1">
      <alignment horizontal="center" wrapText="1"/>
    </xf>
    <xf numFmtId="0" fontId="1" fillId="0" borderId="21" xfId="0" applyFont="1" applyBorder="1" applyAlignment="1">
      <alignment horizontal="center" wrapText="1"/>
    </xf>
    <xf numFmtId="0" fontId="0" fillId="7" borderId="0" xfId="0" applyFill="1" applyAlignment="1">
      <alignment horizontal="left"/>
    </xf>
    <xf numFmtId="9" fontId="0" fillId="2" borderId="0" xfId="0" applyNumberFormat="1" applyFill="1" applyAlignment="1">
      <alignment horizontal="left"/>
    </xf>
    <xf numFmtId="9" fontId="0" fillId="2" borderId="16" xfId="0" applyNumberFormat="1" applyFill="1" applyBorder="1" applyAlignment="1">
      <alignment horizontal="left"/>
    </xf>
    <xf numFmtId="0" fontId="0" fillId="2" borderId="22" xfId="0" applyFill="1" applyBorder="1"/>
    <xf numFmtId="0" fontId="0" fillId="2" borderId="20" xfId="0" applyFill="1" applyBorder="1"/>
    <xf numFmtId="0" fontId="0" fillId="2" borderId="23" xfId="0" applyFill="1" applyBorder="1" applyAlignment="1">
      <alignment horizontal="left"/>
    </xf>
    <xf numFmtId="0" fontId="0" fillId="2" borderId="21" xfId="0" applyFill="1" applyBorder="1" applyAlignment="1">
      <alignment horizontal="left"/>
    </xf>
    <xf numFmtId="0" fontId="0" fillId="2" borderId="17" xfId="0" applyFill="1" applyBorder="1" applyAlignment="1">
      <alignment horizontal="right"/>
    </xf>
    <xf numFmtId="0" fontId="0" fillId="2" borderId="22" xfId="0" applyFill="1" applyBorder="1" applyAlignment="1">
      <alignment horizontal="right"/>
    </xf>
    <xf numFmtId="0" fontId="0" fillId="2" borderId="18" xfId="0" applyFill="1" applyBorder="1" applyAlignment="1">
      <alignment horizontal="right"/>
    </xf>
    <xf numFmtId="0" fontId="0" fillId="2" borderId="0" xfId="0" applyFill="1" applyAlignment="1">
      <alignment horizontal="right"/>
    </xf>
    <xf numFmtId="0" fontId="0" fillId="0" borderId="26" xfId="0" applyBorder="1" applyAlignment="1">
      <alignment horizontal="left"/>
    </xf>
    <xf numFmtId="0" fontId="0" fillId="0" borderId="25" xfId="0" applyBorder="1" applyAlignment="1">
      <alignment horizontal="left"/>
    </xf>
    <xf numFmtId="0" fontId="0" fillId="0" borderId="70" xfId="0" applyBorder="1" applyAlignment="1">
      <alignment horizontal="center"/>
    </xf>
    <xf numFmtId="0" fontId="0" fillId="0" borderId="71" xfId="0" applyBorder="1" applyAlignment="1">
      <alignment horizontal="center"/>
    </xf>
    <xf numFmtId="2" fontId="0" fillId="0" borderId="1" xfId="0" applyNumberFormat="1" applyBorder="1" applyAlignment="1">
      <alignment horizontal="center"/>
    </xf>
    <xf numFmtId="2" fontId="0" fillId="0" borderId="32" xfId="0" applyNumberFormat="1" applyBorder="1" applyAlignment="1">
      <alignment horizontal="center"/>
    </xf>
    <xf numFmtId="2" fontId="0" fillId="0" borderId="34" xfId="0" applyNumberFormat="1" applyBorder="1" applyAlignment="1">
      <alignment horizontal="center"/>
    </xf>
    <xf numFmtId="2" fontId="0" fillId="0" borderId="35" xfId="0" applyNumberFormat="1" applyBorder="1" applyAlignment="1">
      <alignment horizontal="center"/>
    </xf>
    <xf numFmtId="0" fontId="0" fillId="0" borderId="88" xfId="0" applyBorder="1" applyAlignment="1">
      <alignment horizontal="center"/>
    </xf>
    <xf numFmtId="0" fontId="20" fillId="12" borderId="0" xfId="0" applyFont="1" applyFill="1" applyAlignment="1">
      <alignment horizontal="center" vertical="center" wrapText="1"/>
    </xf>
  </cellXfs>
  <cellStyles count="2">
    <cellStyle name="Hyperlink" xfId="1" builtinId="8"/>
    <cellStyle name="Normal" xfId="0" builtinId="0"/>
  </cellStyles>
  <dxfs count="8">
    <dxf>
      <font>
        <color rgb="FFFF0000"/>
      </font>
    </dxf>
    <dxf>
      <font>
        <color rgb="FFFF0000"/>
      </font>
    </dxf>
    <dxf>
      <font>
        <color rgb="FFFF0000"/>
      </font>
    </dxf>
    <dxf>
      <fill>
        <patternFill>
          <bgColor rgb="FFFF0000"/>
        </patternFill>
      </fill>
    </dxf>
    <dxf>
      <numFmt numFmtId="174" formatCode="0.00\ &quot;tons&quot;"/>
    </dxf>
    <dxf>
      <numFmt numFmtId="30" formatCode="@"/>
    </dxf>
    <dxf>
      <numFmt numFmtId="0" formatCode="General"/>
    </dxf>
    <dxf>
      <font>
        <color auto="1"/>
      </font>
    </dxf>
  </dxfs>
  <tableStyles count="0" defaultTableStyle="TableStyleMedium2" defaultPivotStyle="PivotStyleLight16"/>
  <colors>
    <mruColors>
      <color rgb="FFB4C6E7"/>
      <color rgb="FF9999FF"/>
      <color rgb="FFF5F5F5"/>
      <color rgb="FFFAFAFA"/>
      <color rgb="FFFDFDFD"/>
      <color rgb="FFF8F8F8"/>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alcs &amp; Signs'!$I$3" lockText="1" noThreeD="1"/>
</file>

<file path=xl/ctrlProps/ctrlProp2.xml><?xml version="1.0" encoding="utf-8"?>
<formControlPr xmlns="http://schemas.microsoft.com/office/spreadsheetml/2009/9/main" objectType="CheckBox" fmlaLink="O4"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186267</xdr:colOff>
      <xdr:row>0</xdr:row>
      <xdr:rowOff>66676</xdr:rowOff>
    </xdr:from>
    <xdr:to>
      <xdr:col>1</xdr:col>
      <xdr:colOff>207051</xdr:colOff>
      <xdr:row>2</xdr:row>
      <xdr:rowOff>247651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267" y="66676"/>
          <a:ext cx="768020" cy="800100"/>
        </a:xfrm>
        <a:prstGeom prst="rect">
          <a:avLst/>
        </a:prstGeom>
        <a:effectLst>
          <a:outerShdw sx="1000" sy="1000" algn="ctr" rotWithShape="0">
            <a:srgbClr val="000000"/>
          </a:outerShdw>
          <a:softEdge rad="0"/>
        </a:effectLst>
        <a:scene3d>
          <a:camera prst="orthographicFront"/>
          <a:lightRig rig="threePt" dir="t"/>
        </a:scene3d>
        <a:sp3d>
          <a:bevelB/>
        </a:sp3d>
      </xdr:spPr>
    </xdr:pic>
    <xdr:clientData/>
  </xdr:twoCellAnchor>
  <mc:AlternateContent xmlns:mc="http://schemas.openxmlformats.org/markup-compatibility/2006">
    <mc:Choice xmlns:a14="http://schemas.microsoft.com/office/drawing/2010/main" Requires="a14">
      <xdr:twoCellAnchor editAs="oneCell">
        <xdr:from>
          <xdr:col>5</xdr:col>
          <xdr:colOff>266700</xdr:colOff>
          <xdr:row>40</xdr:row>
          <xdr:rowOff>144780</xdr:rowOff>
        </xdr:from>
        <xdr:to>
          <xdr:col>6</xdr:col>
          <xdr:colOff>281940</xdr:colOff>
          <xdr:row>41</xdr:row>
          <xdr:rowOff>240030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124383</xdr:colOff>
          <xdr:row>27</xdr:row>
          <xdr:rowOff>56673</xdr:rowOff>
        </xdr:from>
        <xdr:to>
          <xdr:col>11</xdr:col>
          <xdr:colOff>1200708</xdr:colOff>
          <xdr:row>38</xdr:row>
          <xdr:rowOff>16670</xdr:rowOff>
        </xdr:to>
        <xdr:pic>
          <xdr:nvPicPr>
            <xdr:cNvPr id="8" name="Picture 7">
              <a:extLst>
                <a:ext uri="{FF2B5EF4-FFF2-40B4-BE49-F238E27FC236}">
                  <a16:creationId xmlns:a16="http://schemas.microsoft.com/office/drawing/2014/main" id="{00000000-0008-0000-0000-000008000000}"/>
                </a:ext>
              </a:extLst>
            </xdr:cNvPr>
            <xdr:cNvPicPr>
              <a:picLocks noChangeAspect="1"/>
              <a:extLst>
                <a:ext uri="{84589F7E-364E-4C9E-8A38-B11213B215E9}">
                  <a14:cameraTool cellRange="LegalPosting" spid="_x0000_s7386"/>
                </a:ext>
              </a:extLst>
            </xdr:cNvPicPr>
          </xdr:nvPicPr>
          <xdr:blipFill>
            <a:blip xmlns:r="http://schemas.openxmlformats.org/officeDocument/2006/relationships" r:embed="rId2"/>
            <a:stretch>
              <a:fillRect/>
            </a:stretch>
          </xdr:blipFill>
          <xdr:spPr>
            <a:xfrm>
              <a:off x="5286933" y="9057798"/>
              <a:ext cx="1076325" cy="1655447"/>
            </a:xfrm>
            <a:prstGeom prst="rect">
              <a:avLst/>
            </a:prstGeom>
          </xdr:spPr>
        </xdr:pic>
        <xdr:clientData/>
      </xdr:twoCellAnchor>
    </mc:Choice>
    <mc:Fallback/>
  </mc:AlternateContent>
  <xdr:twoCellAnchor editAs="oneCell">
    <xdr:from>
      <xdr:col>11</xdr:col>
      <xdr:colOff>601980</xdr:colOff>
      <xdr:row>11</xdr:row>
      <xdr:rowOff>126442</xdr:rowOff>
    </xdr:from>
    <xdr:to>
      <xdr:col>14</xdr:col>
      <xdr:colOff>746239</xdr:colOff>
      <xdr:row>18</xdr:row>
      <xdr:rowOff>210186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5760720" y="7045402"/>
          <a:ext cx="2014969" cy="18401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31748</xdr:colOff>
      <xdr:row>16</xdr:row>
      <xdr:rowOff>38100</xdr:rowOff>
    </xdr:from>
    <xdr:ext cx="511177" cy="173298"/>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154"/>
        <a:stretch/>
      </xdr:blipFill>
      <xdr:spPr>
        <a:xfrm>
          <a:off x="7289798" y="3200400"/>
          <a:ext cx="511177" cy="173298"/>
        </a:xfrm>
        <a:prstGeom prst="rect">
          <a:avLst/>
        </a:prstGeom>
      </xdr:spPr>
    </xdr:pic>
    <xdr:clientData/>
  </xdr:oneCellAnchor>
  <xdr:oneCellAnchor>
    <xdr:from>
      <xdr:col>27</xdr:col>
      <xdr:colOff>9524</xdr:colOff>
      <xdr:row>16</xdr:row>
      <xdr:rowOff>47625</xdr:rowOff>
    </xdr:from>
    <xdr:ext cx="535783" cy="176213"/>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colorTemperature colorTemp="7200"/>
                  </a14:imgEffect>
                </a14:imgLayer>
              </a14:imgProps>
            </a:ext>
            <a:ext uri="{28A0092B-C50C-407E-A947-70E740481C1C}">
              <a14:useLocalDpi xmlns:a14="http://schemas.microsoft.com/office/drawing/2010/main" val="0"/>
            </a:ext>
          </a:extLst>
        </a:blip>
        <a:srcRect t="17778"/>
        <a:stretch/>
      </xdr:blipFill>
      <xdr:spPr>
        <a:xfrm>
          <a:off x="13630274" y="3209925"/>
          <a:ext cx="535783" cy="176213"/>
        </a:xfrm>
        <a:prstGeom prst="rect">
          <a:avLst/>
        </a:prstGeom>
      </xdr:spPr>
    </xdr:pic>
    <xdr:clientData fLocksWithSheet="0"/>
  </xdr:oneCellAnchor>
  <mc:AlternateContent xmlns:mc="http://schemas.openxmlformats.org/markup-compatibility/2006">
    <mc:Choice xmlns:a14="http://schemas.microsoft.com/office/drawing/2010/main" Requires="a14">
      <xdr:twoCellAnchor editAs="oneCell">
        <xdr:from>
          <xdr:col>13</xdr:col>
          <xdr:colOff>457200</xdr:colOff>
          <xdr:row>2</xdr:row>
          <xdr:rowOff>190500</xdr:rowOff>
        </xdr:from>
        <xdr:to>
          <xdr:col>14</xdr:col>
          <xdr:colOff>182880</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sad.nawaz@jacobs.com" TargetMode="External"/><Relationship Id="rId1" Type="http://schemas.openxmlformats.org/officeDocument/2006/relationships/hyperlink" Target="mailto:matt.rotar@jacob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55"/>
  <sheetViews>
    <sheetView showGridLines="0" tabSelected="1" topLeftCell="A6" zoomScaleNormal="100" zoomScaleSheetLayoutView="100" workbookViewId="0">
      <selection activeCell="D10" sqref="D10:O10"/>
    </sheetView>
  </sheetViews>
  <sheetFormatPr defaultRowHeight="14.4" x14ac:dyDescent="0.3"/>
  <cols>
    <col min="1" max="1" width="11.33203125" customWidth="1"/>
    <col min="2" max="2" width="11.109375" customWidth="1"/>
    <col min="3" max="3" width="6.109375" customWidth="1"/>
    <col min="4" max="4" width="5.6640625" customWidth="1"/>
    <col min="5" max="5" width="6" customWidth="1"/>
    <col min="6" max="6" width="2.33203125" customWidth="1"/>
    <col min="7" max="7" width="12.88671875" customWidth="1"/>
    <col min="8" max="8" width="0.44140625" customWidth="1"/>
    <col min="9" max="9" width="8.88671875" customWidth="1"/>
    <col min="10" max="10" width="6.44140625" customWidth="1"/>
    <col min="11" max="11" width="4" customWidth="1"/>
    <col min="12" max="12" width="18.33203125" customWidth="1"/>
    <col min="13" max="13" width="3.5546875" customWidth="1"/>
    <col min="14" max="14" width="5.33203125" customWidth="1"/>
    <col min="15" max="15" width="19" customWidth="1"/>
    <col min="18" max="26" width="10.33203125" customWidth="1"/>
  </cols>
  <sheetData>
    <row r="1" spans="1:26" ht="26.25" customHeight="1" x14ac:dyDescent="0.3">
      <c r="A1" s="335" t="s">
        <v>0</v>
      </c>
      <c r="B1" s="336"/>
      <c r="C1" s="336"/>
      <c r="D1" s="336"/>
      <c r="E1" s="336"/>
      <c r="F1" s="336"/>
      <c r="G1" s="336"/>
      <c r="H1" s="336"/>
      <c r="I1" s="336"/>
      <c r="J1" s="336"/>
      <c r="K1" s="336"/>
      <c r="L1" s="336"/>
      <c r="M1" s="336"/>
      <c r="N1" s="336"/>
      <c r="O1" s="337"/>
    </row>
    <row r="2" spans="1:26" ht="23.25" customHeight="1" x14ac:dyDescent="0.3">
      <c r="A2" s="338" t="s">
        <v>1</v>
      </c>
      <c r="B2" s="339"/>
      <c r="C2" s="339"/>
      <c r="D2" s="339"/>
      <c r="E2" s="339"/>
      <c r="F2" s="339"/>
      <c r="G2" s="339"/>
      <c r="H2" s="339"/>
      <c r="I2" s="339"/>
      <c r="J2" s="339"/>
      <c r="K2" s="339"/>
      <c r="L2" s="339"/>
      <c r="M2" s="339"/>
      <c r="N2" s="339"/>
      <c r="O2" s="340"/>
    </row>
    <row r="3" spans="1:26" ht="23.25" customHeight="1" x14ac:dyDescent="0.3">
      <c r="A3" s="341" t="s">
        <v>2</v>
      </c>
      <c r="B3" s="342"/>
      <c r="C3" s="342"/>
      <c r="D3" s="342"/>
      <c r="E3" s="342"/>
      <c r="F3" s="342"/>
      <c r="G3" s="342"/>
      <c r="H3" s="342"/>
      <c r="I3" s="342"/>
      <c r="J3" s="342"/>
      <c r="K3" s="342"/>
      <c r="L3" s="342"/>
      <c r="M3" s="342"/>
      <c r="N3" s="342"/>
      <c r="O3" s="343"/>
      <c r="R3" s="72"/>
      <c r="S3" s="72"/>
      <c r="T3" s="72"/>
      <c r="U3" s="72"/>
    </row>
    <row r="4" spans="1:26" ht="11.25" customHeight="1" x14ac:dyDescent="0.3">
      <c r="A4" s="370" t="s">
        <v>3</v>
      </c>
      <c r="B4" s="366"/>
      <c r="C4" s="323"/>
      <c r="D4" s="323" t="s">
        <v>4</v>
      </c>
      <c r="E4" s="323"/>
      <c r="F4" s="323"/>
      <c r="G4" s="323"/>
      <c r="H4" s="323" t="s">
        <v>5</v>
      </c>
      <c r="I4" s="323"/>
      <c r="J4" s="323"/>
      <c r="K4" s="323" t="s">
        <v>6</v>
      </c>
      <c r="L4" s="323"/>
      <c r="M4" s="323"/>
      <c r="N4" s="323"/>
      <c r="O4" s="324"/>
      <c r="R4" s="67"/>
      <c r="S4" s="67"/>
      <c r="T4" s="67"/>
      <c r="U4" s="67"/>
    </row>
    <row r="5" spans="1:26" ht="11.25" customHeight="1" x14ac:dyDescent="0.3">
      <c r="A5" s="370"/>
      <c r="B5" s="366"/>
      <c r="C5" s="323"/>
      <c r="D5" s="323"/>
      <c r="E5" s="323"/>
      <c r="F5" s="323"/>
      <c r="G5" s="323"/>
      <c r="H5" s="323"/>
      <c r="I5" s="323"/>
      <c r="J5" s="323"/>
      <c r="K5" s="323" t="s">
        <v>7</v>
      </c>
      <c r="L5" s="323"/>
      <c r="M5" s="323" t="s">
        <v>8</v>
      </c>
      <c r="N5" s="323"/>
      <c r="O5" s="324"/>
      <c r="Q5" s="44" t="s">
        <v>9</v>
      </c>
      <c r="R5" s="69"/>
      <c r="S5" s="69"/>
      <c r="T5" s="72"/>
      <c r="U5" s="72"/>
    </row>
    <row r="6" spans="1:26" ht="18.899999999999999" customHeight="1" x14ac:dyDescent="0.3">
      <c r="A6" s="328">
        <v>1631830</v>
      </c>
      <c r="B6" s="329"/>
      <c r="C6" s="329"/>
      <c r="D6" s="291" t="s">
        <v>10</v>
      </c>
      <c r="E6" s="278"/>
      <c r="F6" s="278"/>
      <c r="G6" s="330"/>
      <c r="H6" s="291">
        <f>'Calcs &amp; Signs'!C67</f>
        <v>5</v>
      </c>
      <c r="I6" s="278"/>
      <c r="J6" s="330"/>
      <c r="K6" s="291">
        <v>40.317574999999998</v>
      </c>
      <c r="L6" s="330"/>
      <c r="M6" s="291">
        <v>81.648732999999993</v>
      </c>
      <c r="N6" s="278"/>
      <c r="O6" s="331"/>
      <c r="Q6" t="s">
        <v>11</v>
      </c>
      <c r="R6" s="70"/>
      <c r="S6" s="70"/>
      <c r="T6" s="72"/>
      <c r="U6" s="72"/>
    </row>
    <row r="7" spans="1:26" ht="11.25" customHeight="1" x14ac:dyDescent="0.3">
      <c r="A7" s="325" t="s">
        <v>12</v>
      </c>
      <c r="B7" s="288"/>
      <c r="C7" s="300"/>
      <c r="D7" s="287" t="s">
        <v>13</v>
      </c>
      <c r="E7" s="288"/>
      <c r="F7" s="288"/>
      <c r="G7" s="332" t="s">
        <v>14</v>
      </c>
      <c r="H7" s="332"/>
      <c r="I7" s="332"/>
      <c r="J7" s="332"/>
      <c r="K7" s="287" t="s">
        <v>15</v>
      </c>
      <c r="L7" s="288"/>
      <c r="M7" s="288"/>
      <c r="N7" s="288"/>
      <c r="O7" s="333"/>
      <c r="Q7" t="s">
        <v>16</v>
      </c>
      <c r="R7" s="71"/>
      <c r="S7" s="71"/>
      <c r="T7" s="70"/>
      <c r="U7" s="70"/>
      <c r="V7" s="70"/>
    </row>
    <row r="8" spans="1:26" ht="11.25" customHeight="1" x14ac:dyDescent="0.3">
      <c r="A8" s="326" t="s">
        <v>17</v>
      </c>
      <c r="B8" s="290"/>
      <c r="C8" s="327"/>
      <c r="D8" s="289"/>
      <c r="E8" s="290"/>
      <c r="F8" s="290"/>
      <c r="G8" s="332"/>
      <c r="H8" s="332"/>
      <c r="I8" s="332"/>
      <c r="J8" s="332"/>
      <c r="K8" s="289"/>
      <c r="L8" s="290"/>
      <c r="M8" s="290"/>
      <c r="N8" s="290"/>
      <c r="O8" s="334"/>
      <c r="Q8" s="276" t="str">
        <f>HYPERLINK('Calcs &amp; Signs'!L62,"View Google Map")</f>
        <v>View Google Map</v>
      </c>
      <c r="R8" s="276"/>
      <c r="S8" s="71"/>
      <c r="T8" s="70"/>
      <c r="U8" s="70"/>
    </row>
    <row r="9" spans="1:26" ht="18.899999999999999" customHeight="1" x14ac:dyDescent="0.3">
      <c r="A9" s="277">
        <v>1972</v>
      </c>
      <c r="B9" s="278"/>
      <c r="C9" s="278"/>
      <c r="D9" s="291">
        <v>2024</v>
      </c>
      <c r="E9" s="278"/>
      <c r="F9" s="278"/>
      <c r="G9" s="361">
        <v>46.5</v>
      </c>
      <c r="H9" s="361"/>
      <c r="I9" s="361"/>
      <c r="J9" s="361"/>
      <c r="K9" s="291" t="s">
        <v>483</v>
      </c>
      <c r="L9" s="278"/>
      <c r="M9" s="278"/>
      <c r="N9" s="278"/>
      <c r="O9" s="331"/>
      <c r="Q9" s="276"/>
      <c r="R9" s="276"/>
      <c r="S9" s="63"/>
      <c r="T9" s="63"/>
      <c r="U9" s="63"/>
    </row>
    <row r="10" spans="1:26" ht="397.2" customHeight="1" thickBot="1" x14ac:dyDescent="0.35">
      <c r="A10" s="312" t="s">
        <v>18</v>
      </c>
      <c r="B10" s="313"/>
      <c r="C10" s="313"/>
      <c r="D10" s="314" t="s">
        <v>482</v>
      </c>
      <c r="E10" s="315"/>
      <c r="F10" s="315"/>
      <c r="G10" s="315"/>
      <c r="H10" s="315"/>
      <c r="I10" s="315"/>
      <c r="J10" s="315"/>
      <c r="K10" s="315"/>
      <c r="L10" s="315"/>
      <c r="M10" s="315"/>
      <c r="N10" s="315"/>
      <c r="O10" s="316"/>
    </row>
    <row r="11" spans="1:26" ht="22.5" customHeight="1" thickBot="1" x14ac:dyDescent="0.35">
      <c r="A11" s="387"/>
      <c r="B11" s="388"/>
      <c r="C11" s="389"/>
      <c r="D11" s="213" t="s">
        <v>19</v>
      </c>
      <c r="E11" s="212"/>
      <c r="F11" s="212"/>
      <c r="G11" s="212"/>
      <c r="H11" s="212"/>
      <c r="I11" s="212"/>
      <c r="J11" s="212"/>
      <c r="K11" s="212"/>
      <c r="L11" s="201"/>
      <c r="M11" s="201"/>
      <c r="N11" s="201"/>
      <c r="O11" s="202"/>
      <c r="R11" s="372" t="s">
        <v>20</v>
      </c>
      <c r="S11" s="373"/>
      <c r="T11" s="156"/>
      <c r="U11" s="156"/>
      <c r="V11" s="156"/>
      <c r="W11" s="156"/>
      <c r="X11" s="156"/>
      <c r="Y11" s="156"/>
      <c r="Z11" s="156"/>
    </row>
    <row r="12" spans="1:26" ht="20.100000000000001" customHeight="1" x14ac:dyDescent="0.3">
      <c r="A12" s="317" t="s">
        <v>21</v>
      </c>
      <c r="B12" s="318"/>
      <c r="C12" s="319"/>
      <c r="D12" s="320" t="s">
        <v>22</v>
      </c>
      <c r="E12" s="321"/>
      <c r="F12" s="321"/>
      <c r="G12" s="321"/>
      <c r="H12" s="321"/>
      <c r="I12" s="321"/>
      <c r="J12" s="321"/>
      <c r="K12" s="322"/>
      <c r="L12" s="205"/>
      <c r="M12" s="205"/>
      <c r="N12" s="205"/>
      <c r="O12" s="206"/>
      <c r="R12" s="229">
        <v>43604</v>
      </c>
      <c r="S12" s="157" t="s">
        <v>23</v>
      </c>
      <c r="T12" s="156"/>
      <c r="U12" s="156"/>
      <c r="V12" s="156"/>
      <c r="W12" s="156"/>
      <c r="X12" s="156"/>
      <c r="Y12" s="156"/>
      <c r="Z12" s="156"/>
    </row>
    <row r="13" spans="1:26" ht="20.100000000000001" customHeight="1" x14ac:dyDescent="0.3">
      <c r="A13" s="317" t="s">
        <v>24</v>
      </c>
      <c r="B13" s="318"/>
      <c r="C13" s="319"/>
      <c r="D13" s="320">
        <v>9</v>
      </c>
      <c r="E13" s="321"/>
      <c r="F13" s="321"/>
      <c r="G13" s="321"/>
      <c r="H13" s="321"/>
      <c r="I13" s="321"/>
      <c r="J13" s="321"/>
      <c r="K13" s="322"/>
      <c r="L13" s="207"/>
      <c r="M13" s="207"/>
      <c r="N13" s="207"/>
      <c r="O13" s="208"/>
      <c r="R13" s="229">
        <v>43604</v>
      </c>
      <c r="S13" s="156" t="s">
        <v>25</v>
      </c>
      <c r="T13" s="156"/>
      <c r="U13" s="156"/>
      <c r="V13" s="156"/>
      <c r="W13" s="156"/>
      <c r="X13" s="156"/>
      <c r="Y13" s="156"/>
      <c r="Z13" s="156"/>
    </row>
    <row r="14" spans="1:26" ht="20.100000000000001" customHeight="1" x14ac:dyDescent="0.3">
      <c r="A14" s="317" t="s">
        <v>26</v>
      </c>
      <c r="B14" s="318"/>
      <c r="C14" s="319"/>
      <c r="D14" s="320" t="s">
        <v>27</v>
      </c>
      <c r="E14" s="321"/>
      <c r="F14" s="321"/>
      <c r="G14" s="321"/>
      <c r="H14" s="321"/>
      <c r="I14" s="321"/>
      <c r="J14" s="321"/>
      <c r="K14" s="322"/>
      <c r="L14" s="207"/>
      <c r="M14" s="207"/>
      <c r="N14" s="207"/>
      <c r="O14" s="208"/>
      <c r="R14" s="229">
        <v>43678</v>
      </c>
      <c r="S14" s="156" t="s">
        <v>28</v>
      </c>
      <c r="T14" s="156"/>
      <c r="U14" s="156"/>
      <c r="V14" s="156"/>
      <c r="W14" s="156"/>
      <c r="X14" s="156"/>
      <c r="Y14" s="156"/>
      <c r="Z14" s="156"/>
    </row>
    <row r="15" spans="1:26" ht="20.100000000000001" customHeight="1" x14ac:dyDescent="0.3">
      <c r="A15" s="317" t="s">
        <v>29</v>
      </c>
      <c r="B15" s="318"/>
      <c r="C15" s="319"/>
      <c r="D15" s="320" t="s">
        <v>30</v>
      </c>
      <c r="E15" s="321"/>
      <c r="F15" s="321"/>
      <c r="G15" s="321"/>
      <c r="H15" s="321"/>
      <c r="I15" s="321"/>
      <c r="J15" s="321"/>
      <c r="K15" s="322"/>
      <c r="L15" s="207"/>
      <c r="M15" s="207"/>
      <c r="N15" s="207"/>
      <c r="O15" s="208"/>
      <c r="R15" s="229">
        <v>43846</v>
      </c>
      <c r="S15" s="156" t="s">
        <v>31</v>
      </c>
      <c r="T15" s="156"/>
      <c r="U15" s="156"/>
      <c r="V15" s="156"/>
      <c r="W15" s="156"/>
      <c r="X15" s="156"/>
      <c r="Y15" s="156"/>
      <c r="Z15" s="156"/>
    </row>
    <row r="16" spans="1:26" ht="20.100000000000001" customHeight="1" x14ac:dyDescent="0.3">
      <c r="A16" s="317" t="s">
        <v>32</v>
      </c>
      <c r="B16" s="318"/>
      <c r="C16" s="319"/>
      <c r="D16" s="320" t="s">
        <v>33</v>
      </c>
      <c r="E16" s="321"/>
      <c r="F16" s="321"/>
      <c r="G16" s="321"/>
      <c r="H16" s="321"/>
      <c r="I16" s="321"/>
      <c r="J16" s="321"/>
      <c r="K16" s="322"/>
      <c r="L16" s="207"/>
      <c r="M16" s="207"/>
      <c r="N16" s="207"/>
      <c r="O16" s="208"/>
      <c r="R16" s="229"/>
      <c r="S16" s="156"/>
      <c r="T16" s="156"/>
      <c r="U16" s="156"/>
      <c r="V16" s="156"/>
      <c r="W16" s="156"/>
      <c r="X16" s="156"/>
      <c r="Y16" s="156"/>
      <c r="Z16" s="156"/>
    </row>
    <row r="17" spans="1:26" ht="20.100000000000001" customHeight="1" x14ac:dyDescent="0.3">
      <c r="A17" s="317" t="s">
        <v>34</v>
      </c>
      <c r="B17" s="318"/>
      <c r="C17" s="319"/>
      <c r="D17" s="320" t="s">
        <v>35</v>
      </c>
      <c r="E17" s="321"/>
      <c r="F17" s="321"/>
      <c r="G17" s="321"/>
      <c r="H17" s="321"/>
      <c r="I17" s="321"/>
      <c r="J17" s="321"/>
      <c r="K17" s="322"/>
      <c r="L17" s="207"/>
      <c r="M17" s="207"/>
      <c r="N17" s="207"/>
      <c r="O17" s="208"/>
      <c r="R17" s="229"/>
      <c r="S17" s="156" t="s">
        <v>36</v>
      </c>
      <c r="T17" s="156"/>
      <c r="U17" s="156"/>
      <c r="V17" s="156"/>
      <c r="W17" s="156"/>
      <c r="X17" s="156"/>
      <c r="Y17" s="156"/>
      <c r="Z17" s="156"/>
    </row>
    <row r="18" spans="1:26" ht="20.100000000000001" customHeight="1" x14ac:dyDescent="0.3">
      <c r="A18" s="317" t="s">
        <v>37</v>
      </c>
      <c r="B18" s="318"/>
      <c r="C18" s="319"/>
      <c r="D18" s="320" t="s">
        <v>38</v>
      </c>
      <c r="E18" s="321"/>
      <c r="F18" s="321"/>
      <c r="G18" s="321"/>
      <c r="H18" s="321"/>
      <c r="I18" s="321"/>
      <c r="J18" s="321"/>
      <c r="K18" s="322"/>
      <c r="L18" s="207"/>
      <c r="M18" s="207"/>
      <c r="N18" s="207"/>
      <c r="O18" s="208"/>
      <c r="R18" s="229"/>
      <c r="S18" s="156" t="s">
        <v>39</v>
      </c>
      <c r="T18" s="156"/>
      <c r="U18" s="156"/>
      <c r="V18" s="156"/>
      <c r="W18" s="156"/>
      <c r="X18" s="156"/>
      <c r="Y18" s="156"/>
      <c r="Z18" s="156"/>
    </row>
    <row r="19" spans="1:26" ht="20.100000000000001" customHeight="1" x14ac:dyDescent="0.3">
      <c r="A19" s="317" t="s">
        <v>40</v>
      </c>
      <c r="B19" s="318"/>
      <c r="C19" s="319"/>
      <c r="D19" s="320" t="s">
        <v>41</v>
      </c>
      <c r="E19" s="321"/>
      <c r="F19" s="321"/>
      <c r="G19" s="321"/>
      <c r="H19" s="321"/>
      <c r="I19" s="321"/>
      <c r="J19" s="321"/>
      <c r="K19" s="322"/>
      <c r="L19" s="209"/>
      <c r="M19" s="209"/>
      <c r="N19" s="209"/>
      <c r="O19" s="210"/>
      <c r="R19" s="229">
        <v>43881</v>
      </c>
      <c r="S19" s="156" t="s">
        <v>42</v>
      </c>
      <c r="T19" s="156"/>
      <c r="U19" s="156"/>
      <c r="V19" s="156"/>
      <c r="W19" s="156"/>
      <c r="X19" s="156"/>
      <c r="Y19" s="156"/>
      <c r="Z19" s="156"/>
    </row>
    <row r="20" spans="1:26" ht="1.5" customHeight="1" thickBot="1" x14ac:dyDescent="0.35">
      <c r="A20" s="367"/>
      <c r="B20" s="368"/>
      <c r="C20" s="368"/>
      <c r="D20" s="368"/>
      <c r="E20" s="368"/>
      <c r="F20" s="368"/>
      <c r="G20" s="368"/>
      <c r="H20" s="368"/>
      <c r="I20" s="368"/>
      <c r="J20" s="368"/>
      <c r="K20" s="368"/>
      <c r="L20" s="368"/>
      <c r="M20" s="368"/>
      <c r="N20" s="368"/>
      <c r="O20" s="369"/>
      <c r="R20" s="229">
        <v>43893</v>
      </c>
      <c r="S20" s="371" t="s">
        <v>43</v>
      </c>
      <c r="T20" s="371"/>
      <c r="U20" s="371"/>
      <c r="V20" s="371"/>
      <c r="W20" s="371"/>
      <c r="X20" s="371"/>
      <c r="Y20" s="371"/>
      <c r="Z20" s="371"/>
    </row>
    <row r="21" spans="1:26" ht="18.75" customHeight="1" thickTop="1" thickBot="1" x14ac:dyDescent="0.35">
      <c r="A21" s="358" t="s">
        <v>44</v>
      </c>
      <c r="B21" s="359"/>
      <c r="C21" s="359"/>
      <c r="D21" s="359"/>
      <c r="E21" s="359"/>
      <c r="F21" s="359"/>
      <c r="G21" s="359"/>
      <c r="H21" s="359"/>
      <c r="I21" s="359"/>
      <c r="J21" s="359"/>
      <c r="K21" s="359"/>
      <c r="L21" s="359"/>
      <c r="M21" s="359"/>
      <c r="N21" s="359"/>
      <c r="O21" s="360"/>
      <c r="R21" s="229"/>
      <c r="S21" s="371"/>
      <c r="T21" s="371"/>
      <c r="U21" s="371"/>
      <c r="V21" s="371"/>
      <c r="W21" s="371"/>
      <c r="X21" s="371"/>
      <c r="Y21" s="371"/>
      <c r="Z21" s="371"/>
    </row>
    <row r="22" spans="1:26" ht="1.5" customHeight="1" thickTop="1" x14ac:dyDescent="0.3">
      <c r="A22" s="354"/>
      <c r="B22" s="355"/>
      <c r="C22" s="355"/>
      <c r="D22" s="355"/>
      <c r="E22" s="355"/>
      <c r="F22" s="355"/>
      <c r="G22" s="355"/>
      <c r="H22" s="356"/>
      <c r="I22" s="356"/>
      <c r="J22" s="356"/>
      <c r="K22" s="356"/>
      <c r="L22" s="356"/>
      <c r="M22" s="356"/>
      <c r="N22" s="356"/>
      <c r="O22" s="357"/>
      <c r="R22" s="229">
        <v>43962</v>
      </c>
      <c r="S22" s="380" t="s">
        <v>45</v>
      </c>
      <c r="T22" s="380"/>
      <c r="U22" s="380"/>
      <c r="V22" s="380"/>
      <c r="W22" s="380"/>
      <c r="X22" s="380"/>
      <c r="Y22" s="380"/>
      <c r="Z22" s="380"/>
    </row>
    <row r="23" spans="1:26" ht="15" customHeight="1" x14ac:dyDescent="0.3">
      <c r="A23" s="364" t="s">
        <v>46</v>
      </c>
      <c r="B23" s="365"/>
      <c r="C23" s="365"/>
      <c r="D23" s="365"/>
      <c r="E23" s="365"/>
      <c r="F23" s="365"/>
      <c r="G23" s="366"/>
      <c r="H23" s="57"/>
      <c r="I23" s="323" t="s">
        <v>47</v>
      </c>
      <c r="J23" s="323"/>
      <c r="K23" s="323"/>
      <c r="L23" s="323"/>
      <c r="M23" s="323"/>
      <c r="N23" s="323"/>
      <c r="O23" s="324"/>
      <c r="R23" s="229"/>
      <c r="S23" s="380"/>
      <c r="T23" s="380"/>
      <c r="U23" s="380"/>
      <c r="V23" s="380"/>
      <c r="W23" s="380"/>
      <c r="X23" s="380"/>
      <c r="Y23" s="380"/>
      <c r="Z23" s="380"/>
    </row>
    <row r="24" spans="1:26" ht="15" customHeight="1" x14ac:dyDescent="0.3">
      <c r="A24" s="362" t="s">
        <v>48</v>
      </c>
      <c r="B24" s="285" t="s">
        <v>49</v>
      </c>
      <c r="C24" s="285" t="s">
        <v>50</v>
      </c>
      <c r="D24" s="294" t="s">
        <v>51</v>
      </c>
      <c r="E24" s="295"/>
      <c r="F24" s="296"/>
      <c r="G24" s="351" t="s">
        <v>52</v>
      </c>
      <c r="H24" s="57"/>
      <c r="I24" s="281" t="s">
        <v>53</v>
      </c>
      <c r="J24" s="281"/>
      <c r="K24" s="281"/>
      <c r="L24" s="281" t="str">
        <f>'Calcs &amp; Signs'!D39</f>
        <v>Rating by RF</v>
      </c>
      <c r="M24" s="281"/>
      <c r="N24" s="281"/>
      <c r="O24" s="353"/>
      <c r="R24" s="229">
        <v>44813</v>
      </c>
      <c r="S24" s="156" t="s">
        <v>54</v>
      </c>
      <c r="T24" s="156"/>
      <c r="U24" s="156"/>
      <c r="V24" s="156"/>
      <c r="W24" s="156"/>
      <c r="X24" s="156"/>
      <c r="Y24" s="156"/>
      <c r="Z24" s="156"/>
    </row>
    <row r="25" spans="1:26" ht="15" customHeight="1" x14ac:dyDescent="0.3">
      <c r="A25" s="363"/>
      <c r="B25" s="286"/>
      <c r="C25" s="286"/>
      <c r="D25" s="297" t="s">
        <v>55</v>
      </c>
      <c r="E25" s="298"/>
      <c r="F25" s="299"/>
      <c r="G25" s="352"/>
      <c r="H25" s="57"/>
      <c r="I25" s="281"/>
      <c r="J25" s="281"/>
      <c r="K25" s="281"/>
      <c r="L25" s="281" t="s">
        <v>56</v>
      </c>
      <c r="M25" s="281"/>
      <c r="N25" s="304" t="s">
        <v>57</v>
      </c>
      <c r="O25" s="305"/>
      <c r="R25" s="229">
        <v>44915</v>
      </c>
      <c r="S25" s="156" t="s">
        <v>58</v>
      </c>
      <c r="T25" s="156"/>
      <c r="U25" s="156"/>
      <c r="V25" s="156"/>
      <c r="W25" s="156"/>
      <c r="X25" s="156"/>
      <c r="Y25" s="156"/>
      <c r="Z25" s="156"/>
    </row>
    <row r="26" spans="1:26" ht="15" customHeight="1" x14ac:dyDescent="0.3">
      <c r="A26" s="58" t="str">
        <f>'Calcs &amp; Signs'!B14</f>
        <v>2F1</v>
      </c>
      <c r="B26" s="64">
        <f>'Calcs &amp; Signs'!D14</f>
        <v>15</v>
      </c>
      <c r="C26" s="64">
        <v>2</v>
      </c>
      <c r="D26" s="301">
        <v>2.6389999999999998</v>
      </c>
      <c r="E26" s="302"/>
      <c r="F26" s="303"/>
      <c r="G26" s="59">
        <f>'Calcs &amp; Signs'!E14</f>
        <v>15</v>
      </c>
      <c r="H26" s="57"/>
      <c r="I26" s="304" t="str">
        <f>VLOOKUP(D18,List!P3:R20,3)</f>
        <v>HL93 Loading</v>
      </c>
      <c r="J26" s="304"/>
      <c r="K26" s="304"/>
      <c r="L26" s="279">
        <v>1.147</v>
      </c>
      <c r="M26" s="279"/>
      <c r="N26" s="279">
        <v>1.1919999999999999</v>
      </c>
      <c r="O26" s="280"/>
      <c r="R26" s="229">
        <v>44959</v>
      </c>
      <c r="S26" s="156" t="s">
        <v>59</v>
      </c>
      <c r="T26" s="156"/>
      <c r="U26" s="156"/>
      <c r="V26" s="156"/>
      <c r="W26" s="156"/>
      <c r="X26" s="156"/>
      <c r="Y26" s="156"/>
      <c r="Z26" s="156"/>
    </row>
    <row r="27" spans="1:26" ht="12.75" customHeight="1" x14ac:dyDescent="0.3">
      <c r="A27" s="58" t="str">
        <f>'Calcs &amp; Signs'!B15</f>
        <v>3F1</v>
      </c>
      <c r="B27" s="181">
        <f>'Calcs &amp; Signs'!D15</f>
        <v>23</v>
      </c>
      <c r="C27" s="181">
        <v>3</v>
      </c>
      <c r="D27" s="301">
        <v>1.7889999999999999</v>
      </c>
      <c r="E27" s="302"/>
      <c r="F27" s="303"/>
      <c r="G27" s="59">
        <f>'Calcs &amp; Signs'!E15</f>
        <v>23</v>
      </c>
      <c r="H27" s="60"/>
      <c r="I27" s="287" t="s">
        <v>60</v>
      </c>
      <c r="J27" s="288"/>
      <c r="K27" s="300"/>
      <c r="L27" s="349" t="str">
        <f>'Calcs &amp; Signs'!D38</f>
        <v>No Load Posting is Recommended</v>
      </c>
      <c r="M27" s="349"/>
      <c r="N27" s="349"/>
      <c r="O27" s="350"/>
      <c r="R27" s="229"/>
      <c r="S27" s="156"/>
      <c r="T27" s="156"/>
      <c r="U27" s="156"/>
      <c r="V27" s="156"/>
      <c r="W27" s="156"/>
      <c r="X27" s="156"/>
      <c r="Y27" s="156"/>
      <c r="Z27" s="156"/>
    </row>
    <row r="28" spans="1:26" ht="15" customHeight="1" x14ac:dyDescent="0.3">
      <c r="A28" s="160" t="str">
        <f>'Calcs &amp; Signs'!B17</f>
        <v>5C1</v>
      </c>
      <c r="B28" s="168">
        <f>'Calcs &amp; Signs'!D17</f>
        <v>40</v>
      </c>
      <c r="C28" s="168">
        <v>5</v>
      </c>
      <c r="D28" s="374">
        <v>1.839</v>
      </c>
      <c r="E28" s="375"/>
      <c r="F28" s="376"/>
      <c r="G28" s="177">
        <f>'Calcs &amp; Signs'!E17</f>
        <v>40</v>
      </c>
      <c r="H28" s="60"/>
      <c r="I28" s="178"/>
      <c r="J28" s="179"/>
      <c r="K28" s="180"/>
      <c r="O28" s="155"/>
      <c r="R28" s="229"/>
      <c r="S28" s="156"/>
      <c r="T28" s="156"/>
      <c r="U28" s="156"/>
      <c r="V28" s="156"/>
      <c r="W28" s="156"/>
      <c r="X28" s="156"/>
      <c r="Y28" s="156"/>
      <c r="Z28" s="156"/>
    </row>
    <row r="29" spans="1:26" ht="15" customHeight="1" x14ac:dyDescent="0.3">
      <c r="A29" s="58" t="str">
        <f>'Calcs &amp; Signs'!B18</f>
        <v>Type 3</v>
      </c>
      <c r="B29" s="64">
        <f>'Calcs &amp; Signs'!D18</f>
        <v>25</v>
      </c>
      <c r="C29" s="64">
        <v>3</v>
      </c>
      <c r="D29" s="301">
        <v>1.845</v>
      </c>
      <c r="E29" s="302"/>
      <c r="F29" s="303"/>
      <c r="G29" s="59">
        <f>'Calcs &amp; Signs'!E18</f>
        <v>25</v>
      </c>
      <c r="H29" s="61"/>
      <c r="I29" s="306" t="s">
        <v>61</v>
      </c>
      <c r="J29" s="307"/>
      <c r="K29" s="308"/>
      <c r="O29" s="155"/>
      <c r="R29" s="229"/>
      <c r="S29" s="156"/>
      <c r="T29" s="156"/>
      <c r="U29" s="156"/>
      <c r="V29" s="156"/>
      <c r="W29" s="156"/>
      <c r="X29" s="156"/>
      <c r="Y29" s="156"/>
      <c r="Z29" s="156"/>
    </row>
    <row r="30" spans="1:26" ht="15" customHeight="1" x14ac:dyDescent="0.3">
      <c r="A30" s="58" t="str">
        <f>'Calcs &amp; Signs'!B19</f>
        <v>Type 3-3</v>
      </c>
      <c r="B30" s="64">
        <f>'Calcs &amp; Signs'!D19</f>
        <v>40</v>
      </c>
      <c r="C30" s="64">
        <v>6</v>
      </c>
      <c r="D30" s="301">
        <v>2.2170000000000001</v>
      </c>
      <c r="E30" s="302"/>
      <c r="F30" s="303"/>
      <c r="G30" s="59">
        <f>'Calcs &amp; Signs'!E19</f>
        <v>40</v>
      </c>
      <c r="H30" s="61"/>
      <c r="I30" s="306"/>
      <c r="J30" s="307"/>
      <c r="K30" s="308"/>
      <c r="O30" s="155"/>
      <c r="R30" s="230"/>
    </row>
    <row r="31" spans="1:26" ht="15" customHeight="1" x14ac:dyDescent="0.3">
      <c r="A31" s="58" t="str">
        <f>'Calcs &amp; Signs'!B20</f>
        <v>Type 3S2</v>
      </c>
      <c r="B31" s="64">
        <f>'Calcs &amp; Signs'!D20</f>
        <v>36</v>
      </c>
      <c r="C31" s="64">
        <v>5</v>
      </c>
      <c r="D31" s="301">
        <v>2.0179999999999998</v>
      </c>
      <c r="E31" s="302"/>
      <c r="F31" s="303"/>
      <c r="G31" s="59">
        <f>'Calcs &amp; Signs'!E20</f>
        <v>36</v>
      </c>
      <c r="H31" s="61"/>
      <c r="I31" s="306"/>
      <c r="J31" s="307"/>
      <c r="K31" s="308"/>
      <c r="O31" s="155"/>
      <c r="R31" s="230"/>
    </row>
    <row r="32" spans="1:26" ht="2.25" customHeight="1" x14ac:dyDescent="0.3">
      <c r="A32" s="381"/>
      <c r="B32" s="382"/>
      <c r="C32" s="382"/>
      <c r="D32" s="382"/>
      <c r="E32" s="382"/>
      <c r="F32" s="382"/>
      <c r="G32" s="382"/>
      <c r="H32" s="61"/>
      <c r="I32" s="306"/>
      <c r="J32" s="307"/>
      <c r="K32" s="308"/>
      <c r="L32" s="63"/>
      <c r="M32" s="63"/>
      <c r="N32" s="63"/>
      <c r="O32" s="153"/>
      <c r="Q32" s="1"/>
      <c r="R32" s="230"/>
    </row>
    <row r="33" spans="1:18" ht="15" customHeight="1" x14ac:dyDescent="0.3">
      <c r="A33" s="346" t="s">
        <v>62</v>
      </c>
      <c r="B33" s="347"/>
      <c r="C33" s="347"/>
      <c r="D33" s="347"/>
      <c r="E33" s="347"/>
      <c r="F33" s="347"/>
      <c r="G33" s="348"/>
      <c r="H33" s="60"/>
      <c r="I33" s="306"/>
      <c r="J33" s="307"/>
      <c r="K33" s="308"/>
      <c r="L33" s="154"/>
      <c r="M33" s="154"/>
      <c r="N33" s="154"/>
      <c r="O33" s="155"/>
      <c r="Q33" s="1"/>
      <c r="R33" s="230"/>
    </row>
    <row r="34" spans="1:18" ht="15" customHeight="1" x14ac:dyDescent="0.3">
      <c r="A34" s="158" t="str">
        <f>'Calcs &amp; Signs'!B21</f>
        <v>SU4/4F1</v>
      </c>
      <c r="B34" s="65">
        <f>'Calcs &amp; Signs'!D21</f>
        <v>27</v>
      </c>
      <c r="C34" s="64">
        <v>4</v>
      </c>
      <c r="D34" s="301">
        <v>1.597</v>
      </c>
      <c r="E34" s="302"/>
      <c r="F34" s="303"/>
      <c r="G34" s="59">
        <f>'Calcs &amp; Signs'!E21</f>
        <v>27</v>
      </c>
      <c r="H34" s="60"/>
      <c r="I34" s="306"/>
      <c r="J34" s="307"/>
      <c r="K34" s="308"/>
      <c r="L34" s="154"/>
      <c r="M34" s="154"/>
      <c r="N34" s="154"/>
      <c r="O34" s="155"/>
      <c r="Q34" s="1"/>
      <c r="R34" s="230"/>
    </row>
    <row r="35" spans="1:18" ht="10.5" customHeight="1" x14ac:dyDescent="0.3">
      <c r="A35" s="344" t="str">
        <f>'Calcs &amp; Signs'!B22</f>
        <v>SU5</v>
      </c>
      <c r="B35" s="383">
        <f>'Calcs &amp; Signs'!D22</f>
        <v>31</v>
      </c>
      <c r="C35" s="292">
        <v>5</v>
      </c>
      <c r="D35" s="377">
        <v>1.4850000000000001</v>
      </c>
      <c r="E35" s="378"/>
      <c r="F35" s="379"/>
      <c r="G35" s="385">
        <f>'Calcs &amp; Signs'!E22</f>
        <v>31</v>
      </c>
      <c r="H35" s="60"/>
      <c r="I35" s="306"/>
      <c r="J35" s="307"/>
      <c r="K35" s="308"/>
      <c r="L35" s="154"/>
      <c r="M35" s="154"/>
      <c r="N35" s="154"/>
      <c r="O35" s="155"/>
      <c r="Q35" s="1"/>
      <c r="R35" s="230"/>
    </row>
    <row r="36" spans="1:18" ht="3.75" customHeight="1" x14ac:dyDescent="0.3">
      <c r="A36" s="345"/>
      <c r="B36" s="384"/>
      <c r="C36" s="293"/>
      <c r="D36" s="374"/>
      <c r="E36" s="375"/>
      <c r="F36" s="376"/>
      <c r="G36" s="386"/>
      <c r="H36" s="61"/>
      <c r="I36" s="306"/>
      <c r="J36" s="307"/>
      <c r="K36" s="308"/>
      <c r="L36" s="154"/>
      <c r="M36" s="154"/>
      <c r="N36" s="154"/>
      <c r="O36" s="155"/>
      <c r="Q36" s="1"/>
      <c r="R36" s="230"/>
    </row>
    <row r="37" spans="1:18" ht="15" customHeight="1" x14ac:dyDescent="0.3">
      <c r="A37" s="158" t="str">
        <f>'Calcs &amp; Signs'!B23</f>
        <v>SU6</v>
      </c>
      <c r="B37" s="65">
        <f>'Calcs &amp; Signs'!D23</f>
        <v>34.75</v>
      </c>
      <c r="C37" s="64">
        <v>6</v>
      </c>
      <c r="D37" s="301">
        <v>1.335</v>
      </c>
      <c r="E37" s="302"/>
      <c r="F37" s="303"/>
      <c r="G37" s="59">
        <f>'Calcs &amp; Signs'!E23</f>
        <v>34.75</v>
      </c>
      <c r="H37" s="161"/>
      <c r="I37" s="306"/>
      <c r="J37" s="307"/>
      <c r="K37" s="308"/>
      <c r="L37" s="154"/>
      <c r="M37" s="154"/>
      <c r="N37" s="154"/>
      <c r="O37" s="155"/>
      <c r="R37" s="230"/>
    </row>
    <row r="38" spans="1:18" ht="13.5" customHeight="1" x14ac:dyDescent="0.3">
      <c r="A38" s="160" t="str">
        <f>'Calcs &amp; Signs'!B24</f>
        <v>SU7</v>
      </c>
      <c r="B38" s="65">
        <f>'Calcs &amp; Signs'!D24</f>
        <v>38.75</v>
      </c>
      <c r="C38" s="64">
        <v>7</v>
      </c>
      <c r="D38" s="301">
        <v>1.2410000000000001</v>
      </c>
      <c r="E38" s="302"/>
      <c r="F38" s="303"/>
      <c r="G38" s="59">
        <f>'Calcs &amp; Signs'!E24</f>
        <v>38.75</v>
      </c>
      <c r="H38" s="161"/>
      <c r="I38" s="306"/>
      <c r="J38" s="307"/>
      <c r="K38" s="308"/>
      <c r="L38" s="154"/>
      <c r="M38" s="154"/>
      <c r="N38" s="154"/>
      <c r="O38" s="155"/>
      <c r="R38" s="230"/>
    </row>
    <row r="39" spans="1:18" ht="13.5" customHeight="1" x14ac:dyDescent="0.3">
      <c r="A39" s="58"/>
      <c r="B39" s="64"/>
      <c r="C39" s="64"/>
      <c r="D39" s="282"/>
      <c r="E39" s="283"/>
      <c r="F39" s="284"/>
      <c r="G39" s="59"/>
      <c r="H39" s="161"/>
      <c r="I39" s="309"/>
      <c r="J39" s="310"/>
      <c r="K39" s="311"/>
      <c r="L39" s="154"/>
      <c r="M39" s="154"/>
      <c r="N39" s="154"/>
      <c r="O39" s="155"/>
      <c r="R39" s="230"/>
    </row>
    <row r="40" spans="1:18" ht="2.25" customHeight="1" x14ac:dyDescent="0.3">
      <c r="A40" s="430"/>
      <c r="B40" s="431"/>
      <c r="C40" s="431"/>
      <c r="D40" s="431"/>
      <c r="E40" s="431"/>
      <c r="F40" s="431"/>
      <c r="G40" s="431"/>
      <c r="H40" s="161"/>
      <c r="I40" s="428"/>
      <c r="J40" s="428"/>
      <c r="K40" s="428"/>
      <c r="L40" s="428"/>
      <c r="M40" s="428"/>
      <c r="N40" s="428"/>
      <c r="O40" s="429"/>
      <c r="R40" s="230"/>
    </row>
    <row r="41" spans="1:18" ht="15" customHeight="1" x14ac:dyDescent="0.3">
      <c r="A41" s="432" t="s">
        <v>63</v>
      </c>
      <c r="B41" s="433"/>
      <c r="C41" s="433"/>
      <c r="D41" s="433"/>
      <c r="E41" s="433"/>
      <c r="F41" s="433"/>
      <c r="G41" s="434"/>
      <c r="H41" s="161"/>
      <c r="I41" s="438" t="s">
        <v>64</v>
      </c>
      <c r="J41" s="438"/>
      <c r="K41" s="438"/>
      <c r="L41" s="438"/>
      <c r="M41" s="438"/>
      <c r="N41" s="438"/>
      <c r="O41" s="439"/>
      <c r="R41" s="230"/>
    </row>
    <row r="42" spans="1:18" ht="24.75" customHeight="1" x14ac:dyDescent="0.3">
      <c r="A42" s="435" t="s">
        <v>65</v>
      </c>
      <c r="B42" s="436"/>
      <c r="C42" s="436"/>
      <c r="D42" s="436"/>
      <c r="E42" s="436"/>
      <c r="F42" s="436"/>
      <c r="G42" s="437"/>
      <c r="H42" s="161"/>
      <c r="I42" s="166" t="s">
        <v>53</v>
      </c>
      <c r="J42" s="167" t="s">
        <v>49</v>
      </c>
      <c r="K42" s="167" t="s">
        <v>50</v>
      </c>
      <c r="L42" s="417" t="s">
        <v>51</v>
      </c>
      <c r="M42" s="418"/>
      <c r="N42" s="419"/>
      <c r="O42" s="169" t="s">
        <v>66</v>
      </c>
      <c r="R42" s="230"/>
    </row>
    <row r="43" spans="1:18" ht="17.399999999999999" customHeight="1" x14ac:dyDescent="0.3">
      <c r="A43" s="62" t="str">
        <f>'Calcs &amp; Signs'!B26</f>
        <v>EV2</v>
      </c>
      <c r="B43" s="66">
        <f>'Calcs &amp; Signs'!D26</f>
        <v>28.75</v>
      </c>
      <c r="C43" s="66">
        <f>'Calcs &amp; Signs'!I26</f>
        <v>2</v>
      </c>
      <c r="D43" s="301">
        <v>1.6140000000000001</v>
      </c>
      <c r="E43" s="302"/>
      <c r="F43" s="303"/>
      <c r="G43" s="159">
        <f>'Calcs &amp; Signs'!E26</f>
        <v>28.75</v>
      </c>
      <c r="H43" s="161"/>
      <c r="I43" s="184" t="s">
        <v>67</v>
      </c>
      <c r="J43" s="64">
        <v>60</v>
      </c>
      <c r="K43" s="64">
        <v>6</v>
      </c>
      <c r="L43" s="301">
        <v>2.7650000000000001</v>
      </c>
      <c r="M43" s="302"/>
      <c r="N43" s="303"/>
      <c r="O43" s="170">
        <f>L43*J43</f>
        <v>165.9</v>
      </c>
      <c r="R43" s="230"/>
    </row>
    <row r="44" spans="1:18" ht="17.399999999999999" customHeight="1" x14ac:dyDescent="0.3">
      <c r="A44" s="62" t="str">
        <f>'Calcs &amp; Signs'!B27</f>
        <v>EV3</v>
      </c>
      <c r="B44" s="66">
        <f>'Calcs &amp; Signs'!D27</f>
        <v>43</v>
      </c>
      <c r="C44" s="66">
        <f>'Calcs &amp; Signs'!I27</f>
        <v>3</v>
      </c>
      <c r="D44" s="403">
        <v>2.2250000000000001</v>
      </c>
      <c r="E44" s="404"/>
      <c r="F44" s="405"/>
      <c r="G44" s="59">
        <f>'Calcs &amp; Signs'!E27</f>
        <v>43</v>
      </c>
      <c r="H44" s="161"/>
      <c r="I44" s="184" t="s">
        <v>68</v>
      </c>
      <c r="J44" s="64">
        <v>65</v>
      </c>
      <c r="K44" s="64">
        <v>7</v>
      </c>
      <c r="L44" s="301">
        <v>2.2480000000000002</v>
      </c>
      <c r="M44" s="302"/>
      <c r="N44" s="303"/>
      <c r="O44" s="170">
        <f>L44*J44</f>
        <v>146.12</v>
      </c>
      <c r="R44" s="230"/>
    </row>
    <row r="45" spans="1:18" ht="2.25" customHeight="1" x14ac:dyDescent="0.3">
      <c r="A45" s="401"/>
      <c r="B45" s="402"/>
      <c r="C45" s="402"/>
      <c r="D45" s="402"/>
      <c r="E45" s="402"/>
      <c r="F45" s="402"/>
      <c r="G45" s="402"/>
      <c r="H45" s="161"/>
      <c r="I45" s="191"/>
      <c r="J45" s="193"/>
      <c r="K45" s="193"/>
      <c r="L45" s="194"/>
      <c r="M45" s="194"/>
      <c r="N45" s="194"/>
      <c r="O45" s="195"/>
      <c r="R45" s="230"/>
    </row>
    <row r="46" spans="1:18" ht="17.399999999999999" customHeight="1" x14ac:dyDescent="0.3">
      <c r="A46" s="398"/>
      <c r="B46" s="399"/>
      <c r="C46" s="399"/>
      <c r="D46" s="399"/>
      <c r="E46" s="399"/>
      <c r="F46" s="399"/>
      <c r="G46" s="400"/>
      <c r="I46" s="173"/>
      <c r="J46" s="192"/>
      <c r="K46" s="192"/>
      <c r="L46" s="192"/>
      <c r="M46" s="192"/>
      <c r="N46" s="192"/>
      <c r="O46" s="174"/>
      <c r="R46" s="230"/>
    </row>
    <row r="47" spans="1:18" ht="17.399999999999999" customHeight="1" x14ac:dyDescent="0.3">
      <c r="A47" s="396" t="s">
        <v>69</v>
      </c>
      <c r="B47" s="397"/>
      <c r="C47" s="397"/>
      <c r="D47" s="420">
        <f>'Calcs &amp; Signs'!D37</f>
        <v>1.25</v>
      </c>
      <c r="E47" s="421"/>
      <c r="F47" s="422"/>
      <c r="G47" s="183">
        <f>$D$47</f>
        <v>1.25</v>
      </c>
      <c r="I47" s="423" t="s">
        <v>70</v>
      </c>
      <c r="J47" s="423"/>
      <c r="K47" s="423"/>
      <c r="L47" s="424" t="s">
        <v>71</v>
      </c>
      <c r="M47" s="424"/>
      <c r="N47" s="424"/>
      <c r="O47" s="425"/>
      <c r="R47" s="230"/>
    </row>
    <row r="48" spans="1:18" ht="2.25" customHeight="1" thickBot="1" x14ac:dyDescent="0.35">
      <c r="A48" s="162"/>
      <c r="O48" s="171"/>
      <c r="R48" s="230"/>
    </row>
    <row r="49" spans="1:18" ht="18" customHeight="1" x14ac:dyDescent="0.3">
      <c r="A49" s="426" t="s">
        <v>72</v>
      </c>
      <c r="B49" s="427"/>
      <c r="C49" s="406" t="s">
        <v>73</v>
      </c>
      <c r="D49" s="407"/>
      <c r="E49" s="407"/>
      <c r="F49" s="407"/>
      <c r="G49" s="407"/>
      <c r="H49" s="407"/>
      <c r="I49" s="407"/>
      <c r="J49" s="407"/>
      <c r="K49" s="407"/>
      <c r="L49" s="407"/>
      <c r="M49" s="407"/>
      <c r="N49" s="407"/>
      <c r="O49" s="408"/>
      <c r="R49" s="230"/>
    </row>
    <row r="50" spans="1:18" ht="27.75" customHeight="1" x14ac:dyDescent="0.3">
      <c r="A50" s="163"/>
      <c r="B50" s="290" t="s">
        <v>74</v>
      </c>
      <c r="C50" s="313"/>
      <c r="D50" s="313"/>
      <c r="E50" s="332" t="s">
        <v>75</v>
      </c>
      <c r="F50" s="332"/>
      <c r="G50" s="409" t="s">
        <v>76</v>
      </c>
      <c r="H50" s="313"/>
      <c r="I50" s="410"/>
      <c r="J50" s="409" t="s">
        <v>77</v>
      </c>
      <c r="K50" s="313"/>
      <c r="L50" s="410"/>
      <c r="M50" s="332" t="s">
        <v>78</v>
      </c>
      <c r="N50" s="332"/>
      <c r="O50" s="200">
        <v>45358</v>
      </c>
      <c r="R50" s="230"/>
    </row>
    <row r="51" spans="1:18" ht="29.25" customHeight="1" x14ac:dyDescent="0.3">
      <c r="A51" s="164" t="s">
        <v>79</v>
      </c>
      <c r="B51" s="392" t="s">
        <v>80</v>
      </c>
      <c r="C51" s="393"/>
      <c r="D51" s="394"/>
      <c r="E51" s="392" t="s">
        <v>81</v>
      </c>
      <c r="F51" s="394"/>
      <c r="G51" s="392" t="s">
        <v>82</v>
      </c>
      <c r="H51" s="393"/>
      <c r="I51" s="394"/>
      <c r="J51" s="411" t="s">
        <v>83</v>
      </c>
      <c r="K51" s="412"/>
      <c r="L51" s="412"/>
      <c r="M51" s="412"/>
      <c r="N51" s="412"/>
      <c r="O51" s="413"/>
      <c r="R51" s="230"/>
    </row>
    <row r="52" spans="1:18" ht="24" customHeight="1" thickBot="1" x14ac:dyDescent="0.35">
      <c r="A52" s="165" t="s">
        <v>84</v>
      </c>
      <c r="B52" s="390" t="s">
        <v>85</v>
      </c>
      <c r="C52" s="395"/>
      <c r="D52" s="391"/>
      <c r="E52" s="390">
        <v>83975</v>
      </c>
      <c r="F52" s="391"/>
      <c r="G52" s="390" t="s">
        <v>86</v>
      </c>
      <c r="H52" s="395"/>
      <c r="I52" s="391"/>
      <c r="J52" s="414" t="s">
        <v>87</v>
      </c>
      <c r="K52" s="415"/>
      <c r="L52" s="415"/>
      <c r="M52" s="415"/>
      <c r="N52" s="415"/>
      <c r="O52" s="416"/>
      <c r="R52" s="230"/>
    </row>
    <row r="53" spans="1:18" x14ac:dyDescent="0.3">
      <c r="O53" s="68" t="s">
        <v>88</v>
      </c>
    </row>
    <row r="54" spans="1:18" x14ac:dyDescent="0.3">
      <c r="A54" s="10" t="s">
        <v>89</v>
      </c>
      <c r="B54" s="10"/>
    </row>
    <row r="55" spans="1:18" x14ac:dyDescent="0.3">
      <c r="A55" s="10"/>
      <c r="B55" s="10"/>
    </row>
  </sheetData>
  <sheetProtection selectLockedCells="1"/>
  <mergeCells count="115">
    <mergeCell ref="A18:C18"/>
    <mergeCell ref="A19:C19"/>
    <mergeCell ref="L42:N42"/>
    <mergeCell ref="J50:L50"/>
    <mergeCell ref="D47:F47"/>
    <mergeCell ref="L43:N43"/>
    <mergeCell ref="I47:K47"/>
    <mergeCell ref="L47:O47"/>
    <mergeCell ref="A49:B49"/>
    <mergeCell ref="M50:N50"/>
    <mergeCell ref="I40:O40"/>
    <mergeCell ref="A40:G40"/>
    <mergeCell ref="A41:G41"/>
    <mergeCell ref="A42:G42"/>
    <mergeCell ref="L44:N44"/>
    <mergeCell ref="I41:O41"/>
    <mergeCell ref="E52:F52"/>
    <mergeCell ref="E50:F50"/>
    <mergeCell ref="B50:D50"/>
    <mergeCell ref="B51:D51"/>
    <mergeCell ref="E51:F51"/>
    <mergeCell ref="B52:D52"/>
    <mergeCell ref="A47:C47"/>
    <mergeCell ref="A46:G46"/>
    <mergeCell ref="D43:F43"/>
    <mergeCell ref="A45:G45"/>
    <mergeCell ref="D44:F44"/>
    <mergeCell ref="C49:O49"/>
    <mergeCell ref="G50:I50"/>
    <mergeCell ref="G51:I51"/>
    <mergeCell ref="G52:I52"/>
    <mergeCell ref="J51:O51"/>
    <mergeCell ref="J52:O52"/>
    <mergeCell ref="S20:Z21"/>
    <mergeCell ref="R11:S11"/>
    <mergeCell ref="D28:F28"/>
    <mergeCell ref="D34:F34"/>
    <mergeCell ref="D35:F36"/>
    <mergeCell ref="S22:Z23"/>
    <mergeCell ref="I23:O23"/>
    <mergeCell ref="A32:G32"/>
    <mergeCell ref="D26:F26"/>
    <mergeCell ref="D27:F27"/>
    <mergeCell ref="B35:B36"/>
    <mergeCell ref="D31:F31"/>
    <mergeCell ref="D29:F29"/>
    <mergeCell ref="D30:F30"/>
    <mergeCell ref="G35:G36"/>
    <mergeCell ref="A11:C11"/>
    <mergeCell ref="A12:C12"/>
    <mergeCell ref="D12:K12"/>
    <mergeCell ref="D13:K13"/>
    <mergeCell ref="D14:K14"/>
    <mergeCell ref="D15:K15"/>
    <mergeCell ref="D16:K16"/>
    <mergeCell ref="D19:K19"/>
    <mergeCell ref="A17:C17"/>
    <mergeCell ref="A1:O1"/>
    <mergeCell ref="A2:O2"/>
    <mergeCell ref="A3:O3"/>
    <mergeCell ref="A35:A36"/>
    <mergeCell ref="A33:G33"/>
    <mergeCell ref="L27:O27"/>
    <mergeCell ref="G24:G25"/>
    <mergeCell ref="L24:O24"/>
    <mergeCell ref="A22:O22"/>
    <mergeCell ref="A21:O21"/>
    <mergeCell ref="K9:O9"/>
    <mergeCell ref="G9:J9"/>
    <mergeCell ref="A24:A25"/>
    <mergeCell ref="A23:G23"/>
    <mergeCell ref="B24:B25"/>
    <mergeCell ref="A20:O20"/>
    <mergeCell ref="A4:C5"/>
    <mergeCell ref="D4:G5"/>
    <mergeCell ref="H4:J5"/>
    <mergeCell ref="A13:C13"/>
    <mergeCell ref="A14:C14"/>
    <mergeCell ref="A15:C15"/>
    <mergeCell ref="K4:O4"/>
    <mergeCell ref="K5:L5"/>
    <mergeCell ref="M5:O5"/>
    <mergeCell ref="A7:C7"/>
    <mergeCell ref="A8:C8"/>
    <mergeCell ref="A6:C6"/>
    <mergeCell ref="D6:G6"/>
    <mergeCell ref="H6:J6"/>
    <mergeCell ref="K6:L6"/>
    <mergeCell ref="M6:O6"/>
    <mergeCell ref="G7:J8"/>
    <mergeCell ref="K7:O8"/>
    <mergeCell ref="Q8:R9"/>
    <mergeCell ref="A9:C9"/>
    <mergeCell ref="N26:O26"/>
    <mergeCell ref="I24:K25"/>
    <mergeCell ref="D39:F39"/>
    <mergeCell ref="C24:C25"/>
    <mergeCell ref="D7:F8"/>
    <mergeCell ref="D9:F9"/>
    <mergeCell ref="C35:C36"/>
    <mergeCell ref="D24:F24"/>
    <mergeCell ref="D25:F25"/>
    <mergeCell ref="I27:K27"/>
    <mergeCell ref="D37:F37"/>
    <mergeCell ref="D38:F38"/>
    <mergeCell ref="N25:O25"/>
    <mergeCell ref="L25:M25"/>
    <mergeCell ref="L26:M26"/>
    <mergeCell ref="I26:K26"/>
    <mergeCell ref="I29:K39"/>
    <mergeCell ref="A10:C10"/>
    <mergeCell ref="D10:O10"/>
    <mergeCell ref="A16:C16"/>
    <mergeCell ref="D17:K17"/>
    <mergeCell ref="D18:K18"/>
  </mergeCells>
  <phoneticPr fontId="19" type="noConversion"/>
  <conditionalFormatting sqref="K6:L6">
    <cfRule type="expression" dxfId="6" priority="2">
      <formula>"ISTEXT"</formula>
    </cfRule>
  </conditionalFormatting>
  <conditionalFormatting sqref="K6:O6">
    <cfRule type="expression" dxfId="5" priority="1">
      <formula>"ISTEXT($J$6)"</formula>
    </cfRule>
  </conditionalFormatting>
  <dataValidations count="9">
    <dataValidation type="list" errorStyle="information" allowBlank="1" showInputMessage="1" showErrorMessage="1" error="If entered manually the sign posting recommendation will be disabled." sqref="D14" xr:uid="{D825C8D3-C72F-4CEA-BCCC-CB9A4CB8202A}">
      <formula1>Software</formula1>
    </dataValidation>
    <dataValidation type="list" errorStyle="information" allowBlank="1" showInputMessage="1" showErrorMessage="1" error="If entered manually the sign posting recommendation will be disabled." sqref="D12" xr:uid="{E5D21728-96B7-4667-BAC6-8933E8B88939}">
      <formula1>Purpose</formula1>
    </dataValidation>
    <dataValidation type="list" errorStyle="information" allowBlank="1" showInputMessage="1" showErrorMessage="1" error="If entered manually the sign posting recommendation will be disabled." sqref="D17" xr:uid="{836D5F23-10CD-4F5D-A034-5E464F99B52B}">
      <formula1>Source</formula1>
    </dataValidation>
    <dataValidation type="list" errorStyle="information" allowBlank="1" showInputMessage="1" showErrorMessage="1" error="If entered manually the sign posting recommendation will be disabled." sqref="D18" xr:uid="{759B2006-823D-4953-8E5A-DAF834034775}">
      <formula1>Method</formula1>
    </dataValidation>
    <dataValidation type="list" errorStyle="information" allowBlank="1" showInputMessage="1" showErrorMessage="1" error="If entered manually the sign posting recommendation will be disabled." sqref="D19" xr:uid="{18673CA8-8868-467E-B071-88E3C0D4B999}">
      <formula1>Design</formula1>
    </dataValidation>
    <dataValidation type="list" allowBlank="1" showInputMessage="1" showErrorMessage="1" error="Enter a value from 0 to 9" sqref="D13" xr:uid="{0921A6D8-8E59-451C-9AEC-2E5F8B0A62ED}">
      <formula1>"To be determined by inspection,0,1,2,3,4,5,6,7,8,9"</formula1>
    </dataValidation>
    <dataValidation type="list" allowBlank="1" showInputMessage="1" showErrorMessage="1" sqref="W11" xr:uid="{633368B0-E995-41D7-83B5-F10A9C18125A}">
      <formula1>$W$6:$W$10</formula1>
    </dataValidation>
    <dataValidation type="list" allowBlank="1" showInputMessage="1" showErrorMessage="1" sqref="D16" xr:uid="{11ED1F6A-CA57-4771-8E0F-F169E0681910}">
      <formula1>RPL</formula1>
    </dataValidation>
    <dataValidation type="list" allowBlank="1" showInputMessage="1" showErrorMessage="1" sqref="L47" xr:uid="{54A4D11F-3360-4FC8-AC75-765A475FCC4A}">
      <formula1>RPLmethod</formula1>
    </dataValidation>
  </dataValidations>
  <hyperlinks>
    <hyperlink ref="J52" r:id="rId1" xr:uid="{EFD8D228-35AB-44C5-B2EF-54AC7795F822}"/>
    <hyperlink ref="J51" r:id="rId2" xr:uid="{272DBF0D-D460-4947-80A8-919B4E93F47C}"/>
  </hyperlinks>
  <pageMargins left="0.7" right="0.7" top="0.63" bottom="0.43" header="0.3" footer="0.3"/>
  <pageSetup scale="5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locked="0" defaultSize="0" autoFill="0" autoLine="0" autoPict="0">
                <anchor moveWithCells="1">
                  <from>
                    <xdr:col>5</xdr:col>
                    <xdr:colOff>266700</xdr:colOff>
                    <xdr:row>40</xdr:row>
                    <xdr:rowOff>144780</xdr:rowOff>
                  </from>
                  <to>
                    <xdr:col>6</xdr:col>
                    <xdr:colOff>289560</xdr:colOff>
                    <xdr:row>41</xdr:row>
                    <xdr:rowOff>236220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4E507417-8B05-47BA-AED4-F93486A82D19}">
            <xm:f>'Calcs &amp; Signs'!$I$3</xm:f>
            <x14:dxf>
              <font>
                <color auto="1"/>
              </font>
            </x14:dxf>
          </x14:cfRule>
          <xm:sqref>D44</xm:sqref>
        </x14:conditionalFormatting>
        <x14:conditionalFormatting xmlns:xm="http://schemas.microsoft.com/office/excel/2006/main">
          <x14:cfRule type="expression" priority="37" id="{9B7F6393-4A79-4719-9E78-D787F327EEAA}">
            <xm:f>'Calcs &amp; Signs'!$I$4="Tons"</xm:f>
            <x14:dxf>
              <numFmt numFmtId="174" formatCode="0.00\ &quot;tons&quot;"/>
            </x14:dxf>
          </x14:cfRule>
          <x14:cfRule type="expression" priority="38" id="{D5235E96-3F19-45D0-9E36-76822D58E4DE}">
            <xm:f>'Calcs &amp; Signs'!$C$72="Error"</xm:f>
            <x14:dxf>
              <fill>
                <patternFill>
                  <bgColor rgb="FFFF0000"/>
                </patternFill>
              </fill>
            </x14:dxf>
          </x14:cfRule>
          <xm:sqref>L26 N26</xm:sqref>
        </x14:conditionalFormatting>
      </x14:conditionalFormattings>
    </ext>
    <ext xmlns:x14="http://schemas.microsoft.com/office/spreadsheetml/2009/9/main" uri="{CCE6A557-97BC-4b89-ADB6-D9C93CAAB3DF}">
      <x14:dataValidations xmlns:xm="http://schemas.microsoft.com/office/excel/2006/main" count="1">
        <x14:dataValidation type="custom" allowBlank="1" showInputMessage="1" showErrorMessage="1" xr:uid="{39F889A2-6DD4-4EC5-AC38-A618178F4453}">
          <x14:formula1>
            <xm:f>IF(ISNA(VLOOKUP(MID(G6,1,3),List!G5:H92,2,FALSE))=TRUE,"From BRIDGE NUMBER or Enter District",VLOOKUP(MID(G6,1,3),List!G5:H92,2))</xm:f>
          </x14:formula1>
          <xm:sqref>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I64"/>
  <sheetViews>
    <sheetView showGridLines="0" topLeftCell="A10" zoomScale="75" zoomScaleNormal="75" workbookViewId="0">
      <selection activeCell="E49" sqref="E49:F49"/>
    </sheetView>
  </sheetViews>
  <sheetFormatPr defaultRowHeight="14.4" x14ac:dyDescent="0.3"/>
  <cols>
    <col min="1" max="1" width="2.88671875" customWidth="1"/>
    <col min="2" max="2" width="1.44140625" customWidth="1"/>
    <col min="3" max="3" width="23.6640625" style="9" customWidth="1"/>
    <col min="4" max="4" width="23.6640625" customWidth="1"/>
    <col min="5" max="6" width="34.88671875" customWidth="1"/>
    <col min="7" max="7" width="1.33203125" customWidth="1"/>
    <col min="8" max="8" width="2.88671875" customWidth="1"/>
  </cols>
  <sheetData>
    <row r="1" spans="2:7" ht="15" thickBot="1" x14ac:dyDescent="0.35"/>
    <row r="2" spans="2:7" ht="18.600000000000001" thickBot="1" x14ac:dyDescent="0.4">
      <c r="B2" s="458" t="str">
        <f>CONCATENATE("AssetWise Input For:     ",'BR-100'!D6,"    SFN: ",'BR-100'!A6)</f>
        <v>AssetWise Input For:     COS-TR 252-0.01    SFN: 1631830</v>
      </c>
      <c r="C2" s="459"/>
      <c r="D2" s="459"/>
      <c r="E2" s="459"/>
      <c r="F2" s="459"/>
      <c r="G2" s="460"/>
    </row>
    <row r="3" spans="2:7" ht="18" x14ac:dyDescent="0.35">
      <c r="B3" s="461"/>
      <c r="C3" s="461"/>
      <c r="D3" s="461"/>
      <c r="E3" s="461"/>
      <c r="F3" s="461"/>
      <c r="G3" s="461"/>
    </row>
    <row r="4" spans="2:7" ht="18" x14ac:dyDescent="0.35">
      <c r="B4" s="94"/>
      <c r="C4" s="95" t="s">
        <v>90</v>
      </c>
      <c r="D4" s="94"/>
      <c r="E4" s="94"/>
      <c r="F4" s="94"/>
      <c r="G4" s="94"/>
    </row>
    <row r="5" spans="2:7" ht="2.25" customHeight="1" thickBot="1" x14ac:dyDescent="0.4">
      <c r="B5" s="91"/>
      <c r="C5" s="93"/>
      <c r="D5" s="91"/>
      <c r="E5" s="91"/>
      <c r="F5" s="91"/>
      <c r="G5" s="91"/>
    </row>
    <row r="6" spans="2:7" ht="18.75" customHeight="1" thickBot="1" x14ac:dyDescent="0.35">
      <c r="B6" s="455" t="s">
        <v>91</v>
      </c>
      <c r="C6" s="456"/>
      <c r="D6" s="456"/>
      <c r="E6" s="456"/>
      <c r="F6" s="456"/>
      <c r="G6" s="457"/>
    </row>
    <row r="7" spans="2:7" ht="6.75" customHeight="1" x14ac:dyDescent="0.3">
      <c r="B7" s="82"/>
      <c r="C7" s="83"/>
      <c r="D7" s="84"/>
      <c r="E7" s="84"/>
      <c r="F7" s="84"/>
      <c r="G7" s="85"/>
    </row>
    <row r="8" spans="2:7" ht="20.100000000000001" customHeight="1" x14ac:dyDescent="0.3">
      <c r="B8" s="13"/>
      <c r="C8" s="442" t="str">
        <f>"(31) Design Load"</f>
        <v>(31) Design Load</v>
      </c>
      <c r="D8" s="443"/>
      <c r="E8" s="448" t="str">
        <f>'BR-100'!D19</f>
        <v>A - HL93</v>
      </c>
      <c r="F8" s="449"/>
      <c r="G8" s="16"/>
    </row>
    <row r="9" spans="2:7" ht="3" customHeight="1" x14ac:dyDescent="0.3">
      <c r="B9" s="13"/>
      <c r="C9" s="18"/>
      <c r="D9" s="18"/>
      <c r="E9" s="18"/>
      <c r="F9" s="19"/>
      <c r="G9" s="16"/>
    </row>
    <row r="10" spans="2:7" ht="20.100000000000001" customHeight="1" x14ac:dyDescent="0.3">
      <c r="B10" s="13"/>
      <c r="C10" s="442" t="str">
        <f>"(63) Operation Rating Method"</f>
        <v>(63) Operation Rating Method</v>
      </c>
      <c r="D10" s="443"/>
      <c r="E10" s="448" t="str">
        <f>'BR-100'!D18</f>
        <v>LRFR - Load &amp; Resistance Factor Rating (RF) - Code 8</v>
      </c>
      <c r="F10" s="449"/>
      <c r="G10" s="16"/>
    </row>
    <row r="11" spans="2:7" ht="3" customHeight="1" x14ac:dyDescent="0.3">
      <c r="B11" s="13"/>
      <c r="C11" s="18"/>
      <c r="D11" s="18"/>
      <c r="E11" s="18"/>
      <c r="F11" s="19"/>
      <c r="G11" s="16"/>
    </row>
    <row r="12" spans="2:7" ht="20.100000000000001" customHeight="1" x14ac:dyDescent="0.3">
      <c r="B12" s="13"/>
      <c r="C12" s="442" t="str">
        <f>"(64) Operating Rating Factor"</f>
        <v>(64) Operating Rating Factor</v>
      </c>
      <c r="D12" s="443"/>
      <c r="E12" s="450">
        <f>IF('Calcs &amp; Signs'!C72="Error",CONCATENATE(TEXT('Calcs &amp; Signs'!C13,"0.000"), " - Inv. Factor &gt; Oper. Factor - Review Rating"),'Calcs &amp; Signs'!C13)</f>
        <v>1.1919999999999999</v>
      </c>
      <c r="F12" s="451"/>
      <c r="G12" s="16" t="str">
        <f>IF('Calcs &amp; Signs'!I4="RF","","tons")</f>
        <v/>
      </c>
    </row>
    <row r="13" spans="2:7" ht="3" customHeight="1" x14ac:dyDescent="0.3">
      <c r="B13" s="13"/>
      <c r="C13" s="18"/>
      <c r="D13" s="18"/>
      <c r="E13" s="18"/>
      <c r="F13" s="19"/>
      <c r="G13" s="16"/>
    </row>
    <row r="14" spans="2:7" ht="20.100000000000001" customHeight="1" x14ac:dyDescent="0.3">
      <c r="B14" s="13"/>
      <c r="C14" s="442" t="str">
        <f>"(65) Inventory Rating Method"</f>
        <v>(65) Inventory Rating Method</v>
      </c>
      <c r="D14" s="443"/>
      <c r="E14" s="448" t="str">
        <f>'BR-100'!D18</f>
        <v>LRFR - Load &amp; Resistance Factor Rating (RF) - Code 8</v>
      </c>
      <c r="F14" s="449"/>
      <c r="G14" s="16"/>
    </row>
    <row r="15" spans="2:7" ht="3" customHeight="1" x14ac:dyDescent="0.3">
      <c r="B15" s="13"/>
      <c r="C15" s="18"/>
      <c r="D15" s="17"/>
      <c r="E15" s="18"/>
      <c r="F15" s="19"/>
      <c r="G15" s="16"/>
    </row>
    <row r="16" spans="2:7" ht="20.100000000000001" customHeight="1" x14ac:dyDescent="0.3">
      <c r="B16" s="13"/>
      <c r="C16" s="442" t="str">
        <f>"(66) Inventory Rating Factor"</f>
        <v>(66) Inventory Rating Factor</v>
      </c>
      <c r="D16" s="443"/>
      <c r="E16" s="450">
        <f>IF('Calcs &amp; Signs'!C72="Error",CONCATENATE(TEXT('Calcs &amp; Signs'!C12,"0.000"), " - Inv. Factor &gt; Oper. Factor - Review Rating"),'Calcs &amp; Signs'!C12)</f>
        <v>1.147</v>
      </c>
      <c r="F16" s="451"/>
      <c r="G16" s="16"/>
    </row>
    <row r="17" spans="2:9" ht="3" customHeight="1" x14ac:dyDescent="0.3">
      <c r="B17" s="13"/>
      <c r="C17" s="14"/>
      <c r="D17" s="15"/>
      <c r="E17" s="19"/>
      <c r="F17" s="19"/>
      <c r="G17" s="16"/>
    </row>
    <row r="18" spans="2:9" ht="20.100000000000001" customHeight="1" x14ac:dyDescent="0.3">
      <c r="B18" s="13"/>
      <c r="C18" s="442" t="str">
        <f>"(70) Bridge Posting"</f>
        <v>(70) Bridge Posting</v>
      </c>
      <c r="D18" s="443"/>
      <c r="E18" s="448" t="str">
        <f>'Calcs &amp; Signs'!D58</f>
        <v>5 - Equal to or above legal loads</v>
      </c>
      <c r="F18" s="449"/>
      <c r="G18" s="134"/>
    </row>
    <row r="19" spans="2:9" ht="3" customHeight="1" x14ac:dyDescent="0.3">
      <c r="B19" s="13"/>
      <c r="C19" s="14"/>
      <c r="D19" s="15"/>
      <c r="E19" s="19"/>
      <c r="F19" s="19"/>
      <c r="G19" s="16"/>
    </row>
    <row r="20" spans="2:9" ht="20.100000000000001" customHeight="1" x14ac:dyDescent="0.3">
      <c r="B20" s="13"/>
      <c r="C20" s="442" t="str">
        <f>"(70.01) Date Posted"</f>
        <v>(70.01) Date Posted</v>
      </c>
      <c r="D20" s="443"/>
      <c r="E20" s="446" t="s">
        <v>92</v>
      </c>
      <c r="F20" s="447"/>
      <c r="G20" s="16"/>
      <c r="I20" s="79"/>
    </row>
    <row r="21" spans="2:9" ht="3" customHeight="1" x14ac:dyDescent="0.3">
      <c r="B21" s="13"/>
      <c r="C21" s="18"/>
      <c r="D21" s="18"/>
      <c r="E21" s="18"/>
      <c r="F21" s="19"/>
      <c r="G21" s="16"/>
      <c r="I21" s="79"/>
    </row>
    <row r="22" spans="2:9" ht="20.100000000000001" customHeight="1" x14ac:dyDescent="0.3">
      <c r="B22" s="13"/>
      <c r="C22" s="442" t="str">
        <f>"(70.02) Posted Sign Type"</f>
        <v>(70.02) Posted Sign Type</v>
      </c>
      <c r="D22" s="443"/>
      <c r="E22" s="444" t="s">
        <v>92</v>
      </c>
      <c r="F22" s="445"/>
      <c r="G22" s="16" t="str">
        <f>IF('Calcs &amp; Signs'!I4="RF","","tons")</f>
        <v/>
      </c>
      <c r="I22" s="79"/>
    </row>
    <row r="23" spans="2:9" ht="3" customHeight="1" x14ac:dyDescent="0.3">
      <c r="B23" s="13"/>
      <c r="C23" s="18"/>
      <c r="D23" s="18"/>
      <c r="E23" s="18"/>
      <c r="F23" s="19"/>
      <c r="G23" s="16"/>
      <c r="I23" s="79"/>
    </row>
    <row r="24" spans="2:9" ht="20.100000000000001" customHeight="1" x14ac:dyDescent="0.3">
      <c r="B24" s="13"/>
      <c r="C24" s="442" t="str">
        <f>"(70.03) Posted Weight"</f>
        <v>(70.03) Posted Weight</v>
      </c>
      <c r="D24" s="443"/>
      <c r="E24" s="446" t="s">
        <v>92</v>
      </c>
      <c r="F24" s="447"/>
      <c r="G24" s="16"/>
      <c r="I24" s="79"/>
    </row>
    <row r="25" spans="2:9" ht="7.5" customHeight="1" thickBot="1" x14ac:dyDescent="0.35">
      <c r="B25" s="20"/>
      <c r="C25" s="86"/>
      <c r="D25" s="87"/>
      <c r="E25" s="88"/>
      <c r="F25" s="89"/>
      <c r="G25" s="21"/>
    </row>
    <row r="26" spans="2:9" ht="18.75" customHeight="1" x14ac:dyDescent="0.3">
      <c r="B26" s="90"/>
      <c r="C26" s="80"/>
      <c r="D26" s="79"/>
      <c r="E26" s="452"/>
      <c r="F26" s="452"/>
      <c r="G26" s="79"/>
    </row>
    <row r="27" spans="2:9" ht="18.75" customHeight="1" x14ac:dyDescent="0.35">
      <c r="B27" s="79"/>
      <c r="C27" s="95" t="s">
        <v>93</v>
      </c>
      <c r="D27" s="79"/>
      <c r="E27" s="79"/>
      <c r="F27" s="81"/>
      <c r="G27" s="79"/>
    </row>
    <row r="28" spans="2:9" ht="3" customHeight="1" thickBot="1" x14ac:dyDescent="0.35">
      <c r="B28" s="79"/>
      <c r="C28" s="464"/>
      <c r="D28" s="464"/>
      <c r="E28" s="464"/>
      <c r="F28" s="464"/>
      <c r="G28" s="79"/>
    </row>
    <row r="29" spans="2:9" ht="18.75" customHeight="1" thickBot="1" x14ac:dyDescent="0.35">
      <c r="B29" s="465" t="s">
        <v>94</v>
      </c>
      <c r="C29" s="466"/>
      <c r="D29" s="466"/>
      <c r="E29" s="466"/>
      <c r="F29" s="466"/>
      <c r="G29" s="467"/>
    </row>
    <row r="30" spans="2:9" ht="6.75" customHeight="1" x14ac:dyDescent="0.3">
      <c r="B30" s="82"/>
      <c r="C30" s="83"/>
      <c r="D30" s="84"/>
      <c r="E30" s="84"/>
      <c r="F30" s="84"/>
      <c r="G30" s="85"/>
    </row>
    <row r="31" spans="2:9" ht="20.100000000000001" customHeight="1" x14ac:dyDescent="0.3">
      <c r="B31" s="13"/>
      <c r="C31" s="440" t="str">
        <f>"(717) 2F1 Operating Rating Factor (GVW 15 T)"</f>
        <v>(717) 2F1 Operating Rating Factor (GVW 15 T)</v>
      </c>
      <c r="D31" s="441"/>
      <c r="E31" s="462">
        <f>'Calcs &amp; Signs'!C14</f>
        <v>2.6389999999999998</v>
      </c>
      <c r="F31" s="463"/>
      <c r="G31" s="16"/>
    </row>
    <row r="32" spans="2:9" ht="3" customHeight="1" x14ac:dyDescent="0.3">
      <c r="B32" s="13"/>
      <c r="C32" s="19"/>
      <c r="D32" s="19"/>
      <c r="E32" s="19"/>
      <c r="F32" s="19"/>
      <c r="G32" s="16"/>
    </row>
    <row r="33" spans="2:7" ht="20.100000000000001" customHeight="1" x14ac:dyDescent="0.3">
      <c r="B33" s="13"/>
      <c r="C33" s="440" t="str">
        <f>"(720) 3F1 Operating Rating Factor (GVW 23 T)"</f>
        <v>(720) 3F1 Operating Rating Factor (GVW 23 T)</v>
      </c>
      <c r="D33" s="441"/>
      <c r="E33" s="462">
        <f>'Calcs &amp; Signs'!C15</f>
        <v>1.7889999999999999</v>
      </c>
      <c r="F33" s="463"/>
      <c r="G33" s="16"/>
    </row>
    <row r="34" spans="2:7" ht="3" customHeight="1" x14ac:dyDescent="0.3">
      <c r="B34" s="13"/>
      <c r="C34" s="19"/>
      <c r="D34" s="19"/>
      <c r="E34" s="19"/>
      <c r="F34" s="19"/>
      <c r="G34" s="16"/>
    </row>
    <row r="35" spans="2:7" ht="20.100000000000001" customHeight="1" x14ac:dyDescent="0.3">
      <c r="B35" s="13"/>
      <c r="C35" s="440" t="str">
        <f>"(723.01) 4F1 Operating Rating Factor (GVW 27 T)"</f>
        <v>(723.01) 4F1 Operating Rating Factor (GVW 27 T)</v>
      </c>
      <c r="D35" s="441"/>
      <c r="E35" s="462">
        <f>'Calcs &amp; Signs'!C21</f>
        <v>1.597</v>
      </c>
      <c r="F35" s="463"/>
      <c r="G35" s="16"/>
    </row>
    <row r="36" spans="2:7" ht="3" customHeight="1" x14ac:dyDescent="0.3">
      <c r="B36" s="13"/>
      <c r="C36" s="19"/>
      <c r="D36" s="19"/>
      <c r="E36" s="19"/>
      <c r="F36" s="19"/>
      <c r="G36" s="16"/>
    </row>
    <row r="37" spans="2:7" ht="20.100000000000001" customHeight="1" x14ac:dyDescent="0.3">
      <c r="B37" s="13"/>
      <c r="C37" s="440" t="str">
        <f>"(726.01) 5C1 Operating Rating Factor (GVW 40 T)"</f>
        <v>(726.01) 5C1 Operating Rating Factor (GVW 40 T)</v>
      </c>
      <c r="D37" s="441"/>
      <c r="E37" s="462">
        <f>'Calcs &amp; Signs'!C17</f>
        <v>1.839</v>
      </c>
      <c r="F37" s="463"/>
      <c r="G37" s="16"/>
    </row>
    <row r="38" spans="2:7" ht="3" customHeight="1" x14ac:dyDescent="0.3">
      <c r="B38" s="13"/>
      <c r="C38" s="19"/>
      <c r="D38" s="19"/>
      <c r="E38" s="19"/>
      <c r="F38" s="19"/>
      <c r="G38" s="16"/>
    </row>
    <row r="39" spans="2:7" ht="20.100000000000001" customHeight="1" x14ac:dyDescent="0.3">
      <c r="B39" s="13"/>
      <c r="C39" s="440" t="str">
        <f>"(723.02) SU4 Operating Rating Factor (GVW 27 T)"</f>
        <v>(723.02) SU4 Operating Rating Factor (GVW 27 T)</v>
      </c>
      <c r="D39" s="441"/>
      <c r="E39" s="462">
        <f>'Calcs &amp; Signs'!C21</f>
        <v>1.597</v>
      </c>
      <c r="F39" s="463"/>
      <c r="G39" s="16"/>
    </row>
    <row r="40" spans="2:7" ht="3" customHeight="1" x14ac:dyDescent="0.3">
      <c r="B40" s="13"/>
      <c r="C40" s="19"/>
      <c r="D40" s="19"/>
      <c r="E40" s="19"/>
      <c r="F40" s="19"/>
      <c r="G40" s="16"/>
    </row>
    <row r="41" spans="2:7" ht="20.100000000000001" customHeight="1" x14ac:dyDescent="0.3">
      <c r="B41" s="13"/>
      <c r="C41" s="440" t="str">
        <f>"(726.02) SU5 Operating Rating Factor (GVW 31 T)"</f>
        <v>(726.02) SU5 Operating Rating Factor (GVW 31 T)</v>
      </c>
      <c r="D41" s="441"/>
      <c r="E41" s="462">
        <f>'Calcs &amp; Signs'!C22</f>
        <v>1.4850000000000001</v>
      </c>
      <c r="F41" s="463"/>
      <c r="G41" s="16"/>
    </row>
    <row r="42" spans="2:7" ht="3" customHeight="1" x14ac:dyDescent="0.3">
      <c r="B42" s="13"/>
      <c r="C42" s="19"/>
      <c r="D42" s="19"/>
      <c r="E42" s="19"/>
      <c r="F42" s="19"/>
      <c r="G42" s="16"/>
    </row>
    <row r="43" spans="2:7" ht="20.100000000000001" customHeight="1" x14ac:dyDescent="0.3">
      <c r="B43" s="13"/>
      <c r="C43" s="440" t="str">
        <f>"(732.01) SU6 Operating Rating Factor (GVW 34.75 T)"</f>
        <v>(732.01) SU6 Operating Rating Factor (GVW 34.75 T)</v>
      </c>
      <c r="D43" s="441"/>
      <c r="E43" s="462">
        <f>'Calcs &amp; Signs'!C23</f>
        <v>1.335</v>
      </c>
      <c r="F43" s="463"/>
      <c r="G43" s="16"/>
    </row>
    <row r="44" spans="2:7" ht="3" customHeight="1" x14ac:dyDescent="0.3">
      <c r="B44" s="13"/>
      <c r="C44" s="19"/>
      <c r="D44" s="19"/>
      <c r="E44" s="19"/>
      <c r="F44" s="19"/>
      <c r="G44" s="16"/>
    </row>
    <row r="45" spans="2:7" ht="20.100000000000001" customHeight="1" x14ac:dyDescent="0.3">
      <c r="B45" s="13"/>
      <c r="C45" s="440" t="str">
        <f>"(732.02) SU7 Operating Rating Factor (GVW 38.75 T)"</f>
        <v>(732.02) SU7 Operating Rating Factor (GVW 38.75 T)</v>
      </c>
      <c r="D45" s="441"/>
      <c r="E45" s="462">
        <f>'Calcs &amp; Signs'!C24</f>
        <v>1.2410000000000001</v>
      </c>
      <c r="F45" s="463"/>
      <c r="G45" s="16"/>
    </row>
    <row r="46" spans="2:7" ht="3" customHeight="1" x14ac:dyDescent="0.3">
      <c r="B46" s="13"/>
      <c r="C46" s="19"/>
      <c r="D46" s="19"/>
      <c r="E46" s="19"/>
      <c r="F46" s="19"/>
      <c r="G46" s="16"/>
    </row>
    <row r="47" spans="2:7" ht="20.25" customHeight="1" x14ac:dyDescent="0.3">
      <c r="B47" s="13"/>
      <c r="C47" s="440" t="str">
        <f>"(735) EV2 Operating Rating Factor (GVW 28.75 T)"</f>
        <v>(735) EV2 Operating Rating Factor (GVW 28.75 T)</v>
      </c>
      <c r="D47" s="440"/>
      <c r="E47" s="462">
        <f>'Calcs &amp; Signs'!C26</f>
        <v>1.6140000000000001</v>
      </c>
      <c r="F47" s="463"/>
      <c r="G47" s="16"/>
    </row>
    <row r="48" spans="2:7" ht="3" customHeight="1" x14ac:dyDescent="0.3">
      <c r="B48" s="13"/>
      <c r="C48" s="440"/>
      <c r="D48" s="440"/>
      <c r="E48" s="19"/>
      <c r="F48" s="19"/>
      <c r="G48" s="16"/>
    </row>
    <row r="49" spans="2:7" ht="19.5" customHeight="1" x14ac:dyDescent="0.3">
      <c r="B49" s="13"/>
      <c r="C49" s="440" t="str">
        <f>"(738) EV3 Operating Rating Factor (GVW 43 T)"</f>
        <v>(738) EV3 Operating Rating Factor (GVW 43 T)</v>
      </c>
      <c r="D49" s="441"/>
      <c r="E49" s="462">
        <f>'Calcs &amp; Signs'!C27</f>
        <v>2.2250000000000001</v>
      </c>
      <c r="F49" s="463"/>
      <c r="G49" s="16"/>
    </row>
    <row r="50" spans="2:7" ht="3" customHeight="1" x14ac:dyDescent="0.3">
      <c r="B50" s="13"/>
      <c r="C50" s="19"/>
      <c r="D50" s="19"/>
      <c r="E50" s="19"/>
      <c r="F50" s="19"/>
      <c r="G50" s="16"/>
    </row>
    <row r="51" spans="2:7" ht="19.5" customHeight="1" x14ac:dyDescent="0.3">
      <c r="B51" s="13"/>
      <c r="C51" s="440" t="str">
        <f>"(734) Ohio Percent Legal"</f>
        <v>(734) Ohio Percent Legal</v>
      </c>
      <c r="D51" s="441"/>
      <c r="E51" s="448">
        <f>'Calcs &amp; Signs'!D37*100</f>
        <v>125</v>
      </c>
      <c r="F51" s="449"/>
      <c r="G51" s="16"/>
    </row>
    <row r="52" spans="2:7" ht="3" customHeight="1" x14ac:dyDescent="0.3">
      <c r="B52" s="13"/>
      <c r="C52" s="19"/>
      <c r="D52" s="19"/>
      <c r="E52" s="19"/>
      <c r="F52" s="19"/>
      <c r="G52" s="16"/>
    </row>
    <row r="53" spans="2:7" ht="20.100000000000001" customHeight="1" x14ac:dyDescent="0.3">
      <c r="B53" s="13"/>
      <c r="C53" s="440" t="str">
        <f>"(705) Load Rater First Name"</f>
        <v>(705) Load Rater First Name</v>
      </c>
      <c r="D53" s="441"/>
      <c r="E53" s="448" t="str">
        <f>'Calcs &amp; Signs'!M37</f>
        <v>MUHAMMAD</v>
      </c>
      <c r="F53" s="449"/>
      <c r="G53" s="16"/>
    </row>
    <row r="54" spans="2:7" ht="3" customHeight="1" x14ac:dyDescent="0.3">
      <c r="B54" s="13"/>
      <c r="C54" s="440"/>
      <c r="D54" s="441"/>
      <c r="E54" s="19"/>
      <c r="F54" s="19"/>
      <c r="G54" s="16"/>
    </row>
    <row r="55" spans="2:7" ht="20.100000000000001" customHeight="1" x14ac:dyDescent="0.3">
      <c r="B55" s="13"/>
      <c r="C55" s="440" t="str">
        <f>"(706)Load Rater Last Name"</f>
        <v>(706)Load Rater Last Name</v>
      </c>
      <c r="D55" s="441"/>
      <c r="E55" s="448" t="str">
        <f>'Calcs &amp; Signs'!Q37</f>
        <v>NAWAZ</v>
      </c>
      <c r="F55" s="449"/>
      <c r="G55" s="16"/>
    </row>
    <row r="56" spans="2:7" ht="3" customHeight="1" x14ac:dyDescent="0.3">
      <c r="B56" s="13"/>
      <c r="C56" s="440"/>
      <c r="D56" s="441"/>
      <c r="E56" s="19"/>
      <c r="F56" s="19"/>
      <c r="G56" s="137"/>
    </row>
    <row r="57" spans="2:7" ht="20.100000000000001" customHeight="1" x14ac:dyDescent="0.3">
      <c r="B57" s="13"/>
      <c r="C57" s="440" t="str">
        <f>"(707)Load Rater PE Number"</f>
        <v>(707)Load Rater PE Number</v>
      </c>
      <c r="D57" s="441"/>
      <c r="E57" s="448" t="str">
        <f>'Calcs &amp; Signs'!S37</f>
        <v>N/A</v>
      </c>
      <c r="F57" s="449"/>
      <c r="G57" s="137"/>
    </row>
    <row r="58" spans="2:7" ht="3" customHeight="1" x14ac:dyDescent="0.3">
      <c r="B58" s="13"/>
      <c r="C58" s="440"/>
      <c r="D58" s="441"/>
      <c r="E58" s="138"/>
      <c r="F58" s="138"/>
      <c r="G58" s="137"/>
    </row>
    <row r="59" spans="2:7" ht="20.100000000000001" customHeight="1" x14ac:dyDescent="0.3">
      <c r="B59" s="13"/>
      <c r="C59" s="440" t="str">
        <f>"(704) Load Rating Date"</f>
        <v>(704) Load Rating Date</v>
      </c>
      <c r="D59" s="441"/>
      <c r="E59" s="453">
        <f>'Calcs &amp; Signs'!C7</f>
        <v>45358</v>
      </c>
      <c r="F59" s="454"/>
      <c r="G59" s="137"/>
    </row>
    <row r="60" spans="2:7" ht="3" customHeight="1" x14ac:dyDescent="0.3">
      <c r="B60" s="13"/>
      <c r="C60" s="19"/>
      <c r="D60" s="92"/>
      <c r="E60" s="138"/>
      <c r="F60" s="138"/>
      <c r="G60" s="137"/>
    </row>
    <row r="61" spans="2:7" ht="20.100000000000001" customHeight="1" x14ac:dyDescent="0.3">
      <c r="B61" s="13"/>
      <c r="C61" s="440" t="str">
        <f>"(708) Load Rating Software"</f>
        <v>(708) Load Rating Software</v>
      </c>
      <c r="D61" s="441"/>
      <c r="E61" s="448" t="str">
        <f>'BR-100'!$D14</f>
        <v xml:space="preserve">3 - AASHTO  BrR </v>
      </c>
      <c r="F61" s="449"/>
      <c r="G61" s="137"/>
    </row>
    <row r="62" spans="2:7" ht="3" customHeight="1" x14ac:dyDescent="0.3">
      <c r="B62" s="13"/>
      <c r="C62" s="19"/>
      <c r="D62" s="92"/>
      <c r="E62" s="138"/>
      <c r="F62" s="138"/>
      <c r="G62" s="137"/>
    </row>
    <row r="63" spans="2:7" ht="20.100000000000001" customHeight="1" x14ac:dyDescent="0.3">
      <c r="B63" s="13"/>
      <c r="C63" s="440" t="str">
        <f>"(709)Rating Source"</f>
        <v>(709)Rating Source</v>
      </c>
      <c r="D63" s="441"/>
      <c r="E63" s="448" t="str">
        <f>'BR-100'!$D17</f>
        <v>1 - Plan information available for load rating analysis</v>
      </c>
      <c r="F63" s="449"/>
      <c r="G63" s="137"/>
    </row>
    <row r="64" spans="2:7" ht="6.75" customHeight="1" thickBot="1" x14ac:dyDescent="0.35">
      <c r="B64" s="139"/>
      <c r="C64" s="140"/>
      <c r="D64" s="141"/>
      <c r="E64" s="141"/>
      <c r="F64" s="141"/>
      <c r="G64" s="142"/>
    </row>
  </sheetData>
  <sheetProtection selectLockedCells="1"/>
  <mergeCells count="61">
    <mergeCell ref="E49:F49"/>
    <mergeCell ref="E43:F43"/>
    <mergeCell ref="E45:F45"/>
    <mergeCell ref="E51:F51"/>
    <mergeCell ref="E47:F47"/>
    <mergeCell ref="E37:F37"/>
    <mergeCell ref="E39:F39"/>
    <mergeCell ref="E41:F41"/>
    <mergeCell ref="E31:F31"/>
    <mergeCell ref="C28:F28"/>
    <mergeCell ref="B29:G29"/>
    <mergeCell ref="E33:F33"/>
    <mergeCell ref="E35:F35"/>
    <mergeCell ref="C31:D31"/>
    <mergeCell ref="C37:D37"/>
    <mergeCell ref="C39:D39"/>
    <mergeCell ref="C41:D41"/>
    <mergeCell ref="B6:G6"/>
    <mergeCell ref="B2:G2"/>
    <mergeCell ref="C8:D8"/>
    <mergeCell ref="C10:D10"/>
    <mergeCell ref="C12:D12"/>
    <mergeCell ref="B3:G3"/>
    <mergeCell ref="E8:F8"/>
    <mergeCell ref="E10:F10"/>
    <mergeCell ref="E12:F12"/>
    <mergeCell ref="E61:F61"/>
    <mergeCell ref="E63:F63"/>
    <mergeCell ref="E59:F59"/>
    <mergeCell ref="E53:F53"/>
    <mergeCell ref="E55:F55"/>
    <mergeCell ref="E57:F57"/>
    <mergeCell ref="E14:F14"/>
    <mergeCell ref="E16:F16"/>
    <mergeCell ref="E20:F20"/>
    <mergeCell ref="E18:F18"/>
    <mergeCell ref="E26:F26"/>
    <mergeCell ref="C14:D14"/>
    <mergeCell ref="C16:D16"/>
    <mergeCell ref="C20:D20"/>
    <mergeCell ref="C18:D18"/>
    <mergeCell ref="C22:D22"/>
    <mergeCell ref="C24:D24"/>
    <mergeCell ref="E22:F22"/>
    <mergeCell ref="E24:F24"/>
    <mergeCell ref="C33:D33"/>
    <mergeCell ref="C35:D35"/>
    <mergeCell ref="C61:D61"/>
    <mergeCell ref="C63:D63"/>
    <mergeCell ref="C43:D43"/>
    <mergeCell ref="C45:D45"/>
    <mergeCell ref="C47:D48"/>
    <mergeCell ref="C49:D49"/>
    <mergeCell ref="C59:D59"/>
    <mergeCell ref="C58:D58"/>
    <mergeCell ref="C57:D57"/>
    <mergeCell ref="C54:D54"/>
    <mergeCell ref="C56:D56"/>
    <mergeCell ref="C51:D51"/>
    <mergeCell ref="C53:D53"/>
    <mergeCell ref="C55:D55"/>
  </mergeCells>
  <conditionalFormatting sqref="E12:F12 E22:F22">
    <cfRule type="expression" dxfId="1" priority="4">
      <formula>#REF!="Yes"</formula>
    </cfRule>
  </conditionalFormatting>
  <conditionalFormatting sqref="E16:F16">
    <cfRule type="expression" dxfId="0" priority="1">
      <formula>#REF!="Yes"</formula>
    </cfRule>
  </conditionalFormatting>
  <pageMargins left="0.7" right="0.7" top="0.75" bottom="0.75" header="0.3" footer="0.3"/>
  <pageSetup scale="72" orientation="portrait" r:id="rId1"/>
  <cellWatches>
    <cellWatch r="E31"/>
    <cellWatch r="E35"/>
    <cellWatch r="E37"/>
    <cellWatch r="E41"/>
    <cellWatch r="E43"/>
    <cellWatch r="E51"/>
  </cellWatches>
  <extLst>
    <ext xmlns:x14="http://schemas.microsoft.com/office/spreadsheetml/2009/9/main" uri="{78C0D931-6437-407d-A8EE-F0AAD7539E65}">
      <x14:conditionalFormattings>
        <x14:conditionalFormatting xmlns:xm="http://schemas.microsoft.com/office/excel/2006/main">
          <x14:cfRule type="expression" priority="26" id="{DB2661EA-468A-4384-A5EA-C62A48F05F7C}">
            <xm:f>'Calcs &amp; Signs'!$C$72="Error"</xm:f>
            <x14:dxf>
              <font>
                <color rgb="FFFF0000"/>
              </font>
            </x14:dxf>
          </x14:cfRule>
          <xm:sqref>E12:F12 E16:F16 E22:F22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FD294-2CFA-48F0-87F7-C20CDA387850}">
  <sheetPr>
    <pageSetUpPr fitToPage="1"/>
  </sheetPr>
  <dimension ref="B2:K21"/>
  <sheetViews>
    <sheetView zoomScaleNormal="100" workbookViewId="0">
      <selection activeCell="E11" sqref="E11"/>
    </sheetView>
  </sheetViews>
  <sheetFormatPr defaultRowHeight="14.4" x14ac:dyDescent="0.3"/>
  <cols>
    <col min="1" max="1" width="7.5546875" customWidth="1"/>
    <col min="2" max="2" width="12.6640625" style="9" customWidth="1"/>
    <col min="3" max="3" width="24.44140625" customWidth="1"/>
    <col min="4" max="4" width="29.44140625" customWidth="1"/>
    <col min="5" max="5" width="17.109375" customWidth="1"/>
    <col min="6" max="6" width="2.88671875" customWidth="1"/>
    <col min="7" max="7" width="14.33203125" customWidth="1"/>
  </cols>
  <sheetData>
    <row r="2" spans="2:11" ht="18" x14ac:dyDescent="0.35">
      <c r="B2" s="249" t="s">
        <v>95</v>
      </c>
      <c r="C2" s="257"/>
      <c r="D2" s="94"/>
      <c r="E2" s="94"/>
    </row>
    <row r="3" spans="2:11" ht="2.25" customHeight="1" thickBot="1" x14ac:dyDescent="0.4">
      <c r="B3" s="93"/>
      <c r="C3" s="91"/>
      <c r="D3" s="91"/>
      <c r="E3" s="91"/>
    </row>
    <row r="4" spans="2:11" ht="18.75" customHeight="1" thickBot="1" x14ac:dyDescent="0.35">
      <c r="B4" s="80"/>
      <c r="C4" s="79"/>
      <c r="D4" s="452"/>
      <c r="E4" s="452"/>
    </row>
    <row r="5" spans="2:11" s="250" customFormat="1" ht="45" customHeight="1" thickBot="1" x14ac:dyDescent="0.35">
      <c r="B5" s="262" t="s">
        <v>96</v>
      </c>
      <c r="C5" s="263"/>
      <c r="D5" s="266" t="s">
        <v>97</v>
      </c>
      <c r="E5" s="266" t="s">
        <v>98</v>
      </c>
      <c r="F5" s="271"/>
      <c r="G5" s="266" t="s">
        <v>99</v>
      </c>
      <c r="H5" s="252"/>
      <c r="I5" s="253"/>
      <c r="J5" s="253"/>
      <c r="K5" s="253"/>
    </row>
    <row r="6" spans="2:11" ht="20.100000000000001" customHeight="1" x14ac:dyDescent="0.3">
      <c r="B6" s="264" t="s">
        <v>100</v>
      </c>
      <c r="C6" s="265" t="s">
        <v>101</v>
      </c>
      <c r="D6" s="256">
        <f>'Calcs &amp; Signs'!C14</f>
        <v>2.6389999999999998</v>
      </c>
      <c r="E6" s="272" t="str">
        <f>IF('Calcs &amp; Signs'!$C$33="Yes","T","")</f>
        <v/>
      </c>
      <c r="G6" s="255" t="str">
        <f>IF('Calcs &amp; Signs'!$C$33="Yes",'Calcs &amp; Signs'!F45,"")</f>
        <v/>
      </c>
    </row>
    <row r="7" spans="2:11" ht="20.100000000000001" customHeight="1" x14ac:dyDescent="0.3">
      <c r="B7" s="264" t="s">
        <v>100</v>
      </c>
      <c r="C7" s="265" t="s">
        <v>102</v>
      </c>
      <c r="D7" s="256">
        <f>'Calcs &amp; Signs'!C15</f>
        <v>1.7889999999999999</v>
      </c>
      <c r="E7" s="272" t="str">
        <f>IF('Calcs &amp; Signs'!$C$33="Yes","T","")</f>
        <v/>
      </c>
      <c r="G7" s="255" t="str">
        <f>IF('Calcs &amp; Signs'!$C$33="Yes",'Calcs &amp; Signs'!F46,"")</f>
        <v/>
      </c>
    </row>
    <row r="8" spans="2:11" ht="20.100000000000001" customHeight="1" x14ac:dyDescent="0.3">
      <c r="B8" s="264" t="s">
        <v>100</v>
      </c>
      <c r="C8" s="265" t="s">
        <v>103</v>
      </c>
      <c r="D8" s="256">
        <f>'Calcs &amp; Signs'!C17</f>
        <v>1.839</v>
      </c>
      <c r="E8" s="272" t="str">
        <f>IF('Calcs &amp; Signs'!$C$33="Yes","T","")</f>
        <v/>
      </c>
      <c r="G8" s="255" t="str">
        <f>IF('Calcs &amp; Signs'!$C$33="Yes",'Calcs &amp; Signs'!F50,"")</f>
        <v/>
      </c>
    </row>
    <row r="9" spans="2:11" ht="20.100000000000001" customHeight="1" x14ac:dyDescent="0.3">
      <c r="B9" s="258"/>
      <c r="C9" s="259" t="s">
        <v>104</v>
      </c>
      <c r="D9" s="254">
        <f>'Calcs &amp; Signs'!C18</f>
        <v>1.845</v>
      </c>
      <c r="E9" s="272" t="str">
        <f>IF('Calcs &amp; Signs'!$C$33="Yes","T","")</f>
        <v/>
      </c>
      <c r="G9" s="255" t="str">
        <f>IF('Calcs &amp; Signs'!$C$33="Yes",'Calcs &amp; Signs'!F46,"")</f>
        <v/>
      </c>
    </row>
    <row r="10" spans="2:11" ht="20.100000000000001" customHeight="1" x14ac:dyDescent="0.3">
      <c r="B10" s="258"/>
      <c r="C10" s="260" t="s">
        <v>105</v>
      </c>
      <c r="D10" s="254">
        <f>'Calcs &amp; Signs'!C19</f>
        <v>2.2170000000000001</v>
      </c>
      <c r="E10" s="272" t="str">
        <f>IF('Calcs &amp; Signs'!$C$33="Yes","T","")</f>
        <v/>
      </c>
      <c r="G10" s="255" t="str">
        <f>IF('Calcs &amp; Signs'!$C$33="Yes",'Calcs &amp; Signs'!F49,"")</f>
        <v/>
      </c>
    </row>
    <row r="11" spans="2:11" ht="20.100000000000001" customHeight="1" x14ac:dyDescent="0.3">
      <c r="B11" s="258"/>
      <c r="C11" s="261" t="s">
        <v>106</v>
      </c>
      <c r="D11" s="254">
        <f>'Calcs &amp; Signs'!C20</f>
        <v>2.0179999999999998</v>
      </c>
      <c r="E11" s="272"/>
      <c r="G11" s="255"/>
    </row>
    <row r="12" spans="2:11" ht="20.100000000000001" customHeight="1" x14ac:dyDescent="0.3">
      <c r="B12" s="264" t="s">
        <v>100</v>
      </c>
      <c r="C12" s="265" t="s">
        <v>107</v>
      </c>
      <c r="D12" s="256">
        <f>'Calcs &amp; Signs'!C21</f>
        <v>1.597</v>
      </c>
      <c r="E12" s="274"/>
      <c r="G12" s="275"/>
    </row>
    <row r="13" spans="2:11" ht="20.100000000000001" customHeight="1" x14ac:dyDescent="0.3">
      <c r="B13" s="264" t="s">
        <v>100</v>
      </c>
      <c r="C13" s="265" t="s">
        <v>108</v>
      </c>
      <c r="D13" s="256">
        <f>'Calcs &amp; Signs'!C21</f>
        <v>1.597</v>
      </c>
      <c r="E13" s="272" t="str">
        <f>IF('Calcs &amp; Signs'!$C$33="Yes","T","")</f>
        <v/>
      </c>
      <c r="G13" s="255" t="str">
        <f>IF('Calcs &amp; Signs'!$C$33="Yes",'Calcs &amp; Signs'!F47,"")</f>
        <v/>
      </c>
    </row>
    <row r="14" spans="2:11" ht="20.100000000000001" customHeight="1" x14ac:dyDescent="0.3">
      <c r="B14" s="264" t="s">
        <v>100</v>
      </c>
      <c r="C14" s="265" t="s">
        <v>109</v>
      </c>
      <c r="D14" s="256">
        <f>'Calcs &amp; Signs'!C22</f>
        <v>1.4850000000000001</v>
      </c>
      <c r="E14" s="272" t="str">
        <f>IF('Calcs &amp; Signs'!$C$33="Yes","T","")</f>
        <v/>
      </c>
      <c r="G14" s="255" t="str">
        <f>IF('Calcs &amp; Signs'!$C$33="Yes",'Calcs &amp; Signs'!F48,"")</f>
        <v/>
      </c>
    </row>
    <row r="15" spans="2:11" ht="20.100000000000001" customHeight="1" x14ac:dyDescent="0.3">
      <c r="B15" s="264" t="s">
        <v>100</v>
      </c>
      <c r="C15" s="265" t="s">
        <v>110</v>
      </c>
      <c r="D15" s="256">
        <f>'Calcs &amp; Signs'!C23</f>
        <v>1.335</v>
      </c>
      <c r="E15" s="272" t="str">
        <f>IF('Calcs &amp; Signs'!$C$33="Yes","T","")</f>
        <v/>
      </c>
      <c r="G15" s="255" t="str">
        <f>IF('Calcs &amp; Signs'!$C$33="Yes",'Calcs &amp; Signs'!F49,"")</f>
        <v/>
      </c>
    </row>
    <row r="16" spans="2:11" ht="20.100000000000001" customHeight="1" x14ac:dyDescent="0.3">
      <c r="B16" s="264" t="s">
        <v>100</v>
      </c>
      <c r="C16" s="265" t="s">
        <v>111</v>
      </c>
      <c r="D16" s="256">
        <f>'Calcs &amp; Signs'!C24</f>
        <v>1.2410000000000001</v>
      </c>
      <c r="E16" s="272" t="str">
        <f>IF('Calcs &amp; Signs'!$C$33="Yes","T","")</f>
        <v/>
      </c>
      <c r="G16" s="255" t="str">
        <f>IF('Calcs &amp; Signs'!$C$33="Yes",'Calcs &amp; Signs'!F49,"")</f>
        <v/>
      </c>
    </row>
    <row r="17" spans="2:7" ht="20.100000000000001" customHeight="1" x14ac:dyDescent="0.3">
      <c r="B17" s="264" t="s">
        <v>100</v>
      </c>
      <c r="C17" s="265" t="s">
        <v>112</v>
      </c>
      <c r="D17" s="256">
        <f>'Calcs &amp; Signs'!C26</f>
        <v>1.6140000000000001</v>
      </c>
      <c r="E17" s="272" t="str">
        <f>IF('Calcs &amp; Signs'!$C$34="Yes","T","")</f>
        <v/>
      </c>
      <c r="G17" s="255" t="str">
        <f>IF('Calcs &amp; Signs'!$C$34="Yes",'Calcs &amp; Signs'!F51,"")</f>
        <v/>
      </c>
    </row>
    <row r="18" spans="2:7" ht="20.100000000000001" customHeight="1" x14ac:dyDescent="0.3">
      <c r="B18" s="264" t="s">
        <v>100</v>
      </c>
      <c r="C18" s="265" t="s">
        <v>113</v>
      </c>
      <c r="D18" s="256">
        <f>'Calcs &amp; Signs'!C27</f>
        <v>2.2250000000000001</v>
      </c>
      <c r="E18" s="272" t="str">
        <f>IF('Calcs &amp; Signs'!$C$34="Yes","T","")</f>
        <v/>
      </c>
      <c r="G18" s="255" t="str">
        <f>IF('Calcs &amp; Signs'!$C$34="Yes",'Calcs &amp; Signs'!F52,"")</f>
        <v/>
      </c>
    </row>
    <row r="19" spans="2:7" ht="20.100000000000001" customHeight="1" x14ac:dyDescent="0.3">
      <c r="B19" s="258"/>
      <c r="C19" s="259" t="s">
        <v>114</v>
      </c>
      <c r="D19" s="254">
        <f>'Calcs &amp; Signs'!C29</f>
        <v>2.7650000000000001</v>
      </c>
      <c r="E19" s="273"/>
      <c r="G19" s="251"/>
    </row>
    <row r="20" spans="2:7" ht="20.100000000000001" customHeight="1" x14ac:dyDescent="0.3">
      <c r="B20" s="258"/>
      <c r="C20" s="260" t="s">
        <v>115</v>
      </c>
      <c r="D20" s="254">
        <f>'Calcs &amp; Signs'!C30</f>
        <v>2.2480000000000002</v>
      </c>
      <c r="E20" s="273"/>
      <c r="G20" s="251"/>
    </row>
    <row r="21" spans="2:7" ht="6.75" customHeight="1" thickBot="1" x14ac:dyDescent="0.35">
      <c r="B21" s="267"/>
      <c r="C21" s="268"/>
      <c r="D21" s="269"/>
      <c r="E21" s="270"/>
    </row>
  </sheetData>
  <sheetProtection selectLockedCells="1"/>
  <mergeCells count="1">
    <mergeCell ref="D4:E4"/>
  </mergeCell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I81"/>
  <sheetViews>
    <sheetView topLeftCell="A28" zoomScale="75" zoomScaleNormal="75" workbookViewId="0">
      <selection activeCell="I3" sqref="I3"/>
    </sheetView>
  </sheetViews>
  <sheetFormatPr defaultColWidth="9.109375" defaultRowHeight="14.4" x14ac:dyDescent="0.3"/>
  <cols>
    <col min="2" max="2" width="23.5546875" customWidth="1"/>
    <col min="3" max="3" width="9" customWidth="1"/>
    <col min="4" max="4" width="10.33203125" customWidth="1"/>
    <col min="5" max="5" width="6.88671875" customWidth="1"/>
    <col min="6" max="6" width="5.44140625" customWidth="1"/>
    <col min="8" max="8" width="14" customWidth="1"/>
    <col min="10" max="10" width="3.6640625" customWidth="1"/>
    <col min="11" max="11" width="8.5546875" customWidth="1"/>
    <col min="12" max="12" width="3.109375" customWidth="1"/>
    <col min="13" max="13" width="5.44140625" customWidth="1"/>
    <col min="14" max="14" width="7.109375" customWidth="1"/>
    <col min="15" max="15" width="2.88671875" customWidth="1"/>
    <col min="16" max="16" width="7.88671875" customWidth="1"/>
    <col min="17" max="17" width="8" customWidth="1"/>
    <col min="18" max="18" width="2.88671875" customWidth="1"/>
    <col min="19" max="19" width="9" customWidth="1"/>
    <col min="20" max="20" width="6.109375" customWidth="1"/>
    <col min="21" max="21" width="2.88671875" customWidth="1"/>
    <col min="22" max="23" width="8.109375" customWidth="1"/>
    <col min="24" max="24" width="2.88671875" customWidth="1"/>
    <col min="27" max="27" width="2.6640625" customWidth="1"/>
    <col min="28" max="28" width="3.109375" customWidth="1"/>
    <col min="29" max="29" width="5.44140625" customWidth="1"/>
    <col min="30" max="30" width="7.109375" customWidth="1"/>
  </cols>
  <sheetData>
    <row r="1" spans="2:31" ht="15" thickBot="1" x14ac:dyDescent="0.35"/>
    <row r="2" spans="2:31" ht="15" thickBot="1" x14ac:dyDescent="0.35">
      <c r="B2" s="519" t="s">
        <v>116</v>
      </c>
      <c r="C2" s="521"/>
    </row>
    <row r="3" spans="2:31" ht="15" thickBot="1" x14ac:dyDescent="0.35">
      <c r="B3" s="541" t="s">
        <v>117</v>
      </c>
      <c r="C3" s="542"/>
      <c r="D3" s="211">
        <v>1</v>
      </c>
      <c r="G3" s="22"/>
      <c r="H3" s="23" t="s">
        <v>118</v>
      </c>
      <c r="I3" s="56" t="b">
        <v>1</v>
      </c>
      <c r="K3" s="541" t="s">
        <v>119</v>
      </c>
      <c r="L3" s="542"/>
      <c r="M3" s="542"/>
      <c r="N3" s="543" t="str">
        <f>IF(M81&gt;0,"Disabled",IF(O4 = TRUE,"Manual",IF(C35="Yes","ClosureSign",IF(C33="Yes","LegalSign",IF(AND(C34="Yes",D34="Yes"),"EVSign","BlankSign")))))</f>
        <v>BlankSign</v>
      </c>
      <c r="O3" s="544"/>
    </row>
    <row r="4" spans="2:31" ht="15" thickBot="1" x14ac:dyDescent="0.35">
      <c r="B4" s="541" t="s">
        <v>120</v>
      </c>
      <c r="C4" s="542"/>
      <c r="D4" s="24">
        <v>2.99</v>
      </c>
      <c r="G4" s="541" t="s">
        <v>121</v>
      </c>
      <c r="H4" s="542"/>
      <c r="I4" s="24" t="str">
        <f>_xlfn.IFNA(VLOOKUP(D79,List!P3:R12,2,FALSE),"RF")</f>
        <v>RF</v>
      </c>
      <c r="K4" s="539" t="s">
        <v>122</v>
      </c>
      <c r="L4" s="540"/>
      <c r="M4" s="540"/>
      <c r="N4" s="540"/>
      <c r="O4" s="55" t="b">
        <v>0</v>
      </c>
      <c r="Q4" s="150"/>
    </row>
    <row r="5" spans="2:31" x14ac:dyDescent="0.3">
      <c r="B5" s="9"/>
      <c r="C5" s="9"/>
      <c r="D5" s="97"/>
      <c r="G5" s="9"/>
      <c r="H5" s="9"/>
      <c r="I5" s="97"/>
      <c r="K5" s="11"/>
      <c r="L5" s="11"/>
      <c r="M5" s="11"/>
      <c r="N5" s="11"/>
      <c r="O5" s="98"/>
    </row>
    <row r="6" spans="2:31" ht="15" thickBot="1" x14ac:dyDescent="0.35">
      <c r="B6" s="9"/>
      <c r="C6" s="9"/>
      <c r="D6" s="97"/>
      <c r="G6" s="9"/>
      <c r="H6" s="9"/>
      <c r="I6" s="97"/>
      <c r="K6" s="11"/>
      <c r="L6" s="11"/>
      <c r="M6" s="11"/>
      <c r="N6" s="11"/>
      <c r="O6" s="98"/>
    </row>
    <row r="7" spans="2:31" ht="15" thickBot="1" x14ac:dyDescent="0.35">
      <c r="B7" s="135" t="s">
        <v>123</v>
      </c>
      <c r="C7" s="522">
        <f>'BR-100'!O50</f>
        <v>45358</v>
      </c>
      <c r="D7" s="493"/>
      <c r="G7" s="9"/>
      <c r="H7" s="9"/>
      <c r="I7" s="97"/>
      <c r="K7" s="519" t="s">
        <v>124</v>
      </c>
      <c r="L7" s="520"/>
      <c r="M7" s="520"/>
      <c r="N7" s="520"/>
      <c r="O7" s="520"/>
      <c r="P7" s="521"/>
    </row>
    <row r="8" spans="2:31" ht="15" customHeight="1" thickBot="1" x14ac:dyDescent="0.35">
      <c r="K8" s="101"/>
      <c r="L8" s="102"/>
      <c r="M8" s="102"/>
      <c r="N8" s="102"/>
      <c r="O8" s="102"/>
      <c r="P8" s="102"/>
      <c r="Q8" s="102"/>
      <c r="R8" s="102"/>
      <c r="S8" s="102"/>
      <c r="T8" s="102"/>
      <c r="U8" s="102"/>
      <c r="V8" s="102"/>
      <c r="W8" s="102"/>
      <c r="X8" s="102"/>
      <c r="Y8" s="102"/>
      <c r="Z8" s="102"/>
      <c r="AA8" s="102"/>
      <c r="AB8" s="102"/>
      <c r="AC8" s="102"/>
      <c r="AD8" s="102"/>
      <c r="AE8" s="103"/>
    </row>
    <row r="9" spans="2:31" ht="15" thickBot="1" x14ac:dyDescent="0.35">
      <c r="B9" s="519" t="s">
        <v>125</v>
      </c>
      <c r="C9" s="521"/>
      <c r="K9" s="104"/>
      <c r="L9" s="476" t="s">
        <v>126</v>
      </c>
      <c r="M9" s="476"/>
      <c r="N9" s="476"/>
      <c r="O9" s="105"/>
      <c r="P9" s="470" t="s">
        <v>127</v>
      </c>
      <c r="Q9" s="470"/>
      <c r="R9" s="105"/>
      <c r="S9" s="473" t="s">
        <v>128</v>
      </c>
      <c r="T9" s="473"/>
      <c r="U9" s="105"/>
      <c r="V9" s="473" t="s">
        <v>129</v>
      </c>
      <c r="W9" s="473"/>
      <c r="X9" s="105"/>
      <c r="Y9" s="470" t="s">
        <v>130</v>
      </c>
      <c r="Z9" s="470"/>
      <c r="AA9" s="105"/>
      <c r="AB9" s="470" t="s">
        <v>131</v>
      </c>
      <c r="AC9" s="470"/>
      <c r="AD9" s="470"/>
      <c r="AE9" s="106"/>
    </row>
    <row r="10" spans="2:31" ht="15.75" customHeight="1" thickBot="1" x14ac:dyDescent="0.35">
      <c r="B10" s="477" t="s">
        <v>132</v>
      </c>
      <c r="C10" s="477" t="s">
        <v>55</v>
      </c>
      <c r="D10" s="477" t="s">
        <v>133</v>
      </c>
      <c r="E10" s="537" t="s">
        <v>134</v>
      </c>
      <c r="F10" s="545"/>
      <c r="G10" s="477" t="s">
        <v>135</v>
      </c>
      <c r="H10" s="537"/>
      <c r="I10" s="199" t="s">
        <v>136</v>
      </c>
      <c r="K10" s="104"/>
      <c r="L10" s="479" t="s">
        <v>137</v>
      </c>
      <c r="M10" s="480"/>
      <c r="N10" s="481"/>
      <c r="O10" s="105"/>
      <c r="P10" s="121"/>
      <c r="Q10" s="122"/>
      <c r="R10" s="105"/>
      <c r="S10" s="128"/>
      <c r="T10" s="25"/>
      <c r="U10" s="132"/>
      <c r="V10" s="133"/>
      <c r="W10" s="122"/>
      <c r="X10" s="105"/>
      <c r="Y10" s="107"/>
      <c r="Z10" s="107"/>
      <c r="AA10" s="105"/>
      <c r="AB10" s="479" t="s">
        <v>137</v>
      </c>
      <c r="AC10" s="480"/>
      <c r="AD10" s="481"/>
      <c r="AE10" s="106"/>
    </row>
    <row r="11" spans="2:31" ht="15" customHeight="1" thickBot="1" x14ac:dyDescent="0.35">
      <c r="B11" s="478"/>
      <c r="C11" s="478"/>
      <c r="D11" s="478"/>
      <c r="E11" s="538"/>
      <c r="F11" s="546"/>
      <c r="G11" s="478"/>
      <c r="H11" s="538"/>
      <c r="I11" s="198" t="s">
        <v>138</v>
      </c>
      <c r="K11" s="104"/>
      <c r="L11" s="482"/>
      <c r="M11" s="483"/>
      <c r="N11" s="484"/>
      <c r="O11" s="105"/>
      <c r="P11" s="123"/>
      <c r="Q11" s="124"/>
      <c r="R11" s="105"/>
      <c r="S11" s="479" t="s">
        <v>139</v>
      </c>
      <c r="T11" s="481"/>
      <c r="U11" s="131"/>
      <c r="V11" s="74"/>
      <c r="W11" s="26"/>
      <c r="X11" s="129"/>
      <c r="Y11" s="105"/>
      <c r="Z11" s="105"/>
      <c r="AA11" s="105"/>
      <c r="AB11" s="482"/>
      <c r="AC11" s="483"/>
      <c r="AD11" s="484"/>
      <c r="AE11" s="106"/>
    </row>
    <row r="12" spans="2:31" ht="15" customHeight="1" x14ac:dyDescent="0.3">
      <c r="B12" s="187" t="s">
        <v>140</v>
      </c>
      <c r="C12" s="190">
        <f>'BR-100'!L26</f>
        <v>1.147</v>
      </c>
      <c r="D12" s="215"/>
      <c r="E12" s="216"/>
      <c r="F12" s="216"/>
      <c r="G12" s="217"/>
      <c r="H12" s="217"/>
      <c r="I12" s="218"/>
      <c r="K12" s="104"/>
      <c r="L12" s="109">
        <v>2</v>
      </c>
      <c r="M12" s="105" t="s">
        <v>141</v>
      </c>
      <c r="N12" s="110">
        <f t="shared" ref="N12:N17" si="0">F45</f>
        <v>15</v>
      </c>
      <c r="O12" s="105"/>
      <c r="P12" s="123"/>
      <c r="Q12" s="124"/>
      <c r="R12" s="105"/>
      <c r="S12" s="482"/>
      <c r="T12" s="484"/>
      <c r="U12" s="105"/>
      <c r="V12" s="485" t="s">
        <v>142</v>
      </c>
      <c r="W12" s="486"/>
      <c r="X12" s="105"/>
      <c r="Y12" s="470" t="s">
        <v>143</v>
      </c>
      <c r="Z12" s="470"/>
      <c r="AA12" s="105"/>
      <c r="AB12" s="109">
        <v>2</v>
      </c>
      <c r="AC12" s="105" t="s">
        <v>141</v>
      </c>
      <c r="AD12" s="111">
        <v>0</v>
      </c>
      <c r="AE12" s="106"/>
    </row>
    <row r="13" spans="2:31" ht="15.75" customHeight="1" thickBot="1" x14ac:dyDescent="0.35">
      <c r="B13" s="144" t="s">
        <v>144</v>
      </c>
      <c r="C13" s="182">
        <f>'BR-100'!N26</f>
        <v>1.1919999999999999</v>
      </c>
      <c r="D13" s="219"/>
      <c r="E13" s="220"/>
      <c r="F13" s="220"/>
      <c r="G13" s="221"/>
      <c r="H13" s="221"/>
      <c r="I13" s="222"/>
      <c r="K13" s="104"/>
      <c r="L13" s="109">
        <v>3</v>
      </c>
      <c r="M13" s="105" t="s">
        <v>141</v>
      </c>
      <c r="N13" s="110">
        <f t="shared" si="0"/>
        <v>23</v>
      </c>
      <c r="O13" s="105"/>
      <c r="P13" s="123"/>
      <c r="Q13" s="124"/>
      <c r="R13" s="105"/>
      <c r="S13" s="482" t="s">
        <v>145</v>
      </c>
      <c r="T13" s="484"/>
      <c r="U13" s="105"/>
      <c r="V13" s="487"/>
      <c r="W13" s="488"/>
      <c r="X13" s="105"/>
      <c r="Y13" s="470" t="s">
        <v>146</v>
      </c>
      <c r="Z13" s="470"/>
      <c r="AA13" s="105"/>
      <c r="AB13" s="109">
        <v>3</v>
      </c>
      <c r="AC13" s="105" t="s">
        <v>141</v>
      </c>
      <c r="AD13" s="111">
        <v>0</v>
      </c>
      <c r="AE13" s="106"/>
    </row>
    <row r="14" spans="2:31" ht="15" customHeight="1" x14ac:dyDescent="0.3">
      <c r="B14" s="188" t="s">
        <v>147</v>
      </c>
      <c r="C14" s="182">
        <f>'BR-100'!D26</f>
        <v>2.6389999999999998</v>
      </c>
      <c r="D14" s="186">
        <v>15</v>
      </c>
      <c r="E14" s="474">
        <f>IF(C14&gt;=$D$3,D14,C14*D14)</f>
        <v>15</v>
      </c>
      <c r="F14" s="475"/>
      <c r="G14" s="143" t="str">
        <f>IF(C14&gt;=$D$3,"No","Yes")</f>
        <v>No</v>
      </c>
      <c r="H14" s="196"/>
      <c r="I14" s="203">
        <v>2</v>
      </c>
      <c r="K14" s="104"/>
      <c r="L14" s="109">
        <v>4</v>
      </c>
      <c r="M14" s="105" t="s">
        <v>141</v>
      </c>
      <c r="N14" s="110">
        <f t="shared" si="0"/>
        <v>27</v>
      </c>
      <c r="O14" s="105"/>
      <c r="P14" s="123"/>
      <c r="Q14" s="124"/>
      <c r="R14" s="105"/>
      <c r="S14" s="104" t="s">
        <v>148</v>
      </c>
      <c r="T14" s="112">
        <f>F51</f>
        <v>28</v>
      </c>
      <c r="U14" s="105"/>
      <c r="V14" s="487"/>
      <c r="W14" s="488"/>
      <c r="X14" s="105"/>
      <c r="Y14" s="470" t="s">
        <v>130</v>
      </c>
      <c r="Z14" s="470"/>
      <c r="AA14" s="105"/>
      <c r="AB14" s="109">
        <v>4</v>
      </c>
      <c r="AC14" s="105" t="s">
        <v>141</v>
      </c>
      <c r="AD14" s="111">
        <v>0</v>
      </c>
      <c r="AE14" s="106"/>
    </row>
    <row r="15" spans="2:31" ht="15" thickBot="1" x14ac:dyDescent="0.35">
      <c r="B15" s="188" t="s">
        <v>149</v>
      </c>
      <c r="C15" s="182">
        <f>'BR-100'!D27</f>
        <v>1.7889999999999999</v>
      </c>
      <c r="D15" s="185">
        <v>23</v>
      </c>
      <c r="E15" s="468">
        <f t="shared" ref="E15:E24" si="1">IF(C15&gt;=$D$3,D15,C15*D15)</f>
        <v>23</v>
      </c>
      <c r="F15" s="469"/>
      <c r="G15" s="77" t="str">
        <f t="shared" ref="G15:G24" si="2">IF(C15&gt;=$D$3,"No","Yes")</f>
        <v>No</v>
      </c>
      <c r="H15" s="197"/>
      <c r="I15" s="2">
        <v>3</v>
      </c>
      <c r="K15" s="104"/>
      <c r="L15" s="109">
        <v>5</v>
      </c>
      <c r="M15" s="105" t="s">
        <v>141</v>
      </c>
      <c r="N15" s="110">
        <f t="shared" si="0"/>
        <v>31</v>
      </c>
      <c r="O15" s="105"/>
      <c r="P15" s="123"/>
      <c r="Q15" s="124"/>
      <c r="R15" s="105"/>
      <c r="S15" s="113" t="s">
        <v>150</v>
      </c>
      <c r="T15" s="114">
        <f>F52</f>
        <v>43</v>
      </c>
      <c r="U15" s="105"/>
      <c r="V15" s="489"/>
      <c r="W15" s="490"/>
      <c r="X15" s="105"/>
      <c r="Y15" s="105"/>
      <c r="Z15" s="105"/>
      <c r="AA15" s="105"/>
      <c r="AB15" s="109">
        <v>5</v>
      </c>
      <c r="AC15" s="105" t="s">
        <v>141</v>
      </c>
      <c r="AD15" s="111">
        <v>0</v>
      </c>
      <c r="AE15" s="106"/>
    </row>
    <row r="16" spans="2:31" ht="16.5" customHeight="1" thickBot="1" x14ac:dyDescent="0.35">
      <c r="B16" s="188"/>
      <c r="C16" s="182"/>
      <c r="D16" s="185"/>
      <c r="E16" s="468"/>
      <c r="F16" s="469"/>
      <c r="G16" s="77"/>
      <c r="H16" s="197"/>
      <c r="I16" s="2"/>
      <c r="K16" s="104"/>
      <c r="L16" s="115" t="s">
        <v>151</v>
      </c>
      <c r="M16" s="108" t="s">
        <v>141</v>
      </c>
      <c r="N16" s="116">
        <f t="shared" si="0"/>
        <v>34</v>
      </c>
      <c r="O16" s="105"/>
      <c r="P16" s="123"/>
      <c r="Q16" s="124"/>
      <c r="R16" s="105"/>
      <c r="S16" s="127"/>
      <c r="T16" s="27"/>
      <c r="U16" s="132"/>
      <c r="V16" s="74"/>
      <c r="W16" s="74"/>
      <c r="X16" s="129"/>
      <c r="Y16" s="105"/>
      <c r="Z16" s="105"/>
      <c r="AA16" s="105"/>
      <c r="AB16" s="115" t="s">
        <v>151</v>
      </c>
      <c r="AC16" s="108" t="s">
        <v>141</v>
      </c>
      <c r="AD16" s="117">
        <v>0</v>
      </c>
      <c r="AE16" s="106"/>
    </row>
    <row r="17" spans="2:35" ht="18.75" customHeight="1" thickBot="1" x14ac:dyDescent="0.35">
      <c r="B17" s="188" t="s">
        <v>152</v>
      </c>
      <c r="C17" s="182">
        <f>'BR-100'!D28</f>
        <v>1.839</v>
      </c>
      <c r="D17" s="185">
        <v>40</v>
      </c>
      <c r="E17" s="468">
        <f>IF(C17&gt;=$D$3,D17,C17*D17)</f>
        <v>40</v>
      </c>
      <c r="F17" s="469"/>
      <c r="G17" s="77" t="str">
        <f t="shared" si="2"/>
        <v>No</v>
      </c>
      <c r="H17" s="197" t="str">
        <f>IF($C17&gt;1,"yes","no")</f>
        <v>yes</v>
      </c>
      <c r="I17" s="2">
        <v>5</v>
      </c>
      <c r="K17" s="104"/>
      <c r="L17" s="471"/>
      <c r="M17" s="472"/>
      <c r="N17" s="118">
        <f t="shared" si="0"/>
        <v>40</v>
      </c>
      <c r="O17" s="105"/>
      <c r="P17" s="125"/>
      <c r="Q17" s="126"/>
      <c r="R17" s="105"/>
      <c r="S17" s="130"/>
      <c r="T17" s="130"/>
      <c r="U17" s="129"/>
      <c r="V17" s="125"/>
      <c r="W17" s="124"/>
      <c r="X17" s="105"/>
      <c r="Y17" s="105"/>
      <c r="Z17" s="105"/>
      <c r="AA17" s="105"/>
      <c r="AB17" s="471"/>
      <c r="AC17" s="472"/>
      <c r="AD17" s="119">
        <v>0</v>
      </c>
      <c r="AE17" s="106"/>
    </row>
    <row r="18" spans="2:35" ht="18.75" customHeight="1" x14ac:dyDescent="0.3">
      <c r="B18" s="188" t="s">
        <v>153</v>
      </c>
      <c r="C18" s="182">
        <f>'BR-100'!D29</f>
        <v>1.845</v>
      </c>
      <c r="D18" s="185">
        <v>25</v>
      </c>
      <c r="E18" s="468">
        <f>IF(C18&gt;=$D$3,D18,C18*D18)</f>
        <v>25</v>
      </c>
      <c r="F18" s="469"/>
      <c r="G18" s="77" t="str">
        <f t="shared" ref="G18:G20" si="3">IF(C18&gt;=$D$3,"No","Yes")</f>
        <v>No</v>
      </c>
      <c r="H18" s="197"/>
      <c r="I18" s="2">
        <v>3</v>
      </c>
      <c r="K18" s="104"/>
      <c r="L18" s="107"/>
      <c r="M18" s="107"/>
      <c r="N18" s="151"/>
      <c r="O18" s="105"/>
      <c r="P18" s="74"/>
      <c r="Q18" s="74"/>
      <c r="R18" s="105"/>
      <c r="S18" s="74"/>
      <c r="T18" s="74"/>
      <c r="U18" s="105"/>
      <c r="V18" s="74"/>
      <c r="W18" s="74"/>
      <c r="X18" s="105"/>
      <c r="Y18" s="105"/>
      <c r="Z18" s="105"/>
      <c r="AA18" s="105"/>
      <c r="AB18" s="107"/>
      <c r="AC18" s="107"/>
      <c r="AD18" s="152"/>
      <c r="AE18" s="106"/>
    </row>
    <row r="19" spans="2:35" ht="18.75" customHeight="1" x14ac:dyDescent="0.3">
      <c r="B19" s="188" t="s">
        <v>154</v>
      </c>
      <c r="C19" s="182">
        <f>'BR-100'!D30</f>
        <v>2.2170000000000001</v>
      </c>
      <c r="D19" s="185">
        <v>40</v>
      </c>
      <c r="E19" s="468">
        <f>IF(C19&gt;=$D$3,D19,C19*D19)</f>
        <v>40</v>
      </c>
      <c r="F19" s="469"/>
      <c r="G19" s="77" t="str">
        <f t="shared" si="3"/>
        <v>No</v>
      </c>
      <c r="H19" s="197"/>
      <c r="I19" s="2">
        <v>6</v>
      </c>
      <c r="K19" s="104"/>
      <c r="L19" s="107"/>
      <c r="M19" s="107"/>
      <c r="N19" s="151"/>
      <c r="O19" s="105"/>
      <c r="P19" s="74"/>
      <c r="Q19" s="74"/>
      <c r="R19" s="105"/>
      <c r="S19" s="74"/>
      <c r="T19" s="74"/>
      <c r="U19" s="105"/>
      <c r="V19" s="74"/>
      <c r="W19" s="74"/>
      <c r="X19" s="105"/>
      <c r="Y19" s="105"/>
      <c r="Z19" s="105"/>
      <c r="AA19" s="105"/>
      <c r="AB19" s="107"/>
      <c r="AC19" s="107"/>
      <c r="AD19" s="152"/>
      <c r="AE19" s="106"/>
    </row>
    <row r="20" spans="2:35" ht="18.75" customHeight="1" x14ac:dyDescent="0.3">
      <c r="B20" s="188" t="s">
        <v>155</v>
      </c>
      <c r="C20" s="182">
        <f>'BR-100'!D31</f>
        <v>2.0179999999999998</v>
      </c>
      <c r="D20" s="185">
        <v>36</v>
      </c>
      <c r="E20" s="468">
        <f>IF(C20&gt;=$D$3,D20,C20*D20)</f>
        <v>36</v>
      </c>
      <c r="F20" s="469"/>
      <c r="G20" s="77" t="str">
        <f t="shared" si="3"/>
        <v>No</v>
      </c>
      <c r="H20" s="197" t="str">
        <f>IF($C20&gt;1,"yes","no")</f>
        <v>yes</v>
      </c>
      <c r="I20" s="2">
        <v>5</v>
      </c>
      <c r="K20" s="104"/>
      <c r="L20" s="107"/>
      <c r="M20" s="107"/>
      <c r="N20" s="151"/>
      <c r="O20" s="105"/>
      <c r="P20" s="74"/>
      <c r="Q20" s="74"/>
      <c r="R20" s="105"/>
      <c r="S20" s="74"/>
      <c r="T20" s="74"/>
      <c r="U20" s="105"/>
      <c r="V20" s="74"/>
      <c r="W20" s="74"/>
      <c r="X20" s="105"/>
      <c r="Y20" s="105"/>
      <c r="Z20" s="105"/>
      <c r="AA20" s="105"/>
      <c r="AB20" s="107"/>
      <c r="AC20" s="107"/>
      <c r="AD20" s="152"/>
      <c r="AE20" s="106"/>
      <c r="AI20" s="214"/>
    </row>
    <row r="21" spans="2:35" x14ac:dyDescent="0.3">
      <c r="B21" s="188" t="s">
        <v>156</v>
      </c>
      <c r="C21" s="182">
        <f>'BR-100'!D34</f>
        <v>1.597</v>
      </c>
      <c r="D21" s="185">
        <v>27</v>
      </c>
      <c r="E21" s="468">
        <f t="shared" si="1"/>
        <v>27</v>
      </c>
      <c r="F21" s="469"/>
      <c r="G21" s="77" t="str">
        <f t="shared" si="2"/>
        <v>No</v>
      </c>
      <c r="H21" s="197"/>
      <c r="I21" s="2">
        <v>4</v>
      </c>
      <c r="K21" s="104"/>
      <c r="L21" s="547" t="s">
        <v>157</v>
      </c>
      <c r="M21" s="547"/>
      <c r="N21" s="547"/>
      <c r="O21" s="547"/>
      <c r="P21" s="547"/>
      <c r="Q21" s="547"/>
      <c r="R21" s="547"/>
      <c r="S21" s="547"/>
      <c r="T21" s="547"/>
      <c r="U21" s="547"/>
      <c r="V21" s="547"/>
      <c r="W21" s="547"/>
      <c r="X21" s="547"/>
      <c r="Y21" s="105"/>
      <c r="Z21" s="105"/>
      <c r="AA21" s="105"/>
      <c r="AB21" s="105"/>
      <c r="AC21" s="105"/>
      <c r="AD21" s="105"/>
      <c r="AE21" s="106"/>
    </row>
    <row r="22" spans="2:35" ht="15" thickBot="1" x14ac:dyDescent="0.35">
      <c r="B22" s="144" t="s">
        <v>158</v>
      </c>
      <c r="C22" s="182">
        <f>'BR-100'!D35</f>
        <v>1.4850000000000001</v>
      </c>
      <c r="D22" s="185">
        <v>31</v>
      </c>
      <c r="E22" s="468">
        <f t="shared" si="1"/>
        <v>31</v>
      </c>
      <c r="F22" s="469"/>
      <c r="G22" s="77" t="str">
        <f t="shared" si="2"/>
        <v>No</v>
      </c>
      <c r="H22" s="197"/>
      <c r="I22" s="2">
        <v>5</v>
      </c>
      <c r="K22" s="104"/>
      <c r="L22" s="533"/>
      <c r="M22" s="533"/>
      <c r="N22" s="533"/>
      <c r="O22" s="533"/>
      <c r="P22" s="533"/>
      <c r="Q22" s="533"/>
      <c r="R22" s="533"/>
      <c r="S22" s="533"/>
      <c r="T22" s="533"/>
      <c r="U22" s="533"/>
      <c r="V22" s="533"/>
      <c r="W22" s="533"/>
      <c r="X22" s="533"/>
      <c r="Y22" s="105"/>
      <c r="Z22" s="105"/>
      <c r="AA22" s="105"/>
      <c r="AB22" s="105"/>
      <c r="AC22" s="105"/>
      <c r="AD22" s="105"/>
      <c r="AE22" s="106"/>
    </row>
    <row r="23" spans="2:35" x14ac:dyDescent="0.3">
      <c r="B23" s="144" t="s">
        <v>159</v>
      </c>
      <c r="C23" s="182">
        <f>'BR-100'!D37</f>
        <v>1.335</v>
      </c>
      <c r="D23" s="185">
        <v>34.75</v>
      </c>
      <c r="E23" s="468">
        <f>IF(C23&gt;=$D$3,D23,C23*D23)</f>
        <v>34.75</v>
      </c>
      <c r="F23" s="469"/>
      <c r="G23" s="77" t="str">
        <f t="shared" si="2"/>
        <v>No</v>
      </c>
      <c r="H23" s="197"/>
      <c r="I23" s="2">
        <v>6</v>
      </c>
      <c r="K23" s="104"/>
      <c r="L23" s="534" t="s">
        <v>160</v>
      </c>
      <c r="M23" s="535"/>
      <c r="N23" s="535"/>
      <c r="O23" s="535"/>
      <c r="P23" s="535"/>
      <c r="Q23" s="535"/>
      <c r="R23" s="535"/>
      <c r="S23" s="535"/>
      <c r="T23" s="535"/>
      <c r="U23" s="535"/>
      <c r="V23" s="535"/>
      <c r="W23" s="535"/>
      <c r="X23" s="536"/>
      <c r="Y23" s="105"/>
      <c r="Z23" s="105"/>
      <c r="AA23" s="105"/>
      <c r="AB23" s="105"/>
      <c r="AC23" s="105"/>
      <c r="AD23" s="105"/>
      <c r="AE23" s="106"/>
    </row>
    <row r="24" spans="2:35" ht="15" customHeight="1" x14ac:dyDescent="0.3">
      <c r="B24" s="144" t="s">
        <v>161</v>
      </c>
      <c r="C24" s="182">
        <f>'BR-100'!D38</f>
        <v>1.2410000000000001</v>
      </c>
      <c r="D24" s="185">
        <v>38.75</v>
      </c>
      <c r="E24" s="468">
        <f t="shared" si="1"/>
        <v>38.75</v>
      </c>
      <c r="F24" s="469"/>
      <c r="G24" s="77" t="str">
        <f t="shared" si="2"/>
        <v>No</v>
      </c>
      <c r="H24" s="197"/>
      <c r="I24" s="2">
        <v>7</v>
      </c>
      <c r="K24" s="104"/>
      <c r="L24" s="226" t="s">
        <v>162</v>
      </c>
      <c r="M24" s="227"/>
      <c r="N24" s="227"/>
      <c r="O24" s="227"/>
      <c r="P24" s="227"/>
      <c r="Q24" s="227"/>
      <c r="R24" s="227"/>
      <c r="S24" s="227"/>
      <c r="T24" s="227"/>
      <c r="U24" s="227"/>
      <c r="V24" s="227"/>
      <c r="W24" s="227"/>
      <c r="X24" s="228"/>
      <c r="Y24" s="105"/>
      <c r="Z24" s="105"/>
      <c r="AA24" s="105"/>
      <c r="AB24" s="105"/>
      <c r="AC24" s="105"/>
      <c r="AD24" s="105"/>
      <c r="AE24" s="106"/>
    </row>
    <row r="25" spans="2:35" ht="15" thickBot="1" x14ac:dyDescent="0.35">
      <c r="B25" s="144"/>
      <c r="C25" s="182"/>
      <c r="D25" s="185"/>
      <c r="E25" s="468"/>
      <c r="F25" s="469"/>
      <c r="G25" s="77"/>
      <c r="H25" s="197"/>
      <c r="I25" s="2"/>
      <c r="K25" s="113"/>
      <c r="L25" s="108"/>
      <c r="M25" s="108"/>
      <c r="N25" s="108"/>
      <c r="O25" s="108"/>
      <c r="P25" s="108"/>
      <c r="Q25" s="108"/>
      <c r="R25" s="108"/>
      <c r="S25" s="108"/>
      <c r="T25" s="108"/>
      <c r="U25" s="108"/>
      <c r="V25" s="108"/>
      <c r="W25" s="108"/>
      <c r="X25" s="108"/>
      <c r="Y25" s="108"/>
      <c r="Z25" s="108"/>
      <c r="AA25" s="108"/>
      <c r="AB25" s="108"/>
      <c r="AC25" s="108"/>
      <c r="AD25" s="108"/>
      <c r="AE25" s="120"/>
    </row>
    <row r="26" spans="2:35" x14ac:dyDescent="0.3">
      <c r="B26" s="144" t="s">
        <v>163</v>
      </c>
      <c r="C26" s="182">
        <f>'BR-100'!D43</f>
        <v>1.6140000000000001</v>
      </c>
      <c r="D26" s="185">
        <f>28.75</f>
        <v>28.75</v>
      </c>
      <c r="E26" s="468">
        <f>IF(C26&gt;=$D$3,D26,C26*D26)</f>
        <v>28.75</v>
      </c>
      <c r="F26" s="469"/>
      <c r="G26" s="77" t="str">
        <f>IF(C26&gt;=$D$3,"No","Yes")</f>
        <v>No</v>
      </c>
      <c r="H26" s="197"/>
      <c r="I26" s="2">
        <f>2</f>
        <v>2</v>
      </c>
      <c r="K26" s="105"/>
      <c r="L26" s="105"/>
      <c r="M26" s="105"/>
      <c r="N26" s="105"/>
      <c r="O26" s="105"/>
      <c r="P26" s="105"/>
      <c r="Q26" s="105"/>
      <c r="R26" s="105"/>
      <c r="S26" s="105"/>
      <c r="T26" s="105"/>
      <c r="U26" s="105"/>
      <c r="V26" s="105"/>
      <c r="W26" s="105"/>
      <c r="X26" s="105"/>
      <c r="Y26" s="105"/>
      <c r="Z26" s="105"/>
      <c r="AA26" s="105"/>
      <c r="AB26" s="105"/>
      <c r="AC26" s="105"/>
      <c r="AD26" s="105"/>
      <c r="AE26" s="105"/>
    </row>
    <row r="27" spans="2:35" x14ac:dyDescent="0.3">
      <c r="B27" s="144" t="s">
        <v>164</v>
      </c>
      <c r="C27" s="182">
        <f>'BR-100'!D44</f>
        <v>2.2250000000000001</v>
      </c>
      <c r="D27" s="189">
        <f>IF($I$3=TRUE,43,"")</f>
        <v>43</v>
      </c>
      <c r="E27" s="532">
        <f>IF(I3=TRUE,IF(C27&gt;=$D$3,D27,C27*D27),"")</f>
        <v>43</v>
      </c>
      <c r="F27" s="469"/>
      <c r="G27" s="77" t="str">
        <f>IF(I3=TRUE,IF(C27&gt;=$D$3,"No","Yes"),"")</f>
        <v>No</v>
      </c>
      <c r="H27" s="197"/>
      <c r="I27" s="2">
        <f>IF($I$3=TRUE,3,"")</f>
        <v>3</v>
      </c>
    </row>
    <row r="28" spans="2:35" x14ac:dyDescent="0.3">
      <c r="B28" s="144" t="s">
        <v>165</v>
      </c>
      <c r="C28" s="182">
        <f>'BR-100'!D39</f>
        <v>0</v>
      </c>
      <c r="D28" s="185">
        <v>40</v>
      </c>
      <c r="E28" s="468">
        <f t="shared" ref="E28" si="4">IF(C28&gt;=$D$3,D28,C28*D28)</f>
        <v>0</v>
      </c>
      <c r="F28" s="469"/>
      <c r="G28" s="77" t="str">
        <f t="shared" ref="G28" si="5">IF(C28&gt;=$D$3,"No","Yes")</f>
        <v>Yes</v>
      </c>
      <c r="H28" s="197"/>
      <c r="I28" s="2"/>
    </row>
    <row r="29" spans="2:35" x14ac:dyDescent="0.3">
      <c r="B29" s="144" t="s">
        <v>67</v>
      </c>
      <c r="C29" s="182">
        <f>'BR-100'!L43</f>
        <v>2.7650000000000001</v>
      </c>
      <c r="D29" s="189">
        <v>60</v>
      </c>
      <c r="E29" s="468">
        <f t="shared" ref="E29" si="6">IF(C29&gt;=$D$3,D29,C29*D29)</f>
        <v>60</v>
      </c>
      <c r="F29" s="469"/>
      <c r="G29" s="77" t="str">
        <f t="shared" ref="G29" si="7">IF(C29&gt;=$D$3,"No","Yes")</f>
        <v>No</v>
      </c>
      <c r="H29" s="197"/>
      <c r="I29" s="2">
        <v>6</v>
      </c>
    </row>
    <row r="30" spans="2:35" x14ac:dyDescent="0.3">
      <c r="B30" s="144" t="s">
        <v>68</v>
      </c>
      <c r="C30" s="182">
        <f>'BR-100'!L44</f>
        <v>2.2480000000000002</v>
      </c>
      <c r="D30" s="189">
        <v>65</v>
      </c>
      <c r="E30" s="468">
        <f t="shared" ref="E30" si="8">IF(C30&gt;=$D$3,D30,C30*D30)</f>
        <v>65</v>
      </c>
      <c r="F30" s="469"/>
      <c r="G30" s="77" t="str">
        <f t="shared" ref="G30" si="9">IF(C30&gt;=$D$3,"No","Yes")</f>
        <v>No</v>
      </c>
      <c r="H30" s="197"/>
      <c r="I30" s="2">
        <v>7</v>
      </c>
    </row>
    <row r="31" spans="2:35" ht="15" thickBot="1" x14ac:dyDescent="0.35"/>
    <row r="32" spans="2:35" ht="15" thickBot="1" x14ac:dyDescent="0.35">
      <c r="B32" s="519" t="s">
        <v>166</v>
      </c>
      <c r="C32" s="521"/>
      <c r="D32" s="30" t="s">
        <v>167</v>
      </c>
      <c r="K32" s="527" t="s">
        <v>168</v>
      </c>
      <c r="L32" s="528"/>
      <c r="M32" s="528"/>
      <c r="N32" s="529"/>
    </row>
    <row r="33" spans="2:20" ht="15" thickBot="1" x14ac:dyDescent="0.35">
      <c r="B33" s="31" t="s">
        <v>169</v>
      </c>
      <c r="C33" s="32" t="str">
        <f>IF(COUNTIF(G14:G24,"Yes")&gt;0,"Yes","No")</f>
        <v>No</v>
      </c>
      <c r="D33" s="33"/>
      <c r="K33" s="491"/>
      <c r="L33" s="492"/>
      <c r="M33" s="492" t="s">
        <v>170</v>
      </c>
      <c r="N33" s="493"/>
      <c r="O33" s="525" t="s">
        <v>171</v>
      </c>
      <c r="P33" s="526"/>
      <c r="Q33" s="510" t="s">
        <v>172</v>
      </c>
      <c r="R33" s="511"/>
      <c r="S33" s="525" t="s">
        <v>173</v>
      </c>
      <c r="T33" s="511"/>
    </row>
    <row r="34" spans="2:20" ht="15" customHeight="1" thickBot="1" x14ac:dyDescent="0.35">
      <c r="B34" s="34" t="s">
        <v>174</v>
      </c>
      <c r="C34" s="35" t="str">
        <f>IF(COUNTIF(G25:G27,"Yes")&gt;0,"Yes","No")</f>
        <v>No</v>
      </c>
      <c r="D34" s="12" t="str">
        <f>IF(I3,"Yes","No")</f>
        <v>Yes</v>
      </c>
      <c r="K34" s="501" t="s">
        <v>175</v>
      </c>
      <c r="L34" s="502"/>
      <c r="M34" s="523" t="str">
        <f>IFERROR(LEFT('BR-100'!$B$51, SEARCH(" ",'BR-100'!$B$51,1)-1),"")</f>
        <v>Muhammad</v>
      </c>
      <c r="N34" s="524"/>
      <c r="O34" s="523" t="str">
        <f>IFERROR(MID('BR-100'!B51,SEARCH(" ",'BR-100'!$B$51)+1,SEARCH(" ",'BR-100'!$B$51,SEARCH(" ",'BR-100'!$B$51)+1)-SEARCH(" ",'BR-100'!$B$51)-1),"")</f>
        <v>Asad</v>
      </c>
      <c r="P34" s="524"/>
      <c r="Q34" s="523" t="str">
        <f>IF(ISERROR(SEARCH(" ",'BR-100'!$B$51,SEARCH(" ",'BR-100'!$B$51)+1)),IFERROR(MID('BR-100'!$B$51,SEARCH(" ",'BR-100'!$B$51)+1,SEARCH(" ",'BR-100'!$B$51,SEARCH(" ",'BR-100'!$B$51)+1)-SEARCH(" ",'BR-100'!$B$51)-1),IFERROR(RIGHT('BR-100'!$B$51,LEN('BR-100'!$B$51)-SEARCH(" ",'BR-100'!$B$51)),"Last")), IFERROR(RIGHT('BR-100'!$B$51,LEN('BR-100'!$B$51)-SEARCH(" ",'BR-100'!$B$51,SEARCH(" ",'BR-100'!$B$51)+1)),""))</f>
        <v>Nawaz</v>
      </c>
      <c r="R34" s="524"/>
      <c r="S34" s="523" t="str">
        <f>IF('BR-100'!$E$51=0,"",'BR-100'!$E$51)</f>
        <v>N/A</v>
      </c>
      <c r="T34" s="566"/>
    </row>
    <row r="35" spans="2:20" ht="15" thickBot="1" x14ac:dyDescent="0.35">
      <c r="B35" s="36" t="s">
        <v>176</v>
      </c>
      <c r="C35" s="37" t="str">
        <f>IF(COUNTIF(E14:E27,"&lt;"&amp;D4)&gt;0,"Yes","No")</f>
        <v>No</v>
      </c>
      <c r="D35" s="38"/>
      <c r="K35" s="494" t="s">
        <v>177</v>
      </c>
      <c r="L35" s="495"/>
      <c r="M35" s="526" t="str">
        <f>IFERROR(LEFT('BR-100'!$B$52, SEARCH(" ",'BR-100'!$B$52,1)-1),"")</f>
        <v>Matthew</v>
      </c>
      <c r="N35" s="525"/>
      <c r="O35" s="523" t="str">
        <f>IFERROR(MID('BR-100'!$B$52,SEARCH(" ",'BR-100'!$B$52)+1,SEARCH(" ",'BR-100'!$B$52,SEARCH(" ",'BR-100'!$B$52)+1)-SEARCH(" ",'BR-100'!$B$52)-1),"")</f>
        <v>J.</v>
      </c>
      <c r="P35" s="524"/>
      <c r="Q35" s="523" t="str">
        <f>IF(ISERROR(SEARCH(" ",'BR-100'!$B$52,SEARCH(" ",'BR-100'!$B$52)+1)),IFERROR(MID('BR-100'!$B$52,SEARCH(" ",'BR-100'!$B$52)+1,SEARCH(" ",'BR-100'!$B$52,SEARCH(" ",'BR-100'!$B$52)+1)-SEARCH(" ",'BR-100'!$B$52)-1),IFERROR(RIGHT('BR-100'!$B$52,LEN('BR-100'!$B$52)-SEARCH(" ",'BR-100'!$B$52)),"Last")), IFERROR(RIGHT('BR-100'!$B$52,LEN('BR-100'!$B$52)-SEARCH(" ",'BR-100'!$B$52,SEARCH(" ",'BR-100'!$B$52)+1)),""))</f>
        <v>Rotar</v>
      </c>
      <c r="R35" s="524"/>
      <c r="S35" s="523">
        <f>IF('BR-100'!$E$52=0,"",'BR-100'!$E$52)</f>
        <v>83975</v>
      </c>
      <c r="T35" s="566"/>
    </row>
    <row r="36" spans="2:20" ht="15" thickBot="1" x14ac:dyDescent="0.35">
      <c r="K36" s="491" t="s">
        <v>178</v>
      </c>
      <c r="L36" s="492"/>
      <c r="M36" s="492"/>
      <c r="N36" s="492"/>
      <c r="O36" s="492"/>
      <c r="P36" s="492"/>
      <c r="Q36" s="492"/>
      <c r="R36" s="492"/>
      <c r="S36" s="492"/>
      <c r="T36" s="493"/>
    </row>
    <row r="37" spans="2:20" ht="15" thickBot="1" x14ac:dyDescent="0.35">
      <c r="B37" s="39" t="s">
        <v>179</v>
      </c>
      <c r="C37" s="23"/>
      <c r="D37" s="40">
        <f>IF(D34="No",IF(MROUND(MIN(C14:C26),0.05)&gt;1.499,1.5,MROUND(MIN(C14:C26),0.05)),IF(MROUND(MIN(C14:C26),0.05)&gt;1.499,1.5,MROUND(MIN(C14:C26),0.05)))</f>
        <v>1.25</v>
      </c>
      <c r="E37" s="41"/>
      <c r="F37" s="41"/>
      <c r="G37" s="42"/>
      <c r="K37" s="491"/>
      <c r="L37" s="525"/>
      <c r="M37" s="526" t="str">
        <f>TRIM(UPPER(IF($S$34&lt;&gt;"",$M$34,IF($S$35&lt;&gt;"",$M$35,""))))</f>
        <v>MUHAMMAD</v>
      </c>
      <c r="N37" s="525"/>
      <c r="O37" s="526"/>
      <c r="P37" s="525"/>
      <c r="Q37" s="526" t="str">
        <f>TRIM(UPPER(IF($S$34&lt;&gt;"",$Q$34,IF($S$35&lt;&gt;"",$Q$35,""))))</f>
        <v>NAWAZ</v>
      </c>
      <c r="R37" s="525"/>
      <c r="S37" s="526" t="str">
        <f>TRIM(UPPER(IF($S$34&lt;&gt;"",$S$34,IF($S$35&lt;&gt;"",$S$35,""))))</f>
        <v>N/A</v>
      </c>
      <c r="T37" s="493"/>
    </row>
    <row r="38" spans="2:20" ht="15" thickBot="1" x14ac:dyDescent="0.35">
      <c r="B38" s="39"/>
      <c r="C38" s="23" t="s">
        <v>180</v>
      </c>
      <c r="D38" s="558" t="str">
        <f>IF(N3="Manual","Modified by Engineer",IF(C35="Yes", "BRIDGE CLOSURE RECOMMENDED",IF(C33="Yes","LOAD POSTING IS RECOMMENDED", IF(AND(C34="Yes",D34="Yes"),"EV Posting Recommended","No Load Posting is Recommended"))))</f>
        <v>No Load Posting is Recommended</v>
      </c>
      <c r="E38" s="558"/>
      <c r="F38" s="558"/>
      <c r="G38" s="559"/>
    </row>
    <row r="39" spans="2:20" ht="15" thickBot="1" x14ac:dyDescent="0.35">
      <c r="B39" s="530" t="s">
        <v>181</v>
      </c>
      <c r="C39" s="531"/>
      <c r="D39" s="558" t="str">
        <f>IF('Calcs &amp; Signs'!I4="RF","Rating by RF","Rating by Tons")</f>
        <v>Rating by RF</v>
      </c>
      <c r="E39" s="558"/>
      <c r="F39" s="558"/>
      <c r="G39" s="559"/>
    </row>
    <row r="41" spans="2:20" ht="15.6" x14ac:dyDescent="0.3">
      <c r="B41" s="223" t="s">
        <v>182</v>
      </c>
      <c r="C41" s="204"/>
      <c r="D41" s="204"/>
      <c r="E41" s="204"/>
      <c r="F41" s="204"/>
      <c r="G41" s="204"/>
    </row>
    <row r="42" spans="2:20" ht="7.5" customHeight="1" thickBot="1" x14ac:dyDescent="0.35"/>
    <row r="43" spans="2:20" ht="15" thickBot="1" x14ac:dyDescent="0.35">
      <c r="B43" s="519" t="s">
        <v>183</v>
      </c>
      <c r="C43" s="520"/>
      <c r="D43" s="520"/>
      <c r="E43" s="520"/>
      <c r="F43" s="520"/>
      <c r="G43" s="521"/>
    </row>
    <row r="44" spans="2:20" x14ac:dyDescent="0.3">
      <c r="B44" s="145"/>
      <c r="C44" s="146"/>
      <c r="D44" s="146"/>
      <c r="E44" s="146"/>
      <c r="F44" s="560" t="s">
        <v>184</v>
      </c>
      <c r="G44" s="561"/>
    </row>
    <row r="45" spans="2:20" x14ac:dyDescent="0.3">
      <c r="B45" s="28" t="s">
        <v>185</v>
      </c>
      <c r="C45" s="147"/>
      <c r="D45" s="2"/>
      <c r="E45" s="2"/>
      <c r="F45" s="562">
        <f>FLOOR(MIN($E$14,$E$26,$E$15),1)</f>
        <v>15</v>
      </c>
      <c r="G45" s="563"/>
      <c r="H45" s="44" t="s">
        <v>186</v>
      </c>
    </row>
    <row r="46" spans="2:20" x14ac:dyDescent="0.3">
      <c r="B46" s="28" t="s">
        <v>187</v>
      </c>
      <c r="C46" s="147"/>
      <c r="D46" s="2"/>
      <c r="E46" s="2"/>
      <c r="F46" s="562">
        <f>FLOOR(MIN($E$15,$E$18),1)</f>
        <v>23</v>
      </c>
      <c r="G46" s="563"/>
      <c r="H46" s="44" t="s">
        <v>188</v>
      </c>
    </row>
    <row r="47" spans="2:20" x14ac:dyDescent="0.3">
      <c r="B47" s="28" t="s">
        <v>189</v>
      </c>
      <c r="C47" s="147"/>
      <c r="D47" s="2"/>
      <c r="E47" s="2"/>
      <c r="F47" s="562">
        <f>FLOOR(MIN($E$21),1)</f>
        <v>27</v>
      </c>
      <c r="G47" s="563"/>
      <c r="H47" s="44" t="s">
        <v>190</v>
      </c>
    </row>
    <row r="48" spans="2:20" x14ac:dyDescent="0.3">
      <c r="B48" s="28" t="s">
        <v>191</v>
      </c>
      <c r="C48" s="147"/>
      <c r="D48" s="2"/>
      <c r="E48" s="2"/>
      <c r="F48" s="562">
        <f>FLOOR(MIN($E$22),1)</f>
        <v>31</v>
      </c>
      <c r="G48" s="563"/>
      <c r="H48" s="44" t="s">
        <v>192</v>
      </c>
    </row>
    <row r="49" spans="2:23" x14ac:dyDescent="0.3">
      <c r="B49" s="28" t="s">
        <v>193</v>
      </c>
      <c r="C49" s="147"/>
      <c r="D49" s="2"/>
      <c r="E49" s="2"/>
      <c r="F49" s="562">
        <f>FLOOR(MIN($E$19, $E$23,$E$24),1)</f>
        <v>34</v>
      </c>
      <c r="G49" s="563"/>
      <c r="H49" s="44" t="s">
        <v>194</v>
      </c>
    </row>
    <row r="50" spans="2:23" ht="15" thickBot="1" x14ac:dyDescent="0.35">
      <c r="B50" s="29" t="s">
        <v>195</v>
      </c>
      <c r="C50" s="148"/>
      <c r="D50" s="149"/>
      <c r="E50" s="149"/>
      <c r="F50" s="564">
        <f>FLOOR(IF($C17&gt;1,IF($C20&gt;1,40,MIN($E$17,$E$20)),MIN($E$17,$E$20)),1)</f>
        <v>40</v>
      </c>
      <c r="G50" s="565"/>
      <c r="H50" s="44" t="s">
        <v>196</v>
      </c>
    </row>
    <row r="51" spans="2:23" x14ac:dyDescent="0.3">
      <c r="B51" s="224" t="s">
        <v>163</v>
      </c>
      <c r="C51" s="225"/>
      <c r="D51" s="146"/>
      <c r="E51" s="146"/>
      <c r="F51" s="562">
        <f>FLOOR($E$26,1)</f>
        <v>28</v>
      </c>
      <c r="G51" s="563"/>
    </row>
    <row r="52" spans="2:23" ht="15" thickBot="1" x14ac:dyDescent="0.35">
      <c r="B52" s="29" t="s">
        <v>164</v>
      </c>
      <c r="C52" s="148"/>
      <c r="D52" s="149"/>
      <c r="E52" s="149"/>
      <c r="F52" s="564">
        <f>FLOOR($E$27,1)</f>
        <v>43</v>
      </c>
      <c r="G52" s="565"/>
    </row>
    <row r="54" spans="2:23" ht="15" thickBot="1" x14ac:dyDescent="0.35"/>
    <row r="55" spans="2:23" ht="15" thickBot="1" x14ac:dyDescent="0.35">
      <c r="B55" s="491" t="s">
        <v>197</v>
      </c>
      <c r="C55" s="493"/>
      <c r="D55" s="99"/>
    </row>
    <row r="56" spans="2:23" x14ac:dyDescent="0.3">
      <c r="B56" s="554" t="s">
        <v>198</v>
      </c>
      <c r="C56" s="555"/>
      <c r="D56" s="550" t="str">
        <f>IF(D37&gt;D3,"S-Satisfactory","E-Excessive")</f>
        <v>S-Satisfactory</v>
      </c>
      <c r="E56" s="550"/>
      <c r="F56" s="550"/>
      <c r="G56" s="550"/>
      <c r="H56" s="551"/>
    </row>
    <row r="57" spans="2:23" x14ac:dyDescent="0.3">
      <c r="B57" s="556" t="s">
        <v>199</v>
      </c>
      <c r="C57" s="557"/>
      <c r="D57" s="548">
        <f>D37</f>
        <v>1.25</v>
      </c>
      <c r="E57" s="548"/>
      <c r="F57" s="548"/>
      <c r="G57" s="548"/>
      <c r="H57" s="549"/>
    </row>
    <row r="58" spans="2:23" ht="15" thickBot="1" x14ac:dyDescent="0.35">
      <c r="B58" s="497" t="s">
        <v>200</v>
      </c>
      <c r="C58" s="498"/>
      <c r="D58" s="552" t="str">
        <f>IF(D57&lt;0.975,IF(D57&gt;0.9,List!X7,IF(D57&gt;0.8,List!X6,IF(D57&gt;0.7,List!X5,IF(D57&gt;0.6,List!X4,List!X3)))),List!X8)</f>
        <v>5 - Equal to or above legal loads</v>
      </c>
      <c r="E58" s="552"/>
      <c r="F58" s="552"/>
      <c r="G58" s="552"/>
      <c r="H58" s="553"/>
    </row>
    <row r="59" spans="2:23" ht="15" thickBot="1" x14ac:dyDescent="0.35"/>
    <row r="60" spans="2:23" ht="15" thickBot="1" x14ac:dyDescent="0.35">
      <c r="B60" s="491" t="s">
        <v>201</v>
      </c>
      <c r="C60" s="493"/>
      <c r="D60" s="99"/>
      <c r="E60" s="100"/>
      <c r="F60" s="100"/>
      <c r="G60" s="100"/>
      <c r="H60" s="100"/>
      <c r="I60" s="100"/>
      <c r="J60" s="100"/>
      <c r="K60" s="100"/>
      <c r="L60" s="100"/>
      <c r="M60" s="100"/>
      <c r="N60" s="100"/>
      <c r="O60" s="100"/>
      <c r="P60" s="100"/>
      <c r="Q60" s="100"/>
      <c r="R60" s="100"/>
      <c r="S60" s="100"/>
      <c r="T60" s="100"/>
      <c r="U60" s="100"/>
      <c r="V60" s="100"/>
      <c r="W60" s="100"/>
    </row>
    <row r="61" spans="2:23" ht="15" thickBot="1" x14ac:dyDescent="0.35">
      <c r="B61" s="50"/>
      <c r="C61" s="510" t="s">
        <v>202</v>
      </c>
      <c r="D61" s="511"/>
      <c r="E61" s="491" t="s">
        <v>203</v>
      </c>
      <c r="F61" s="492"/>
      <c r="G61" s="493"/>
      <c r="H61" s="51" t="s">
        <v>204</v>
      </c>
      <c r="I61" s="510" t="s">
        <v>205</v>
      </c>
      <c r="J61" s="516"/>
      <c r="K61" s="511"/>
      <c r="L61" s="491" t="s">
        <v>206</v>
      </c>
      <c r="M61" s="492"/>
      <c r="N61" s="492"/>
      <c r="O61" s="492"/>
      <c r="P61" s="492"/>
      <c r="Q61" s="492"/>
      <c r="R61" s="492"/>
      <c r="S61" s="492"/>
      <c r="T61" s="492"/>
      <c r="U61" s="492"/>
      <c r="V61" s="492"/>
      <c r="W61" s="493"/>
    </row>
    <row r="62" spans="2:23" x14ac:dyDescent="0.3">
      <c r="B62" s="52" t="s">
        <v>207</v>
      </c>
      <c r="C62" s="502">
        <f>'BR-100'!K6</f>
        <v>40.317574999999998</v>
      </c>
      <c r="D62" s="502"/>
      <c r="E62" s="474">
        <f>LEFT(C62,2)+MID(C62,4,2)/60+MID(C62,8,5)/3600</f>
        <v>40.537500000000001</v>
      </c>
      <c r="F62" s="512"/>
      <c r="G62" s="475"/>
      <c r="H62" s="53" t="b">
        <f>ISTEXT(C62)</f>
        <v>0</v>
      </c>
      <c r="I62" s="502">
        <f>IF(H62=TRUE,E62,C62)</f>
        <v>40.317574999999998</v>
      </c>
      <c r="J62" s="502"/>
      <c r="K62" s="517"/>
      <c r="L62" s="505" t="str">
        <f>_xlfn.CONCAT("https://www.google.com/maps/?q=",I62,",",I63)</f>
        <v>https://www.google.com/maps/?q=40.317575,-81.648733</v>
      </c>
      <c r="M62" s="464"/>
      <c r="N62" s="464"/>
      <c r="O62" s="464"/>
      <c r="P62" s="464"/>
      <c r="Q62" s="464"/>
      <c r="R62" s="464"/>
      <c r="S62" s="464"/>
      <c r="T62" s="464"/>
      <c r="U62" s="464"/>
      <c r="V62" s="464"/>
      <c r="W62" s="506"/>
    </row>
    <row r="63" spans="2:23" ht="15" thickBot="1" x14ac:dyDescent="0.35">
      <c r="B63" s="29" t="s">
        <v>208</v>
      </c>
      <c r="C63" s="495">
        <f>'BR-100'!M6</f>
        <v>81.648732999999993</v>
      </c>
      <c r="D63" s="495"/>
      <c r="E63" s="513">
        <f>IF(C63&gt;1,LEFT(C63,2)+MID(C63,4,2)/60+MID(C63,8,5)/3600,LEFT(C63,3)/1-MID(C63,5,2)/60-MID(C63,7,5)/3600)</f>
        <v>82.075833333333335</v>
      </c>
      <c r="F63" s="514"/>
      <c r="G63" s="515"/>
      <c r="H63" s="54" t="b">
        <f>ISTEXT(C63)</f>
        <v>0</v>
      </c>
      <c r="I63" s="495">
        <f>-ABS(IF(H63=TRUE,E63,C63))</f>
        <v>-81.648732999999993</v>
      </c>
      <c r="J63" s="495"/>
      <c r="K63" s="504"/>
      <c r="L63" s="507"/>
      <c r="M63" s="508"/>
      <c r="N63" s="508"/>
      <c r="O63" s="508"/>
      <c r="P63" s="508"/>
      <c r="Q63" s="508"/>
      <c r="R63" s="508"/>
      <c r="S63" s="508"/>
      <c r="T63" s="508"/>
      <c r="U63" s="508"/>
      <c r="V63" s="508"/>
      <c r="W63" s="509"/>
    </row>
    <row r="64" spans="2:23" ht="15" thickBot="1" x14ac:dyDescent="0.35"/>
    <row r="65" spans="2:16" ht="15" thickBot="1" x14ac:dyDescent="0.35">
      <c r="B65" s="527" t="s">
        <v>209</v>
      </c>
      <c r="C65" s="529"/>
      <c r="E65" s="136"/>
      <c r="F65" s="136"/>
      <c r="G65" s="136"/>
      <c r="H65" s="11"/>
      <c r="I65" s="136"/>
      <c r="J65" s="136"/>
      <c r="K65" s="136"/>
    </row>
    <row r="66" spans="2:16" ht="15" thickBot="1" x14ac:dyDescent="0.35">
      <c r="B66" s="75" t="s">
        <v>210</v>
      </c>
      <c r="C66" s="96" t="str">
        <f>MID('BR-100'!D6,1,3)</f>
        <v>COS</v>
      </c>
      <c r="E66" s="73"/>
      <c r="F66" s="73"/>
      <c r="G66" s="73"/>
      <c r="I66" s="73"/>
      <c r="J66" s="73"/>
      <c r="K66" s="73"/>
    </row>
    <row r="67" spans="2:16" ht="15" thickBot="1" x14ac:dyDescent="0.35">
      <c r="B67" s="75" t="s">
        <v>211</v>
      </c>
      <c r="C67" s="76">
        <f>IF(ISNA(VLOOKUP(C66,List!C4:D91,2,FALSE))=TRUE,"N/A",VLOOKUP(C66,List!C4:D91,2))</f>
        <v>5</v>
      </c>
    </row>
    <row r="68" spans="2:16" ht="15" thickBot="1" x14ac:dyDescent="0.35"/>
    <row r="69" spans="2:16" ht="15" thickBot="1" x14ac:dyDescent="0.35">
      <c r="B69" s="51" t="s">
        <v>212</v>
      </c>
      <c r="C69" s="11"/>
      <c r="D69" s="11"/>
      <c r="E69" s="11"/>
      <c r="F69" s="11"/>
      <c r="G69" s="11"/>
    </row>
    <row r="70" spans="2:16" x14ac:dyDescent="0.3">
      <c r="B70" s="78" t="s">
        <v>213</v>
      </c>
      <c r="C70" s="43">
        <f>C12</f>
        <v>1.147</v>
      </c>
    </row>
    <row r="71" spans="2:16" x14ac:dyDescent="0.3">
      <c r="B71" s="45" t="s">
        <v>214</v>
      </c>
      <c r="C71" s="46">
        <f>C13</f>
        <v>1.1919999999999999</v>
      </c>
    </row>
    <row r="72" spans="2:16" ht="15" thickBot="1" x14ac:dyDescent="0.35">
      <c r="B72" s="47" t="s">
        <v>215</v>
      </c>
      <c r="C72" s="48" t="str">
        <f>IF(C70&gt;=C71,"Error","")</f>
        <v/>
      </c>
      <c r="D72" t="s">
        <v>216</v>
      </c>
    </row>
    <row r="73" spans="2:16" ht="15" thickBot="1" x14ac:dyDescent="0.35">
      <c r="B73" s="23"/>
      <c r="C73" s="49"/>
    </row>
    <row r="74" spans="2:16" ht="15" thickBot="1" x14ac:dyDescent="0.35">
      <c r="B74" s="491" t="s">
        <v>217</v>
      </c>
      <c r="C74" s="493"/>
      <c r="D74" s="100"/>
      <c r="E74" s="100"/>
      <c r="F74" s="100"/>
      <c r="G74" s="100"/>
      <c r="H74" s="100"/>
      <c r="I74" s="100"/>
      <c r="J74" s="100"/>
      <c r="K74" s="100"/>
      <c r="L74" s="100"/>
      <c r="M74" s="100"/>
      <c r="N74" s="100"/>
      <c r="O74" s="100"/>
      <c r="P74" s="100"/>
    </row>
    <row r="75" spans="2:16" x14ac:dyDescent="0.3">
      <c r="B75" s="501"/>
      <c r="C75" s="502"/>
      <c r="D75" s="502"/>
      <c r="E75" s="502"/>
      <c r="F75" s="502"/>
      <c r="G75" s="502"/>
      <c r="H75" s="502"/>
      <c r="I75" s="502"/>
      <c r="J75" s="502"/>
      <c r="K75" s="502"/>
      <c r="L75" s="502"/>
      <c r="M75" s="502" t="s">
        <v>218</v>
      </c>
      <c r="N75" s="502"/>
      <c r="O75" s="502"/>
      <c r="P75" s="517"/>
    </row>
    <row r="76" spans="2:16" x14ac:dyDescent="0.3">
      <c r="B76" s="499" t="s">
        <v>21</v>
      </c>
      <c r="C76" s="500"/>
      <c r="D76" s="503" t="str">
        <f>'BR-100'!$D12</f>
        <v>1 - Initial Load Rating</v>
      </c>
      <c r="E76" s="503"/>
      <c r="F76" s="503"/>
      <c r="G76" s="503"/>
      <c r="H76" s="503"/>
      <c r="I76" s="503"/>
      <c r="J76" s="503"/>
      <c r="K76" s="503"/>
      <c r="L76" s="503"/>
      <c r="M76" s="500" t="b">
        <f>ISNA(VLOOKUP(D76,Purpose,1,FALSE))</f>
        <v>0</v>
      </c>
      <c r="N76" s="500"/>
      <c r="O76" s="500"/>
      <c r="P76" s="518"/>
    </row>
    <row r="77" spans="2:16" x14ac:dyDescent="0.3">
      <c r="B77" s="499" t="s">
        <v>26</v>
      </c>
      <c r="C77" s="500"/>
      <c r="D77" s="503" t="str">
        <f>'BR-100'!$D14</f>
        <v xml:space="preserve">3 - AASHTO  BrR </v>
      </c>
      <c r="E77" s="503"/>
      <c r="F77" s="503"/>
      <c r="G77" s="503"/>
      <c r="H77" s="503"/>
      <c r="I77" s="503"/>
      <c r="J77" s="503"/>
      <c r="K77" s="503"/>
      <c r="L77" s="503"/>
      <c r="M77" s="500" t="b">
        <f>ISNA(VLOOKUP(D77,Software,1,FALSE))</f>
        <v>0</v>
      </c>
      <c r="N77" s="500"/>
      <c r="O77" s="500"/>
      <c r="P77" s="518"/>
    </row>
    <row r="78" spans="2:16" x14ac:dyDescent="0.3">
      <c r="B78" s="499" t="s">
        <v>34</v>
      </c>
      <c r="C78" s="500"/>
      <c r="D78" s="503" t="str">
        <f>'BR-100'!$D17</f>
        <v>1 - Plan information available for load rating analysis</v>
      </c>
      <c r="E78" s="503"/>
      <c r="F78" s="503"/>
      <c r="G78" s="503"/>
      <c r="H78" s="503"/>
      <c r="I78" s="503"/>
      <c r="J78" s="503"/>
      <c r="K78" s="503"/>
      <c r="L78" s="503"/>
      <c r="M78" s="500" t="b">
        <f>ISNA(VLOOKUP(D78,Source,1,FALSE))</f>
        <v>0</v>
      </c>
      <c r="N78" s="500"/>
      <c r="O78" s="500"/>
      <c r="P78" s="518"/>
    </row>
    <row r="79" spans="2:16" x14ac:dyDescent="0.3">
      <c r="B79" s="499" t="s">
        <v>219</v>
      </c>
      <c r="C79" s="500"/>
      <c r="D79" s="503" t="str">
        <f>'BR-100'!$D18</f>
        <v>LRFR - Load &amp; Resistance Factor Rating (RF) - Code 8</v>
      </c>
      <c r="E79" s="503"/>
      <c r="F79" s="503"/>
      <c r="G79" s="503"/>
      <c r="H79" s="503"/>
      <c r="I79" s="503"/>
      <c r="J79" s="503"/>
      <c r="K79" s="503"/>
      <c r="L79" s="503"/>
      <c r="M79" s="500" t="b">
        <f>ISNA(VLOOKUP(D79,Method,1,FALSE))</f>
        <v>0</v>
      </c>
      <c r="N79" s="500"/>
      <c r="O79" s="500"/>
      <c r="P79" s="518"/>
    </row>
    <row r="80" spans="2:16" ht="15" thickBot="1" x14ac:dyDescent="0.35">
      <c r="B80" s="494" t="s">
        <v>220</v>
      </c>
      <c r="C80" s="495"/>
      <c r="D80" s="496" t="str">
        <f>'BR-100'!$D19</f>
        <v>A - HL93</v>
      </c>
      <c r="E80" s="496"/>
      <c r="F80" s="496"/>
      <c r="G80" s="496"/>
      <c r="H80" s="496"/>
      <c r="I80" s="496"/>
      <c r="J80" s="496"/>
      <c r="K80" s="496"/>
      <c r="L80" s="496"/>
      <c r="M80" s="495" t="b">
        <f>ISNA(VLOOKUP(D80,Design,1,FALSE))</f>
        <v>0</v>
      </c>
      <c r="N80" s="495"/>
      <c r="O80" s="495"/>
      <c r="P80" s="504"/>
    </row>
    <row r="81" spans="13:16" ht="15" thickBot="1" x14ac:dyDescent="0.35">
      <c r="M81" s="491">
        <f>COUNTIF(M76:P80,TRUE)</f>
        <v>0</v>
      </c>
      <c r="N81" s="492"/>
      <c r="O81" s="492"/>
      <c r="P81" s="493"/>
    </row>
  </sheetData>
  <sheetProtection selectLockedCells="1"/>
  <mergeCells count="128">
    <mergeCell ref="E30:F30"/>
    <mergeCell ref="O37:P37"/>
    <mergeCell ref="Q37:R37"/>
    <mergeCell ref="S37:T37"/>
    <mergeCell ref="O36:T36"/>
    <mergeCell ref="K37:L37"/>
    <mergeCell ref="S33:T33"/>
    <mergeCell ref="O34:P34"/>
    <mergeCell ref="O35:P35"/>
    <mergeCell ref="Q33:R33"/>
    <mergeCell ref="Q34:R34"/>
    <mergeCell ref="Q35:R35"/>
    <mergeCell ref="S34:T34"/>
    <mergeCell ref="S35:T35"/>
    <mergeCell ref="D57:H57"/>
    <mergeCell ref="D56:H56"/>
    <mergeCell ref="D58:H58"/>
    <mergeCell ref="B56:C56"/>
    <mergeCell ref="B57:C57"/>
    <mergeCell ref="D39:G39"/>
    <mergeCell ref="D38:G38"/>
    <mergeCell ref="K36:N36"/>
    <mergeCell ref="M37:N37"/>
    <mergeCell ref="B43:G43"/>
    <mergeCell ref="F44:G44"/>
    <mergeCell ref="F45:G45"/>
    <mergeCell ref="F46:G46"/>
    <mergeCell ref="F47:G47"/>
    <mergeCell ref="F48:G48"/>
    <mergeCell ref="F49:G49"/>
    <mergeCell ref="F50:G50"/>
    <mergeCell ref="F51:G51"/>
    <mergeCell ref="F52:G52"/>
    <mergeCell ref="B2:C2"/>
    <mergeCell ref="B9:C9"/>
    <mergeCell ref="E24:F24"/>
    <mergeCell ref="E21:F21"/>
    <mergeCell ref="E23:F23"/>
    <mergeCell ref="E22:F22"/>
    <mergeCell ref="L22:X22"/>
    <mergeCell ref="L23:X23"/>
    <mergeCell ref="H10:H11"/>
    <mergeCell ref="K4:N4"/>
    <mergeCell ref="B3:C3"/>
    <mergeCell ref="B4:C4"/>
    <mergeCell ref="N3:O3"/>
    <mergeCell ref="E16:F16"/>
    <mergeCell ref="E17:F17"/>
    <mergeCell ref="L17:M17"/>
    <mergeCell ref="K3:M3"/>
    <mergeCell ref="B10:B11"/>
    <mergeCell ref="G4:H4"/>
    <mergeCell ref="D10:D11"/>
    <mergeCell ref="E10:F11"/>
    <mergeCell ref="C10:C11"/>
    <mergeCell ref="L21:X21"/>
    <mergeCell ref="I63:K63"/>
    <mergeCell ref="M75:P75"/>
    <mergeCell ref="M76:P76"/>
    <mergeCell ref="M77:P77"/>
    <mergeCell ref="M78:P78"/>
    <mergeCell ref="M79:P79"/>
    <mergeCell ref="K7:P7"/>
    <mergeCell ref="C7:D7"/>
    <mergeCell ref="K34:L34"/>
    <mergeCell ref="M34:N34"/>
    <mergeCell ref="M33:N33"/>
    <mergeCell ref="O33:P33"/>
    <mergeCell ref="K32:N32"/>
    <mergeCell ref="K33:L33"/>
    <mergeCell ref="B65:C65"/>
    <mergeCell ref="B60:C60"/>
    <mergeCell ref="B74:C74"/>
    <mergeCell ref="B55:C55"/>
    <mergeCell ref="B39:C39"/>
    <mergeCell ref="K35:L35"/>
    <mergeCell ref="M35:N35"/>
    <mergeCell ref="E25:F25"/>
    <mergeCell ref="E27:F27"/>
    <mergeCell ref="B32:C32"/>
    <mergeCell ref="M81:P81"/>
    <mergeCell ref="B80:C80"/>
    <mergeCell ref="D80:L80"/>
    <mergeCell ref="B58:C58"/>
    <mergeCell ref="B76:C76"/>
    <mergeCell ref="B77:C77"/>
    <mergeCell ref="B78:C78"/>
    <mergeCell ref="B79:C79"/>
    <mergeCell ref="B75:L75"/>
    <mergeCell ref="D76:L76"/>
    <mergeCell ref="D77:L77"/>
    <mergeCell ref="M80:P80"/>
    <mergeCell ref="D78:L78"/>
    <mergeCell ref="D79:L79"/>
    <mergeCell ref="L62:W63"/>
    <mergeCell ref="L61:W61"/>
    <mergeCell ref="C61:D61"/>
    <mergeCell ref="C62:D62"/>
    <mergeCell ref="C63:D63"/>
    <mergeCell ref="E61:G61"/>
    <mergeCell ref="E62:G62"/>
    <mergeCell ref="E63:G63"/>
    <mergeCell ref="I61:K61"/>
    <mergeCell ref="I62:K62"/>
    <mergeCell ref="E29:F29"/>
    <mergeCell ref="E26:F26"/>
    <mergeCell ref="E18:F18"/>
    <mergeCell ref="E19:F19"/>
    <mergeCell ref="E20:F20"/>
    <mergeCell ref="AB9:AD9"/>
    <mergeCell ref="AB17:AC17"/>
    <mergeCell ref="V9:W9"/>
    <mergeCell ref="E14:F14"/>
    <mergeCell ref="E15:F15"/>
    <mergeCell ref="L9:N9"/>
    <mergeCell ref="G10:G11"/>
    <mergeCell ref="P9:Q9"/>
    <mergeCell ref="S9:T9"/>
    <mergeCell ref="L10:N11"/>
    <mergeCell ref="AB10:AD11"/>
    <mergeCell ref="S13:T13"/>
    <mergeCell ref="S11:T12"/>
    <mergeCell ref="Y12:Z12"/>
    <mergeCell ref="Y13:Z13"/>
    <mergeCell ref="Y14:Z14"/>
    <mergeCell ref="V12:W15"/>
    <mergeCell ref="Y9:Z9"/>
    <mergeCell ref="E28:F2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13</xdr:col>
                    <xdr:colOff>457200</xdr:colOff>
                    <xdr:row>2</xdr:row>
                    <xdr:rowOff>190500</xdr:rowOff>
                  </from>
                  <to>
                    <xdr:col>14</xdr:col>
                    <xdr:colOff>182880</xdr:colOff>
                    <xdr:row>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9B679-7351-41C2-BDC3-2CBBB57AA9E5}">
  <dimension ref="B1:Q139"/>
  <sheetViews>
    <sheetView zoomScale="90" zoomScaleNormal="90" workbookViewId="0">
      <selection activeCell="K13" sqref="K13"/>
    </sheetView>
  </sheetViews>
  <sheetFormatPr defaultRowHeight="14.4" x14ac:dyDescent="0.3"/>
  <cols>
    <col min="1" max="1" width="4.6640625" customWidth="1"/>
    <col min="2" max="2" width="5.44140625" customWidth="1"/>
    <col min="3" max="3" width="11.5546875" customWidth="1"/>
    <col min="4" max="4" width="20.88671875" bestFit="1" customWidth="1"/>
    <col min="5" max="5" width="8.5546875" customWidth="1"/>
    <col min="6" max="6" width="10.44140625" customWidth="1"/>
    <col min="7" max="7" width="8.88671875" customWidth="1"/>
    <col min="8" max="8" width="8.109375" customWidth="1"/>
    <col min="9" max="9" width="7.44140625" customWidth="1"/>
    <col min="10" max="10" width="10.6640625" customWidth="1"/>
    <col min="11" max="11" width="31.109375" customWidth="1"/>
    <col min="12" max="12" width="16.6640625" customWidth="1"/>
    <col min="13" max="13" width="14" customWidth="1"/>
    <col min="14" max="14" width="23.33203125" customWidth="1"/>
    <col min="16" max="16" width="11.44140625" customWidth="1"/>
    <col min="17" max="17" width="11" customWidth="1"/>
  </cols>
  <sheetData>
    <row r="1" spans="2:17" ht="97.5" customHeight="1" thickBot="1" x14ac:dyDescent="0.35">
      <c r="B1" s="237"/>
      <c r="C1" s="567" t="s">
        <v>221</v>
      </c>
      <c r="D1" s="567"/>
      <c r="E1" s="567"/>
      <c r="F1" s="567"/>
      <c r="G1" s="567"/>
      <c r="H1" s="567"/>
      <c r="I1" s="567"/>
      <c r="J1" s="567"/>
      <c r="K1" s="567"/>
      <c r="L1" s="567"/>
      <c r="M1" s="567"/>
      <c r="N1" s="567"/>
      <c r="P1" s="244" t="s">
        <v>132</v>
      </c>
      <c r="Q1" s="246" t="s">
        <v>222</v>
      </c>
    </row>
    <row r="2" spans="2:17" ht="19.2" thickTop="1" thickBot="1" x14ac:dyDescent="0.35">
      <c r="B2" s="241"/>
      <c r="C2" s="240" t="s">
        <v>223</v>
      </c>
      <c r="D2" s="238"/>
      <c r="E2" s="239"/>
      <c r="F2" s="239"/>
      <c r="G2" s="239"/>
      <c r="H2" s="239"/>
      <c r="I2" s="239"/>
      <c r="J2" s="239"/>
      <c r="K2" s="239"/>
      <c r="L2" s="239"/>
      <c r="M2" s="239"/>
      <c r="N2" s="243"/>
      <c r="P2" s="244"/>
      <c r="Q2" s="245"/>
    </row>
    <row r="3" spans="2:17" ht="15" thickTop="1" x14ac:dyDescent="0.3">
      <c r="B3" s="242"/>
      <c r="C3" s="231"/>
      <c r="D3" s="232"/>
      <c r="E3" s="232"/>
      <c r="F3" s="232"/>
      <c r="G3" s="232"/>
      <c r="H3" s="232"/>
      <c r="I3" s="232"/>
      <c r="J3" s="232"/>
      <c r="K3" s="232"/>
      <c r="L3" s="235"/>
      <c r="M3" s="235"/>
      <c r="N3" s="236"/>
      <c r="P3" s="244">
        <f>$C3</f>
        <v>0</v>
      </c>
      <c r="Q3" s="245">
        <f>_xlfn.MINIFS($H$3:$H$139,$C$3:$C$139,$P3,$E$3:$E$139,$E3)</f>
        <v>0</v>
      </c>
    </row>
    <row r="4" spans="2:17" x14ac:dyDescent="0.3">
      <c r="B4" s="242"/>
      <c r="C4" s="234"/>
      <c r="D4" s="235"/>
      <c r="E4" s="235"/>
      <c r="F4" s="235"/>
      <c r="G4" s="235"/>
      <c r="H4" s="232"/>
      <c r="I4" s="235"/>
      <c r="J4" s="235"/>
      <c r="K4" s="235"/>
      <c r="L4" s="235"/>
      <c r="M4" s="235"/>
      <c r="N4" s="236"/>
      <c r="P4" s="244">
        <f t="shared" ref="P4:P22" si="0">$C4</f>
        <v>0</v>
      </c>
      <c r="Q4" s="245">
        <f>_xlfn.MINIFS($H$3:$H$139,$C$3:$C$139,$C4,$E$3:$E$139,$E4)</f>
        <v>0</v>
      </c>
    </row>
    <row r="5" spans="2:17" x14ac:dyDescent="0.3">
      <c r="B5" s="242"/>
      <c r="C5" s="234"/>
      <c r="D5" s="235"/>
      <c r="E5" s="235"/>
      <c r="F5" s="235"/>
      <c r="G5" s="235"/>
      <c r="H5" s="232"/>
      <c r="I5" s="235"/>
      <c r="J5" s="235"/>
      <c r="K5" s="235"/>
      <c r="L5" s="235"/>
      <c r="M5" s="235"/>
      <c r="N5" s="236"/>
      <c r="P5" s="244">
        <f t="shared" si="0"/>
        <v>0</v>
      </c>
      <c r="Q5" s="245">
        <f>_xlfn.MINIFS($H$3:$H$139,$C$3:$C$139,$C5,$E$3:$E$139,$E5)</f>
        <v>0</v>
      </c>
    </row>
    <row r="6" spans="2:17" x14ac:dyDescent="0.3">
      <c r="B6" s="242"/>
      <c r="C6" s="234"/>
      <c r="D6" s="235"/>
      <c r="E6" s="235"/>
      <c r="F6" s="235"/>
      <c r="G6" s="235"/>
      <c r="H6" s="232"/>
      <c r="I6" s="235"/>
      <c r="J6" s="235"/>
      <c r="K6" s="235"/>
      <c r="L6" s="235"/>
      <c r="M6" s="235"/>
      <c r="N6" s="236"/>
      <c r="P6" s="244"/>
      <c r="Q6" s="245"/>
    </row>
    <row r="7" spans="2:17" x14ac:dyDescent="0.3">
      <c r="B7" s="242"/>
      <c r="C7" s="234"/>
      <c r="D7" s="235"/>
      <c r="E7" s="235"/>
      <c r="F7" s="235"/>
      <c r="G7" s="235"/>
      <c r="H7" s="232"/>
      <c r="I7" s="235"/>
      <c r="J7" s="235"/>
      <c r="K7" s="235"/>
      <c r="L7" s="235"/>
      <c r="M7" s="235"/>
      <c r="N7" s="236"/>
      <c r="P7" s="244"/>
      <c r="Q7" s="245"/>
    </row>
    <row r="8" spans="2:17" x14ac:dyDescent="0.3">
      <c r="B8" s="242"/>
      <c r="C8" s="234"/>
      <c r="D8" s="235"/>
      <c r="E8" s="235"/>
      <c r="F8" s="235"/>
      <c r="G8" s="235"/>
      <c r="H8" s="232"/>
      <c r="I8" s="235"/>
      <c r="J8" s="235"/>
      <c r="K8" s="235"/>
      <c r="L8" s="235"/>
      <c r="M8" s="235"/>
      <c r="N8" s="236"/>
      <c r="P8" s="244"/>
      <c r="Q8" s="245"/>
    </row>
    <row r="9" spans="2:17" x14ac:dyDescent="0.3">
      <c r="B9" s="242"/>
      <c r="C9" s="234"/>
      <c r="D9" s="235"/>
      <c r="E9" s="235"/>
      <c r="F9" s="235"/>
      <c r="G9" s="235"/>
      <c r="H9" s="232"/>
      <c r="I9" s="235"/>
      <c r="J9" s="235"/>
      <c r="K9" s="235"/>
      <c r="L9" s="235"/>
      <c r="M9" s="235"/>
      <c r="N9" s="236"/>
      <c r="P9" s="244"/>
      <c r="Q9" s="245"/>
    </row>
    <row r="10" spans="2:17" x14ac:dyDescent="0.3">
      <c r="B10" s="242"/>
      <c r="C10" s="234"/>
      <c r="D10" s="235"/>
      <c r="E10" s="235"/>
      <c r="F10" s="235"/>
      <c r="G10" s="235"/>
      <c r="H10" s="232"/>
      <c r="I10" s="235"/>
      <c r="J10" s="235"/>
      <c r="K10" s="235"/>
      <c r="L10" s="235"/>
      <c r="M10" s="235"/>
      <c r="N10" s="236"/>
      <c r="P10" s="244"/>
      <c r="Q10" s="245"/>
    </row>
    <row r="11" spans="2:17" x14ac:dyDescent="0.3">
      <c r="B11" s="242"/>
      <c r="C11" s="234"/>
      <c r="D11" s="235"/>
      <c r="E11" s="235"/>
      <c r="F11" s="235"/>
      <c r="G11" s="235"/>
      <c r="H11" s="232"/>
      <c r="I11" s="235"/>
      <c r="J11" s="235"/>
      <c r="K11" s="235"/>
      <c r="L11" s="235"/>
      <c r="M11" s="235"/>
      <c r="N11" s="236"/>
      <c r="P11" s="244">
        <f>$C11</f>
        <v>0</v>
      </c>
      <c r="Q11" s="245">
        <f t="shared" ref="Q11:Q22" si="1">_xlfn.MINIFS($H$3:$H$139,$C$3:$C$139,$C11,$E$3:$E$139,$E11)</f>
        <v>0</v>
      </c>
    </row>
    <row r="12" spans="2:17" x14ac:dyDescent="0.3">
      <c r="B12" s="242"/>
      <c r="C12" s="234"/>
      <c r="D12" s="235"/>
      <c r="E12" s="235"/>
      <c r="F12" s="235"/>
      <c r="G12" s="235"/>
      <c r="H12" s="232"/>
      <c r="I12" s="235"/>
      <c r="J12" s="235"/>
      <c r="K12" s="235"/>
      <c r="L12" s="235"/>
      <c r="M12" s="235"/>
      <c r="N12" s="236"/>
      <c r="P12" s="244">
        <f>$C12</f>
        <v>0</v>
      </c>
      <c r="Q12" s="245">
        <f t="shared" si="1"/>
        <v>0</v>
      </c>
    </row>
    <row r="13" spans="2:17" x14ac:dyDescent="0.3">
      <c r="B13" s="242"/>
      <c r="C13" s="234"/>
      <c r="D13" s="235"/>
      <c r="E13" s="235"/>
      <c r="F13" s="235"/>
      <c r="G13" s="235"/>
      <c r="H13" s="232"/>
      <c r="I13" s="235"/>
      <c r="J13" s="235"/>
      <c r="K13" s="235"/>
      <c r="L13" s="235"/>
      <c r="M13" s="235"/>
      <c r="N13" s="236"/>
      <c r="P13" s="244">
        <f t="shared" si="0"/>
        <v>0</v>
      </c>
      <c r="Q13" s="245">
        <f t="shared" si="1"/>
        <v>0</v>
      </c>
    </row>
    <row r="14" spans="2:17" x14ac:dyDescent="0.3">
      <c r="B14" s="242"/>
      <c r="C14" s="234"/>
      <c r="D14" s="235"/>
      <c r="E14" s="235"/>
      <c r="F14" s="235"/>
      <c r="G14" s="235"/>
      <c r="H14" s="232"/>
      <c r="I14" s="235"/>
      <c r="J14" s="235"/>
      <c r="K14" s="235"/>
      <c r="L14" s="235"/>
      <c r="M14" s="235"/>
      <c r="N14" s="236"/>
      <c r="P14" s="244">
        <f t="shared" si="0"/>
        <v>0</v>
      </c>
      <c r="Q14" s="245">
        <f t="shared" si="1"/>
        <v>0</v>
      </c>
    </row>
    <row r="15" spans="2:17" x14ac:dyDescent="0.3">
      <c r="B15" s="242"/>
      <c r="C15" s="234"/>
      <c r="D15" s="235"/>
      <c r="E15" s="235"/>
      <c r="F15" s="235"/>
      <c r="G15" s="235"/>
      <c r="H15" s="232"/>
      <c r="I15" s="235"/>
      <c r="J15" s="235"/>
      <c r="K15" s="235"/>
      <c r="L15" s="235"/>
      <c r="M15" s="235"/>
      <c r="N15" s="236"/>
      <c r="P15" s="244">
        <f t="shared" si="0"/>
        <v>0</v>
      </c>
      <c r="Q15" s="245">
        <f t="shared" si="1"/>
        <v>0</v>
      </c>
    </row>
    <row r="16" spans="2:17" x14ac:dyDescent="0.3">
      <c r="B16" s="242"/>
      <c r="C16" s="234"/>
      <c r="D16" s="235"/>
      <c r="E16" s="235"/>
      <c r="F16" s="235"/>
      <c r="G16" s="235"/>
      <c r="H16" s="232"/>
      <c r="I16" s="235"/>
      <c r="J16" s="235"/>
      <c r="K16" s="235"/>
      <c r="L16" s="235"/>
      <c r="M16" s="235"/>
      <c r="N16" s="236"/>
      <c r="P16" s="244">
        <f t="shared" si="0"/>
        <v>0</v>
      </c>
      <c r="Q16" s="245">
        <f t="shared" si="1"/>
        <v>0</v>
      </c>
    </row>
    <row r="17" spans="2:17" x14ac:dyDescent="0.3">
      <c r="B17" s="242"/>
      <c r="C17" s="234"/>
      <c r="D17" s="235"/>
      <c r="E17" s="235"/>
      <c r="F17" s="235"/>
      <c r="G17" s="235"/>
      <c r="H17" s="232"/>
      <c r="I17" s="235"/>
      <c r="J17" s="235"/>
      <c r="K17" s="235"/>
      <c r="L17" s="235"/>
      <c r="M17" s="235"/>
      <c r="N17" s="236"/>
      <c r="P17" s="244">
        <f t="shared" si="0"/>
        <v>0</v>
      </c>
      <c r="Q17" s="245">
        <f t="shared" si="1"/>
        <v>0</v>
      </c>
    </row>
    <row r="18" spans="2:17" x14ac:dyDescent="0.3">
      <c r="B18" s="242"/>
      <c r="C18" s="234"/>
      <c r="D18" s="235"/>
      <c r="E18" s="235"/>
      <c r="F18" s="235"/>
      <c r="G18" s="235"/>
      <c r="H18" s="232"/>
      <c r="I18" s="235"/>
      <c r="J18" s="235"/>
      <c r="K18" s="235"/>
      <c r="L18" s="235"/>
      <c r="M18" s="235"/>
      <c r="N18" s="236"/>
      <c r="P18" s="244">
        <f t="shared" si="0"/>
        <v>0</v>
      </c>
      <c r="Q18" s="245">
        <f t="shared" si="1"/>
        <v>0</v>
      </c>
    </row>
    <row r="19" spans="2:17" x14ac:dyDescent="0.3">
      <c r="B19" s="242"/>
      <c r="C19" s="234"/>
      <c r="D19" s="235"/>
      <c r="E19" s="235"/>
      <c r="F19" s="235"/>
      <c r="G19" s="235"/>
      <c r="H19" s="232"/>
      <c r="I19" s="235"/>
      <c r="J19" s="235"/>
      <c r="K19" s="235"/>
      <c r="L19" s="235"/>
      <c r="M19" s="235"/>
      <c r="N19" s="236"/>
      <c r="P19" s="244">
        <f t="shared" si="0"/>
        <v>0</v>
      </c>
      <c r="Q19" s="245">
        <f t="shared" si="1"/>
        <v>0</v>
      </c>
    </row>
    <row r="20" spans="2:17" x14ac:dyDescent="0.3">
      <c r="B20" s="242"/>
      <c r="C20" s="234"/>
      <c r="D20" s="235"/>
      <c r="E20" s="235"/>
      <c r="F20" s="235"/>
      <c r="G20" s="235"/>
      <c r="H20" s="232"/>
      <c r="I20" s="235"/>
      <c r="J20" s="235"/>
      <c r="K20" s="235"/>
      <c r="L20" s="235"/>
      <c r="M20" s="235"/>
      <c r="N20" s="236"/>
      <c r="P20" s="244">
        <f t="shared" si="0"/>
        <v>0</v>
      </c>
      <c r="Q20" s="245">
        <f t="shared" si="1"/>
        <v>0</v>
      </c>
    </row>
    <row r="21" spans="2:17" x14ac:dyDescent="0.3">
      <c r="B21" s="242"/>
      <c r="C21" s="234"/>
      <c r="D21" s="235"/>
      <c r="E21" s="235"/>
      <c r="F21" s="235"/>
      <c r="G21" s="235"/>
      <c r="H21" s="235"/>
      <c r="I21" s="235"/>
      <c r="J21" s="235"/>
      <c r="K21" s="235"/>
      <c r="L21" s="235"/>
      <c r="M21" s="235"/>
      <c r="N21" s="236"/>
      <c r="P21" s="244">
        <f t="shared" si="0"/>
        <v>0</v>
      </c>
      <c r="Q21" s="245">
        <f t="shared" si="1"/>
        <v>0</v>
      </c>
    </row>
    <row r="22" spans="2:17" x14ac:dyDescent="0.3">
      <c r="B22" s="242"/>
      <c r="C22" s="234"/>
      <c r="D22" s="235"/>
      <c r="E22" s="235"/>
      <c r="F22" s="235"/>
      <c r="G22" s="235"/>
      <c r="H22" s="235"/>
      <c r="I22" s="235"/>
      <c r="J22" s="235"/>
      <c r="K22" s="235"/>
      <c r="L22" s="235"/>
      <c r="M22" s="235"/>
      <c r="N22" s="236"/>
      <c r="P22" s="244">
        <f t="shared" si="0"/>
        <v>0</v>
      </c>
      <c r="Q22" s="245">
        <f t="shared" si="1"/>
        <v>0</v>
      </c>
    </row>
    <row r="23" spans="2:17" x14ac:dyDescent="0.3">
      <c r="B23" s="242"/>
      <c r="C23" s="234"/>
      <c r="D23" s="235"/>
      <c r="E23" s="235"/>
      <c r="F23" s="235"/>
      <c r="G23" s="235"/>
      <c r="H23" s="235"/>
      <c r="I23" s="235"/>
      <c r="J23" s="235"/>
      <c r="K23" s="235"/>
      <c r="L23" s="235"/>
      <c r="M23" s="235"/>
      <c r="N23" s="236"/>
    </row>
    <row r="24" spans="2:17" ht="15" thickBot="1" x14ac:dyDescent="0.35">
      <c r="B24" s="242"/>
      <c r="C24" s="234"/>
      <c r="D24" s="235"/>
      <c r="E24" s="235"/>
      <c r="F24" s="235"/>
      <c r="G24" s="235"/>
      <c r="H24" s="235"/>
      <c r="I24" s="235"/>
      <c r="J24" s="235"/>
      <c r="K24" s="235"/>
      <c r="L24" s="235"/>
      <c r="M24" s="235"/>
      <c r="N24" s="236"/>
    </row>
    <row r="25" spans="2:17" ht="19.2" thickTop="1" thickBot="1" x14ac:dyDescent="0.35">
      <c r="C25" s="240" t="s">
        <v>224</v>
      </c>
      <c r="D25" s="238"/>
      <c r="E25" s="239"/>
      <c r="F25" s="239"/>
      <c r="G25" s="239"/>
      <c r="H25" s="239"/>
      <c r="I25" s="239"/>
      <c r="J25" s="239"/>
      <c r="K25" s="239"/>
      <c r="L25" s="247"/>
      <c r="M25" s="3"/>
      <c r="N25" s="248"/>
    </row>
    <row r="26" spans="2:17" ht="15" thickTop="1" x14ac:dyDescent="0.3">
      <c r="C26" s="231"/>
      <c r="D26" s="232"/>
      <c r="E26" s="232"/>
      <c r="F26" s="232"/>
      <c r="G26" s="232"/>
      <c r="H26" s="232"/>
      <c r="I26" s="232"/>
      <c r="J26" s="232"/>
      <c r="K26" s="232"/>
      <c r="L26" s="232"/>
      <c r="M26" s="232"/>
      <c r="N26" s="233"/>
    </row>
    <row r="27" spans="2:17" x14ac:dyDescent="0.3">
      <c r="C27" s="234"/>
      <c r="D27" s="235"/>
      <c r="E27" s="235"/>
      <c r="F27" s="235"/>
      <c r="G27" s="235"/>
      <c r="H27" s="232"/>
      <c r="I27" s="235"/>
      <c r="J27" s="235"/>
      <c r="K27" s="235"/>
      <c r="L27" s="235"/>
      <c r="M27" s="235"/>
      <c r="N27" s="236"/>
    </row>
    <row r="28" spans="2:17" x14ac:dyDescent="0.3">
      <c r="C28" s="234"/>
      <c r="D28" s="235"/>
      <c r="E28" s="235"/>
      <c r="F28" s="235"/>
      <c r="G28" s="235"/>
      <c r="H28" s="232"/>
      <c r="I28" s="235"/>
      <c r="J28" s="235"/>
      <c r="K28" s="235"/>
      <c r="L28" s="235"/>
      <c r="M28" s="235"/>
      <c r="N28" s="236"/>
    </row>
    <row r="29" spans="2:17" x14ac:dyDescent="0.3">
      <c r="C29" s="234"/>
      <c r="D29" s="235"/>
      <c r="E29" s="235"/>
      <c r="F29" s="235"/>
      <c r="G29" s="235"/>
      <c r="H29" s="232"/>
      <c r="I29" s="235"/>
      <c r="J29" s="235"/>
      <c r="K29" s="235"/>
      <c r="L29" s="235"/>
      <c r="M29" s="235"/>
      <c r="N29" s="236"/>
    </row>
    <row r="30" spans="2:17" x14ac:dyDescent="0.3">
      <c r="C30" s="234"/>
      <c r="D30" s="235"/>
      <c r="E30" s="235"/>
      <c r="F30" s="235"/>
      <c r="G30" s="235"/>
      <c r="H30" s="232"/>
      <c r="I30" s="235"/>
      <c r="J30" s="235"/>
      <c r="K30" s="235"/>
      <c r="L30" s="235"/>
      <c r="M30" s="235"/>
      <c r="N30" s="236"/>
    </row>
    <row r="31" spans="2:17" x14ac:dyDescent="0.3">
      <c r="C31" s="234"/>
      <c r="D31" s="235"/>
      <c r="E31" s="235"/>
      <c r="F31" s="235"/>
      <c r="G31" s="235"/>
      <c r="H31" s="232"/>
      <c r="I31" s="235"/>
      <c r="J31" s="235"/>
      <c r="K31" s="235"/>
      <c r="L31" s="235"/>
      <c r="M31" s="235"/>
      <c r="N31" s="236"/>
    </row>
    <row r="32" spans="2:17" x14ac:dyDescent="0.3">
      <c r="C32" s="234"/>
      <c r="D32" s="235"/>
      <c r="E32" s="235"/>
      <c r="F32" s="235"/>
      <c r="G32" s="235"/>
      <c r="H32" s="232"/>
      <c r="I32" s="235"/>
      <c r="J32" s="235"/>
      <c r="K32" s="235"/>
      <c r="L32" s="235"/>
      <c r="M32" s="235"/>
      <c r="N32" s="236"/>
    </row>
    <row r="33" spans="3:14" x14ac:dyDescent="0.3">
      <c r="C33" s="234"/>
      <c r="D33" s="235"/>
      <c r="E33" s="235"/>
      <c r="F33" s="235"/>
      <c r="G33" s="235"/>
      <c r="H33" s="232"/>
      <c r="I33" s="235"/>
      <c r="J33" s="235"/>
      <c r="K33" s="235"/>
      <c r="L33" s="235"/>
      <c r="M33" s="235"/>
      <c r="N33" s="236"/>
    </row>
    <row r="34" spans="3:14" x14ac:dyDescent="0.3">
      <c r="C34" s="234"/>
      <c r="D34" s="235"/>
      <c r="E34" s="235"/>
      <c r="F34" s="235"/>
      <c r="G34" s="235"/>
      <c r="H34" s="232"/>
      <c r="I34" s="235"/>
      <c r="J34" s="235"/>
      <c r="K34" s="235"/>
      <c r="L34" s="235"/>
      <c r="M34" s="235"/>
      <c r="N34" s="236"/>
    </row>
    <row r="35" spans="3:14" x14ac:dyDescent="0.3">
      <c r="C35" s="234"/>
      <c r="D35" s="235"/>
      <c r="E35" s="235"/>
      <c r="F35" s="235"/>
      <c r="G35" s="235"/>
      <c r="H35" s="232"/>
      <c r="I35" s="235"/>
      <c r="J35" s="235"/>
      <c r="K35" s="235"/>
      <c r="L35" s="235"/>
      <c r="M35" s="235"/>
      <c r="N35" s="236"/>
    </row>
    <row r="36" spans="3:14" x14ac:dyDescent="0.3">
      <c r="C36" s="234"/>
      <c r="D36" s="235"/>
      <c r="E36" s="235"/>
      <c r="F36" s="235"/>
      <c r="G36" s="235"/>
      <c r="H36" s="232"/>
      <c r="I36" s="235"/>
      <c r="J36" s="235"/>
      <c r="K36" s="235"/>
      <c r="L36" s="235"/>
      <c r="M36" s="235"/>
      <c r="N36" s="236"/>
    </row>
    <row r="37" spans="3:14" x14ac:dyDescent="0.3">
      <c r="C37" s="234"/>
      <c r="D37" s="235"/>
      <c r="E37" s="235"/>
      <c r="F37" s="235"/>
      <c r="G37" s="235"/>
      <c r="H37" s="232"/>
      <c r="I37" s="235"/>
      <c r="J37" s="235"/>
      <c r="K37" s="235"/>
      <c r="L37" s="235"/>
      <c r="M37" s="235"/>
      <c r="N37" s="236"/>
    </row>
    <row r="38" spans="3:14" x14ac:dyDescent="0.3">
      <c r="C38" s="234"/>
      <c r="D38" s="235"/>
      <c r="E38" s="235"/>
      <c r="F38" s="235"/>
      <c r="G38" s="235"/>
      <c r="H38" s="232"/>
      <c r="I38" s="235"/>
      <c r="J38" s="235"/>
      <c r="K38" s="235"/>
      <c r="L38" s="235"/>
      <c r="M38" s="235"/>
      <c r="N38" s="236"/>
    </row>
    <row r="39" spans="3:14" x14ac:dyDescent="0.3">
      <c r="C39" s="234"/>
      <c r="D39" s="235"/>
      <c r="E39" s="235"/>
      <c r="F39" s="235"/>
      <c r="G39" s="235"/>
      <c r="H39" s="232"/>
      <c r="I39" s="235"/>
      <c r="J39" s="235"/>
      <c r="K39" s="235"/>
      <c r="L39" s="235"/>
      <c r="M39" s="235"/>
      <c r="N39" s="236"/>
    </row>
    <row r="40" spans="3:14" x14ac:dyDescent="0.3">
      <c r="C40" s="234"/>
      <c r="D40" s="235"/>
      <c r="E40" s="235"/>
      <c r="F40" s="235"/>
      <c r="G40" s="235"/>
      <c r="H40" s="232"/>
      <c r="I40" s="235"/>
      <c r="J40" s="235"/>
      <c r="K40" s="235"/>
      <c r="L40" s="235"/>
      <c r="M40" s="235"/>
      <c r="N40" s="236"/>
    </row>
    <row r="41" spans="3:14" x14ac:dyDescent="0.3">
      <c r="C41" s="234"/>
      <c r="D41" s="235"/>
      <c r="E41" s="235"/>
      <c r="F41" s="235"/>
      <c r="G41" s="235"/>
      <c r="H41" s="232"/>
      <c r="I41" s="235"/>
      <c r="J41" s="235"/>
      <c r="K41" s="235"/>
      <c r="L41" s="235"/>
      <c r="M41" s="235"/>
      <c r="N41" s="236"/>
    </row>
    <row r="42" spans="3:14" x14ac:dyDescent="0.3">
      <c r="C42" s="234"/>
      <c r="D42" s="235"/>
      <c r="E42" s="235"/>
      <c r="F42" s="235"/>
      <c r="G42" s="235"/>
      <c r="H42" s="232"/>
      <c r="I42" s="235"/>
      <c r="J42" s="235"/>
      <c r="K42" s="235"/>
      <c r="L42" s="235"/>
      <c r="M42" s="235"/>
      <c r="N42" s="236"/>
    </row>
    <row r="43" spans="3:14" x14ac:dyDescent="0.3">
      <c r="C43" s="234"/>
      <c r="D43" s="235"/>
      <c r="E43" s="235"/>
      <c r="F43" s="235"/>
      <c r="G43" s="235"/>
      <c r="H43" s="232"/>
      <c r="I43" s="235"/>
      <c r="J43" s="235"/>
      <c r="K43" s="235"/>
      <c r="L43" s="235"/>
      <c r="M43" s="235"/>
      <c r="N43" s="236"/>
    </row>
    <row r="44" spans="3:14" x14ac:dyDescent="0.3">
      <c r="C44" s="234"/>
      <c r="D44" s="235"/>
      <c r="E44" s="235"/>
      <c r="F44" s="235"/>
      <c r="G44" s="235"/>
      <c r="H44" s="235"/>
      <c r="I44" s="235"/>
      <c r="J44" s="235"/>
      <c r="K44" s="235"/>
      <c r="L44" s="235"/>
      <c r="M44" s="235"/>
      <c r="N44" s="236"/>
    </row>
    <row r="45" spans="3:14" x14ac:dyDescent="0.3">
      <c r="C45" s="234"/>
      <c r="D45" s="235"/>
      <c r="E45" s="235"/>
      <c r="F45" s="235"/>
      <c r="G45" s="235"/>
      <c r="H45" s="235"/>
      <c r="I45" s="235"/>
      <c r="J45" s="235"/>
      <c r="K45" s="235"/>
      <c r="L45" s="235"/>
      <c r="M45" s="235"/>
      <c r="N45" s="236"/>
    </row>
    <row r="46" spans="3:14" x14ac:dyDescent="0.3">
      <c r="C46" s="234"/>
      <c r="D46" s="235"/>
      <c r="E46" s="235"/>
      <c r="F46" s="235"/>
      <c r="G46" s="235"/>
      <c r="H46" s="235"/>
      <c r="I46" s="235"/>
      <c r="J46" s="235"/>
      <c r="K46" s="235"/>
      <c r="L46" s="235"/>
      <c r="M46" s="235"/>
      <c r="N46" s="236"/>
    </row>
    <row r="47" spans="3:14" ht="15" thickBot="1" x14ac:dyDescent="0.35">
      <c r="C47" s="234"/>
      <c r="D47" s="235"/>
      <c r="E47" s="235"/>
      <c r="F47" s="235"/>
      <c r="G47" s="235"/>
      <c r="H47" s="235"/>
      <c r="I47" s="235"/>
      <c r="J47" s="235"/>
      <c r="K47" s="235"/>
      <c r="L47" s="235"/>
      <c r="M47" s="235"/>
      <c r="N47" s="236"/>
    </row>
    <row r="48" spans="3:14" ht="19.2" thickTop="1" thickBot="1" x14ac:dyDescent="0.35">
      <c r="C48" s="240" t="s">
        <v>225</v>
      </c>
      <c r="D48" s="238"/>
      <c r="E48" s="239"/>
      <c r="F48" s="239"/>
      <c r="G48" s="239"/>
      <c r="H48" s="239"/>
      <c r="I48" s="239"/>
      <c r="J48" s="239"/>
      <c r="K48" s="239"/>
      <c r="L48" s="247"/>
      <c r="M48" s="3"/>
      <c r="N48" s="248"/>
    </row>
    <row r="49" spans="3:14" ht="15" thickTop="1" x14ac:dyDescent="0.3">
      <c r="C49" s="231"/>
      <c r="D49" s="232"/>
      <c r="E49" s="232"/>
      <c r="F49" s="232"/>
      <c r="G49" s="232"/>
      <c r="H49" s="232"/>
      <c r="I49" s="232"/>
      <c r="J49" s="232"/>
      <c r="K49" s="232"/>
      <c r="L49" s="232"/>
      <c r="M49" s="232"/>
      <c r="N49" s="233"/>
    </row>
    <row r="50" spans="3:14" x14ac:dyDescent="0.3">
      <c r="C50" s="234"/>
      <c r="D50" s="235"/>
      <c r="E50" s="235"/>
      <c r="F50" s="235"/>
      <c r="G50" s="235"/>
      <c r="H50" s="232"/>
      <c r="I50" s="235"/>
      <c r="J50" s="235"/>
      <c r="K50" s="235"/>
      <c r="L50" s="235"/>
      <c r="M50" s="235"/>
      <c r="N50" s="236"/>
    </row>
    <row r="51" spans="3:14" x14ac:dyDescent="0.3">
      <c r="C51" s="234"/>
      <c r="D51" s="235"/>
      <c r="E51" s="235"/>
      <c r="F51" s="235"/>
      <c r="G51" s="235"/>
      <c r="H51" s="232"/>
      <c r="I51" s="235"/>
      <c r="J51" s="235"/>
      <c r="K51" s="235"/>
      <c r="L51" s="235"/>
      <c r="M51" s="235"/>
      <c r="N51" s="236"/>
    </row>
    <row r="52" spans="3:14" x14ac:dyDescent="0.3">
      <c r="C52" s="234"/>
      <c r="D52" s="235"/>
      <c r="E52" s="235"/>
      <c r="F52" s="235"/>
      <c r="G52" s="235"/>
      <c r="H52" s="232"/>
      <c r="I52" s="235"/>
      <c r="J52" s="235"/>
      <c r="K52" s="235"/>
      <c r="L52" s="235"/>
      <c r="M52" s="235"/>
      <c r="N52" s="236"/>
    </row>
    <row r="53" spans="3:14" x14ac:dyDescent="0.3">
      <c r="C53" s="234"/>
      <c r="D53" s="235"/>
      <c r="E53" s="235"/>
      <c r="F53" s="235"/>
      <c r="G53" s="235"/>
      <c r="H53" s="232"/>
      <c r="I53" s="235"/>
      <c r="J53" s="235"/>
      <c r="K53" s="235"/>
      <c r="L53" s="235"/>
      <c r="M53" s="235"/>
      <c r="N53" s="236"/>
    </row>
    <row r="54" spans="3:14" x14ac:dyDescent="0.3">
      <c r="C54" s="234"/>
      <c r="D54" s="235"/>
      <c r="E54" s="235"/>
      <c r="F54" s="235"/>
      <c r="G54" s="235"/>
      <c r="H54" s="232"/>
      <c r="I54" s="235"/>
      <c r="J54" s="235"/>
      <c r="K54" s="235"/>
      <c r="L54" s="235"/>
      <c r="M54" s="235"/>
      <c r="N54" s="236"/>
    </row>
    <row r="55" spans="3:14" x14ac:dyDescent="0.3">
      <c r="C55" s="234"/>
      <c r="D55" s="235"/>
      <c r="E55" s="235"/>
      <c r="F55" s="235"/>
      <c r="G55" s="235"/>
      <c r="H55" s="232"/>
      <c r="I55" s="235"/>
      <c r="J55" s="235"/>
      <c r="K55" s="235"/>
      <c r="L55" s="235"/>
      <c r="M55" s="235"/>
      <c r="N55" s="236"/>
    </row>
    <row r="56" spans="3:14" x14ac:dyDescent="0.3">
      <c r="C56" s="234"/>
      <c r="D56" s="235"/>
      <c r="E56" s="235"/>
      <c r="F56" s="235"/>
      <c r="G56" s="235"/>
      <c r="H56" s="232"/>
      <c r="I56" s="235"/>
      <c r="J56" s="235"/>
      <c r="K56" s="235"/>
      <c r="L56" s="235"/>
      <c r="M56" s="235"/>
      <c r="N56" s="236"/>
    </row>
    <row r="57" spans="3:14" x14ac:dyDescent="0.3">
      <c r="C57" s="234"/>
      <c r="D57" s="235"/>
      <c r="E57" s="235"/>
      <c r="F57" s="235"/>
      <c r="G57" s="235"/>
      <c r="H57" s="232"/>
      <c r="I57" s="235"/>
      <c r="J57" s="235"/>
      <c r="K57" s="235"/>
      <c r="L57" s="235"/>
      <c r="M57" s="235"/>
      <c r="N57" s="236"/>
    </row>
    <row r="58" spans="3:14" x14ac:dyDescent="0.3">
      <c r="C58" s="234"/>
      <c r="D58" s="235"/>
      <c r="E58" s="235"/>
      <c r="F58" s="235"/>
      <c r="G58" s="235"/>
      <c r="H58" s="232"/>
      <c r="I58" s="235"/>
      <c r="J58" s="235"/>
      <c r="K58" s="235"/>
      <c r="L58" s="235"/>
      <c r="M58" s="235"/>
      <c r="N58" s="236"/>
    </row>
    <row r="59" spans="3:14" x14ac:dyDescent="0.3">
      <c r="C59" s="234"/>
      <c r="D59" s="235"/>
      <c r="E59" s="235"/>
      <c r="F59" s="235"/>
      <c r="G59" s="235"/>
      <c r="H59" s="232"/>
      <c r="I59" s="235"/>
      <c r="J59" s="235"/>
      <c r="K59" s="235"/>
      <c r="L59" s="235"/>
      <c r="M59" s="235"/>
      <c r="N59" s="236"/>
    </row>
    <row r="60" spans="3:14" x14ac:dyDescent="0.3">
      <c r="C60" s="234"/>
      <c r="D60" s="235"/>
      <c r="E60" s="235"/>
      <c r="F60" s="235"/>
      <c r="G60" s="235"/>
      <c r="H60" s="232"/>
      <c r="I60" s="235"/>
      <c r="J60" s="235"/>
      <c r="K60" s="235"/>
      <c r="L60" s="235"/>
      <c r="M60" s="235"/>
      <c r="N60" s="236"/>
    </row>
    <row r="61" spans="3:14" x14ac:dyDescent="0.3">
      <c r="C61" s="234"/>
      <c r="D61" s="235"/>
      <c r="E61" s="235"/>
      <c r="F61" s="235"/>
      <c r="G61" s="235"/>
      <c r="H61" s="232"/>
      <c r="I61" s="235"/>
      <c r="J61" s="235"/>
      <c r="K61" s="235"/>
      <c r="L61" s="235"/>
      <c r="M61" s="235"/>
      <c r="N61" s="236"/>
    </row>
    <row r="62" spans="3:14" x14ac:dyDescent="0.3">
      <c r="C62" s="234"/>
      <c r="D62" s="235"/>
      <c r="E62" s="235"/>
      <c r="F62" s="235"/>
      <c r="G62" s="235"/>
      <c r="H62" s="232"/>
      <c r="I62" s="235"/>
      <c r="J62" s="235"/>
      <c r="K62" s="235"/>
      <c r="L62" s="235"/>
      <c r="M62" s="235"/>
      <c r="N62" s="236"/>
    </row>
    <row r="63" spans="3:14" x14ac:dyDescent="0.3">
      <c r="C63" s="234"/>
      <c r="D63" s="235"/>
      <c r="E63" s="235"/>
      <c r="F63" s="235"/>
      <c r="G63" s="235"/>
      <c r="H63" s="232"/>
      <c r="I63" s="235"/>
      <c r="J63" s="235"/>
      <c r="K63" s="235"/>
      <c r="L63" s="235"/>
      <c r="M63" s="235"/>
      <c r="N63" s="236"/>
    </row>
    <row r="64" spans="3:14" x14ac:dyDescent="0.3">
      <c r="C64" s="234"/>
      <c r="D64" s="235"/>
      <c r="E64" s="235"/>
      <c r="F64" s="235"/>
      <c r="G64" s="235"/>
      <c r="H64" s="232"/>
      <c r="I64" s="235"/>
      <c r="J64" s="235"/>
      <c r="K64" s="235"/>
      <c r="L64" s="235"/>
      <c r="M64" s="235"/>
      <c r="N64" s="236"/>
    </row>
    <row r="65" spans="3:14" x14ac:dyDescent="0.3">
      <c r="C65" s="234"/>
      <c r="D65" s="235"/>
      <c r="E65" s="235"/>
      <c r="F65" s="235"/>
      <c r="G65" s="235"/>
      <c r="H65" s="232"/>
      <c r="I65" s="235"/>
      <c r="J65" s="235"/>
      <c r="K65" s="235"/>
      <c r="L65" s="235"/>
      <c r="M65" s="235"/>
      <c r="N65" s="236"/>
    </row>
    <row r="66" spans="3:14" x14ac:dyDescent="0.3">
      <c r="C66" s="234"/>
      <c r="D66" s="235"/>
      <c r="E66" s="235"/>
      <c r="F66" s="235"/>
      <c r="G66" s="235"/>
      <c r="H66" s="232"/>
      <c r="I66" s="235"/>
      <c r="J66" s="235"/>
      <c r="K66" s="235"/>
      <c r="L66" s="235"/>
      <c r="M66" s="235"/>
      <c r="N66" s="236"/>
    </row>
    <row r="67" spans="3:14" x14ac:dyDescent="0.3">
      <c r="C67" s="234"/>
      <c r="D67" s="235"/>
      <c r="E67" s="235"/>
      <c r="F67" s="235"/>
      <c r="G67" s="235"/>
      <c r="H67" s="235"/>
      <c r="I67" s="235"/>
      <c r="J67" s="235"/>
      <c r="K67" s="235"/>
      <c r="L67" s="235"/>
      <c r="M67" s="235"/>
      <c r="N67" s="236"/>
    </row>
    <row r="68" spans="3:14" x14ac:dyDescent="0.3">
      <c r="C68" s="234"/>
      <c r="D68" s="235"/>
      <c r="E68" s="235"/>
      <c r="F68" s="235"/>
      <c r="G68" s="235"/>
      <c r="H68" s="235"/>
      <c r="I68" s="235"/>
      <c r="J68" s="235"/>
      <c r="K68" s="235"/>
      <c r="L68" s="235"/>
      <c r="M68" s="235"/>
      <c r="N68" s="236"/>
    </row>
    <row r="69" spans="3:14" x14ac:dyDescent="0.3">
      <c r="C69" s="234"/>
      <c r="D69" s="235"/>
      <c r="E69" s="235"/>
      <c r="F69" s="235"/>
      <c r="G69" s="235"/>
      <c r="H69" s="235"/>
      <c r="I69" s="235"/>
      <c r="J69" s="235"/>
      <c r="K69" s="235"/>
      <c r="L69" s="235"/>
      <c r="M69" s="235"/>
      <c r="N69" s="236"/>
    </row>
    <row r="70" spans="3:14" ht="15" thickBot="1" x14ac:dyDescent="0.35">
      <c r="C70" s="234"/>
      <c r="D70" s="235"/>
      <c r="E70" s="235"/>
      <c r="F70" s="235"/>
      <c r="G70" s="235"/>
      <c r="H70" s="235"/>
      <c r="I70" s="235"/>
      <c r="J70" s="235"/>
      <c r="K70" s="235"/>
      <c r="L70" s="235"/>
      <c r="M70" s="235"/>
      <c r="N70" s="236"/>
    </row>
    <row r="71" spans="3:14" ht="19.2" thickTop="1" thickBot="1" x14ac:dyDescent="0.35">
      <c r="C71" s="240" t="s">
        <v>226</v>
      </c>
      <c r="D71" s="238"/>
      <c r="E71" s="239"/>
      <c r="F71" s="239"/>
      <c r="G71" s="239"/>
      <c r="H71" s="239"/>
      <c r="I71" s="239"/>
      <c r="J71" s="239"/>
      <c r="K71" s="239"/>
      <c r="L71" s="247"/>
      <c r="M71" s="3"/>
      <c r="N71" s="248"/>
    </row>
    <row r="72" spans="3:14" ht="15" thickTop="1" x14ac:dyDescent="0.3">
      <c r="C72" s="231"/>
      <c r="D72" s="232"/>
      <c r="E72" s="232"/>
      <c r="F72" s="232"/>
      <c r="G72" s="232"/>
      <c r="H72" s="232"/>
      <c r="I72" s="232"/>
      <c r="J72" s="232"/>
      <c r="K72" s="232"/>
      <c r="L72" s="232"/>
      <c r="M72" s="232"/>
      <c r="N72" s="233"/>
    </row>
    <row r="73" spans="3:14" x14ac:dyDescent="0.3">
      <c r="C73" s="234"/>
      <c r="D73" s="235"/>
      <c r="E73" s="235"/>
      <c r="F73" s="235"/>
      <c r="G73" s="235"/>
      <c r="H73" s="232"/>
      <c r="I73" s="235"/>
      <c r="J73" s="235"/>
      <c r="K73" s="235"/>
      <c r="L73" s="235"/>
      <c r="M73" s="235"/>
      <c r="N73" s="236"/>
    </row>
    <row r="74" spans="3:14" x14ac:dyDescent="0.3">
      <c r="C74" s="234"/>
      <c r="D74" s="235"/>
      <c r="E74" s="235"/>
      <c r="F74" s="235"/>
      <c r="G74" s="235"/>
      <c r="H74" s="232"/>
      <c r="I74" s="235"/>
      <c r="J74" s="235"/>
      <c r="K74" s="235"/>
      <c r="L74" s="235"/>
      <c r="M74" s="235"/>
      <c r="N74" s="236"/>
    </row>
    <row r="75" spans="3:14" x14ac:dyDescent="0.3">
      <c r="C75" s="234"/>
      <c r="D75" s="235"/>
      <c r="E75" s="235"/>
      <c r="F75" s="235"/>
      <c r="G75" s="235"/>
      <c r="H75" s="232"/>
      <c r="I75" s="235"/>
      <c r="J75" s="235"/>
      <c r="K75" s="235"/>
      <c r="L75" s="235"/>
      <c r="M75" s="235"/>
      <c r="N75" s="236"/>
    </row>
    <row r="76" spans="3:14" x14ac:dyDescent="0.3">
      <c r="C76" s="234"/>
      <c r="D76" s="235"/>
      <c r="E76" s="235"/>
      <c r="F76" s="235"/>
      <c r="G76" s="235"/>
      <c r="H76" s="232"/>
      <c r="I76" s="235"/>
      <c r="J76" s="235"/>
      <c r="K76" s="235"/>
      <c r="L76" s="235"/>
      <c r="M76" s="235"/>
      <c r="N76" s="236"/>
    </row>
    <row r="77" spans="3:14" x14ac:dyDescent="0.3">
      <c r="C77" s="234"/>
      <c r="D77" s="235"/>
      <c r="E77" s="235"/>
      <c r="F77" s="235"/>
      <c r="G77" s="235"/>
      <c r="H77" s="232"/>
      <c r="I77" s="235"/>
      <c r="J77" s="235"/>
      <c r="K77" s="235"/>
      <c r="L77" s="235"/>
      <c r="M77" s="235"/>
      <c r="N77" s="236"/>
    </row>
    <row r="78" spans="3:14" x14ac:dyDescent="0.3">
      <c r="C78" s="234"/>
      <c r="D78" s="235"/>
      <c r="E78" s="235"/>
      <c r="F78" s="235"/>
      <c r="G78" s="235"/>
      <c r="H78" s="232"/>
      <c r="I78" s="235"/>
      <c r="J78" s="235"/>
      <c r="K78" s="235"/>
      <c r="L78" s="235"/>
      <c r="M78" s="235"/>
      <c r="N78" s="236"/>
    </row>
    <row r="79" spans="3:14" x14ac:dyDescent="0.3">
      <c r="C79" s="234"/>
      <c r="D79" s="235"/>
      <c r="E79" s="235"/>
      <c r="F79" s="235"/>
      <c r="G79" s="235"/>
      <c r="H79" s="232"/>
      <c r="I79" s="235"/>
      <c r="J79" s="235"/>
      <c r="K79" s="235"/>
      <c r="L79" s="235"/>
      <c r="M79" s="235"/>
      <c r="N79" s="236"/>
    </row>
    <row r="80" spans="3:14" x14ac:dyDescent="0.3">
      <c r="C80" s="234"/>
      <c r="D80" s="235"/>
      <c r="E80" s="235"/>
      <c r="F80" s="235"/>
      <c r="G80" s="235"/>
      <c r="H80" s="232"/>
      <c r="I80" s="235"/>
      <c r="J80" s="235"/>
      <c r="K80" s="235"/>
      <c r="L80" s="235"/>
      <c r="M80" s="235"/>
      <c r="N80" s="236"/>
    </row>
    <row r="81" spans="3:14" x14ac:dyDescent="0.3">
      <c r="C81" s="234"/>
      <c r="D81" s="235"/>
      <c r="E81" s="235"/>
      <c r="F81" s="235"/>
      <c r="G81" s="235"/>
      <c r="H81" s="232"/>
      <c r="I81" s="235"/>
      <c r="J81" s="235"/>
      <c r="K81" s="235"/>
      <c r="L81" s="235"/>
      <c r="M81" s="235"/>
      <c r="N81" s="236"/>
    </row>
    <row r="82" spans="3:14" x14ac:dyDescent="0.3">
      <c r="C82" s="234"/>
      <c r="D82" s="235"/>
      <c r="E82" s="235"/>
      <c r="F82" s="235"/>
      <c r="G82" s="235"/>
      <c r="H82" s="232"/>
      <c r="I82" s="235"/>
      <c r="J82" s="235"/>
      <c r="K82" s="235"/>
      <c r="L82" s="235"/>
      <c r="M82" s="235"/>
      <c r="N82" s="236"/>
    </row>
    <row r="83" spans="3:14" x14ac:dyDescent="0.3">
      <c r="C83" s="234"/>
      <c r="D83" s="235"/>
      <c r="E83" s="235"/>
      <c r="F83" s="235"/>
      <c r="G83" s="235"/>
      <c r="H83" s="232"/>
      <c r="I83" s="235"/>
      <c r="J83" s="235"/>
      <c r="K83" s="235"/>
      <c r="L83" s="235"/>
      <c r="M83" s="235"/>
      <c r="N83" s="236"/>
    </row>
    <row r="84" spans="3:14" x14ac:dyDescent="0.3">
      <c r="C84" s="234"/>
      <c r="D84" s="235"/>
      <c r="E84" s="235"/>
      <c r="F84" s="235"/>
      <c r="G84" s="235"/>
      <c r="H84" s="232"/>
      <c r="I84" s="235"/>
      <c r="J84" s="235"/>
      <c r="K84" s="235"/>
      <c r="L84" s="235"/>
      <c r="M84" s="235"/>
      <c r="N84" s="236"/>
    </row>
    <row r="85" spans="3:14" x14ac:dyDescent="0.3">
      <c r="C85" s="234"/>
      <c r="D85" s="235"/>
      <c r="E85" s="235"/>
      <c r="F85" s="235"/>
      <c r="G85" s="235"/>
      <c r="H85" s="232"/>
      <c r="I85" s="235"/>
      <c r="J85" s="235"/>
      <c r="K85" s="235"/>
      <c r="L85" s="235"/>
      <c r="M85" s="235"/>
      <c r="N85" s="236"/>
    </row>
    <row r="86" spans="3:14" x14ac:dyDescent="0.3">
      <c r="C86" s="234"/>
      <c r="D86" s="235"/>
      <c r="E86" s="235"/>
      <c r="F86" s="235"/>
      <c r="G86" s="235"/>
      <c r="H86" s="232"/>
      <c r="I86" s="235"/>
      <c r="J86" s="235"/>
      <c r="K86" s="235"/>
      <c r="L86" s="235"/>
      <c r="M86" s="235"/>
      <c r="N86" s="236"/>
    </row>
    <row r="87" spans="3:14" x14ac:dyDescent="0.3">
      <c r="C87" s="234"/>
      <c r="D87" s="235"/>
      <c r="E87" s="235"/>
      <c r="F87" s="235"/>
      <c r="G87" s="235"/>
      <c r="H87" s="232"/>
      <c r="I87" s="235"/>
      <c r="J87" s="235"/>
      <c r="K87" s="235"/>
      <c r="L87" s="235"/>
      <c r="M87" s="235"/>
      <c r="N87" s="236"/>
    </row>
    <row r="88" spans="3:14" x14ac:dyDescent="0.3">
      <c r="C88" s="234"/>
      <c r="D88" s="235"/>
      <c r="E88" s="235"/>
      <c r="F88" s="235"/>
      <c r="G88" s="235"/>
      <c r="H88" s="232"/>
      <c r="I88" s="235"/>
      <c r="J88" s="235"/>
      <c r="K88" s="235"/>
      <c r="L88" s="235"/>
      <c r="M88" s="235"/>
      <c r="N88" s="236"/>
    </row>
    <row r="89" spans="3:14" x14ac:dyDescent="0.3">
      <c r="C89" s="234"/>
      <c r="D89" s="235"/>
      <c r="E89" s="235"/>
      <c r="F89" s="235"/>
      <c r="G89" s="235"/>
      <c r="H89" s="232"/>
      <c r="I89" s="235"/>
      <c r="J89" s="235"/>
      <c r="K89" s="235"/>
      <c r="L89" s="235"/>
      <c r="M89" s="235"/>
      <c r="N89" s="236"/>
    </row>
    <row r="90" spans="3:14" x14ac:dyDescent="0.3">
      <c r="C90" s="234"/>
      <c r="D90" s="235"/>
      <c r="E90" s="235"/>
      <c r="F90" s="235"/>
      <c r="G90" s="235"/>
      <c r="H90" s="235"/>
      <c r="I90" s="235"/>
      <c r="J90" s="235"/>
      <c r="K90" s="235"/>
      <c r="L90" s="235"/>
      <c r="M90" s="235"/>
      <c r="N90" s="236"/>
    </row>
    <row r="91" spans="3:14" x14ac:dyDescent="0.3">
      <c r="C91" s="234"/>
      <c r="D91" s="235"/>
      <c r="E91" s="235"/>
      <c r="F91" s="235"/>
      <c r="G91" s="235"/>
      <c r="H91" s="235"/>
      <c r="I91" s="235"/>
      <c r="J91" s="235"/>
      <c r="K91" s="235"/>
      <c r="L91" s="235"/>
      <c r="M91" s="235"/>
      <c r="N91" s="236"/>
    </row>
    <row r="92" spans="3:14" x14ac:dyDescent="0.3">
      <c r="C92" s="234"/>
      <c r="D92" s="235"/>
      <c r="E92" s="235"/>
      <c r="F92" s="235"/>
      <c r="G92" s="235"/>
      <c r="H92" s="235"/>
      <c r="I92" s="235"/>
      <c r="J92" s="235"/>
      <c r="K92" s="235"/>
      <c r="L92" s="235"/>
      <c r="M92" s="235"/>
      <c r="N92" s="236"/>
    </row>
    <row r="93" spans="3:14" ht="15" thickBot="1" x14ac:dyDescent="0.35">
      <c r="C93" s="234"/>
      <c r="D93" s="235"/>
      <c r="E93" s="235"/>
      <c r="F93" s="235"/>
      <c r="G93" s="235"/>
      <c r="H93" s="235"/>
      <c r="I93" s="235"/>
      <c r="J93" s="235"/>
      <c r="K93" s="235"/>
      <c r="L93" s="235"/>
      <c r="M93" s="235"/>
      <c r="N93" s="236"/>
    </row>
    <row r="94" spans="3:14" ht="19.2" thickTop="1" thickBot="1" x14ac:dyDescent="0.35">
      <c r="C94" s="240" t="s">
        <v>227</v>
      </c>
      <c r="D94" s="238"/>
      <c r="E94" s="239"/>
      <c r="F94" s="239"/>
      <c r="G94" s="239"/>
      <c r="H94" s="239"/>
      <c r="I94" s="239"/>
      <c r="J94" s="239"/>
      <c r="K94" s="239"/>
      <c r="L94" s="247"/>
      <c r="M94" s="3"/>
      <c r="N94" s="248"/>
    </row>
    <row r="95" spans="3:14" ht="15" thickTop="1" x14ac:dyDescent="0.3">
      <c r="C95" s="231"/>
      <c r="D95" s="232"/>
      <c r="E95" s="232"/>
      <c r="F95" s="232"/>
      <c r="G95" s="232"/>
      <c r="H95" s="232"/>
      <c r="I95" s="232"/>
      <c r="J95" s="232"/>
      <c r="K95" s="232"/>
      <c r="L95" s="232"/>
      <c r="M95" s="232"/>
      <c r="N95" s="233"/>
    </row>
    <row r="96" spans="3:14" x14ac:dyDescent="0.3">
      <c r="C96" s="234"/>
      <c r="D96" s="235"/>
      <c r="E96" s="235"/>
      <c r="F96" s="235"/>
      <c r="G96" s="235"/>
      <c r="H96" s="232"/>
      <c r="I96" s="235"/>
      <c r="J96" s="235"/>
      <c r="K96" s="235"/>
      <c r="L96" s="235"/>
      <c r="M96" s="235"/>
      <c r="N96" s="236"/>
    </row>
    <row r="97" spans="3:14" x14ac:dyDescent="0.3">
      <c r="C97" s="234"/>
      <c r="D97" s="235"/>
      <c r="E97" s="235"/>
      <c r="F97" s="235"/>
      <c r="G97" s="235"/>
      <c r="H97" s="232"/>
      <c r="I97" s="235"/>
      <c r="J97" s="235"/>
      <c r="K97" s="235"/>
      <c r="L97" s="235"/>
      <c r="M97" s="235"/>
      <c r="N97" s="236"/>
    </row>
    <row r="98" spans="3:14" x14ac:dyDescent="0.3">
      <c r="C98" s="234"/>
      <c r="D98" s="235"/>
      <c r="E98" s="235"/>
      <c r="F98" s="235"/>
      <c r="G98" s="235"/>
      <c r="H98" s="232"/>
      <c r="I98" s="235"/>
      <c r="J98" s="235"/>
      <c r="K98" s="235"/>
      <c r="L98" s="235"/>
      <c r="M98" s="235"/>
      <c r="N98" s="236"/>
    </row>
    <row r="99" spans="3:14" x14ac:dyDescent="0.3">
      <c r="C99" s="234"/>
      <c r="D99" s="235"/>
      <c r="E99" s="235"/>
      <c r="F99" s="235"/>
      <c r="G99" s="235"/>
      <c r="H99" s="232"/>
      <c r="I99" s="235"/>
      <c r="J99" s="235"/>
      <c r="K99" s="235"/>
      <c r="L99" s="235"/>
      <c r="M99" s="235"/>
      <c r="N99" s="236"/>
    </row>
    <row r="100" spans="3:14" x14ac:dyDescent="0.3">
      <c r="C100" s="234"/>
      <c r="D100" s="235"/>
      <c r="E100" s="235"/>
      <c r="F100" s="235"/>
      <c r="G100" s="235"/>
      <c r="H100" s="232"/>
      <c r="I100" s="235"/>
      <c r="J100" s="235"/>
      <c r="K100" s="235"/>
      <c r="L100" s="235"/>
      <c r="M100" s="235"/>
      <c r="N100" s="236"/>
    </row>
    <row r="101" spans="3:14" x14ac:dyDescent="0.3">
      <c r="C101" s="234"/>
      <c r="D101" s="235"/>
      <c r="E101" s="235"/>
      <c r="F101" s="235"/>
      <c r="G101" s="235"/>
      <c r="H101" s="232"/>
      <c r="I101" s="235"/>
      <c r="J101" s="235"/>
      <c r="K101" s="235"/>
      <c r="L101" s="235"/>
      <c r="M101" s="235"/>
      <c r="N101" s="236"/>
    </row>
    <row r="102" spans="3:14" x14ac:dyDescent="0.3">
      <c r="C102" s="234"/>
      <c r="D102" s="235"/>
      <c r="E102" s="235"/>
      <c r="F102" s="235"/>
      <c r="G102" s="235"/>
      <c r="H102" s="232"/>
      <c r="I102" s="235"/>
      <c r="J102" s="235"/>
      <c r="K102" s="235"/>
      <c r="L102" s="235"/>
      <c r="M102" s="235"/>
      <c r="N102" s="236"/>
    </row>
    <row r="103" spans="3:14" x14ac:dyDescent="0.3">
      <c r="C103" s="234"/>
      <c r="D103" s="235"/>
      <c r="E103" s="235"/>
      <c r="F103" s="235"/>
      <c r="G103" s="235"/>
      <c r="H103" s="232"/>
      <c r="I103" s="235"/>
      <c r="J103" s="235"/>
      <c r="K103" s="235"/>
      <c r="L103" s="235"/>
      <c r="M103" s="235"/>
      <c r="N103" s="236"/>
    </row>
    <row r="104" spans="3:14" x14ac:dyDescent="0.3">
      <c r="C104" s="234"/>
      <c r="D104" s="235"/>
      <c r="E104" s="235"/>
      <c r="F104" s="235"/>
      <c r="G104" s="235"/>
      <c r="H104" s="232"/>
      <c r="I104" s="235"/>
      <c r="J104" s="235"/>
      <c r="K104" s="235"/>
      <c r="L104" s="235"/>
      <c r="M104" s="235"/>
      <c r="N104" s="236"/>
    </row>
    <row r="105" spans="3:14" x14ac:dyDescent="0.3">
      <c r="C105" s="234"/>
      <c r="D105" s="235"/>
      <c r="E105" s="235"/>
      <c r="F105" s="235"/>
      <c r="G105" s="235"/>
      <c r="H105" s="232"/>
      <c r="I105" s="235"/>
      <c r="J105" s="235"/>
      <c r="K105" s="235"/>
      <c r="L105" s="235"/>
      <c r="M105" s="235"/>
      <c r="N105" s="236"/>
    </row>
    <row r="106" spans="3:14" x14ac:dyDescent="0.3">
      <c r="C106" s="234"/>
      <c r="D106" s="235"/>
      <c r="E106" s="235"/>
      <c r="F106" s="235"/>
      <c r="G106" s="235"/>
      <c r="H106" s="232"/>
      <c r="I106" s="235"/>
      <c r="J106" s="235"/>
      <c r="K106" s="235"/>
      <c r="L106" s="235"/>
      <c r="M106" s="235"/>
      <c r="N106" s="236"/>
    </row>
    <row r="107" spans="3:14" x14ac:dyDescent="0.3">
      <c r="C107" s="234"/>
      <c r="D107" s="235"/>
      <c r="E107" s="235"/>
      <c r="F107" s="235"/>
      <c r="G107" s="235"/>
      <c r="H107" s="232"/>
      <c r="I107" s="235"/>
      <c r="J107" s="235"/>
      <c r="K107" s="235"/>
      <c r="L107" s="235"/>
      <c r="M107" s="235"/>
      <c r="N107" s="236"/>
    </row>
    <row r="108" spans="3:14" x14ac:dyDescent="0.3">
      <c r="C108" s="234"/>
      <c r="D108" s="235"/>
      <c r="E108" s="235"/>
      <c r="F108" s="235"/>
      <c r="G108" s="235"/>
      <c r="H108" s="232"/>
      <c r="I108" s="235"/>
      <c r="J108" s="235"/>
      <c r="K108" s="235"/>
      <c r="L108" s="235"/>
      <c r="M108" s="235"/>
      <c r="N108" s="236"/>
    </row>
    <row r="109" spans="3:14" x14ac:dyDescent="0.3">
      <c r="C109" s="234"/>
      <c r="D109" s="235"/>
      <c r="E109" s="235"/>
      <c r="F109" s="235"/>
      <c r="G109" s="235"/>
      <c r="H109" s="232"/>
      <c r="I109" s="235"/>
      <c r="J109" s="235"/>
      <c r="K109" s="235"/>
      <c r="L109" s="235"/>
      <c r="M109" s="235"/>
      <c r="N109" s="236"/>
    </row>
    <row r="110" spans="3:14" x14ac:dyDescent="0.3">
      <c r="C110" s="234"/>
      <c r="D110" s="235"/>
      <c r="E110" s="235"/>
      <c r="F110" s="235"/>
      <c r="G110" s="235"/>
      <c r="H110" s="232"/>
      <c r="I110" s="235"/>
      <c r="J110" s="235"/>
      <c r="K110" s="235"/>
      <c r="L110" s="235"/>
      <c r="M110" s="235"/>
      <c r="N110" s="236"/>
    </row>
    <row r="111" spans="3:14" x14ac:dyDescent="0.3">
      <c r="C111" s="234"/>
      <c r="D111" s="235"/>
      <c r="E111" s="235"/>
      <c r="F111" s="235"/>
      <c r="G111" s="235"/>
      <c r="H111" s="232"/>
      <c r="I111" s="235"/>
      <c r="J111" s="235"/>
      <c r="K111" s="235"/>
      <c r="L111" s="235"/>
      <c r="M111" s="235"/>
      <c r="N111" s="236"/>
    </row>
    <row r="112" spans="3:14" x14ac:dyDescent="0.3">
      <c r="C112" s="234"/>
      <c r="D112" s="235"/>
      <c r="E112" s="235"/>
      <c r="F112" s="235"/>
      <c r="G112" s="235"/>
      <c r="H112" s="232"/>
      <c r="I112" s="235"/>
      <c r="J112" s="235"/>
      <c r="K112" s="235"/>
      <c r="L112" s="235"/>
      <c r="M112" s="235"/>
      <c r="N112" s="236"/>
    </row>
    <row r="113" spans="3:14" x14ac:dyDescent="0.3">
      <c r="C113" s="234"/>
      <c r="D113" s="235"/>
      <c r="E113" s="235"/>
      <c r="F113" s="235"/>
      <c r="G113" s="235"/>
      <c r="H113" s="235"/>
      <c r="I113" s="235"/>
      <c r="J113" s="235"/>
      <c r="K113" s="235"/>
      <c r="L113" s="235"/>
      <c r="M113" s="235"/>
      <c r="N113" s="236"/>
    </row>
    <row r="114" spans="3:14" x14ac:dyDescent="0.3">
      <c r="C114" s="234"/>
      <c r="D114" s="235"/>
      <c r="E114" s="235"/>
      <c r="F114" s="235"/>
      <c r="G114" s="235"/>
      <c r="H114" s="235"/>
      <c r="I114" s="235"/>
      <c r="J114" s="235"/>
      <c r="K114" s="235"/>
      <c r="L114" s="235"/>
      <c r="M114" s="235"/>
      <c r="N114" s="236"/>
    </row>
    <row r="115" spans="3:14" x14ac:dyDescent="0.3">
      <c r="C115" s="234"/>
      <c r="D115" s="235"/>
      <c r="E115" s="235"/>
      <c r="F115" s="235"/>
      <c r="G115" s="235"/>
      <c r="H115" s="235"/>
      <c r="I115" s="235"/>
      <c r="J115" s="235"/>
      <c r="K115" s="235"/>
      <c r="L115" s="235"/>
      <c r="M115" s="235"/>
      <c r="N115" s="236"/>
    </row>
    <row r="116" spans="3:14" ht="15" thickBot="1" x14ac:dyDescent="0.35">
      <c r="C116" s="234"/>
      <c r="D116" s="235"/>
      <c r="E116" s="235"/>
      <c r="F116" s="235"/>
      <c r="G116" s="235"/>
      <c r="H116" s="235"/>
      <c r="I116" s="235"/>
      <c r="J116" s="235"/>
      <c r="K116" s="235"/>
      <c r="L116" s="235"/>
      <c r="M116" s="235"/>
      <c r="N116" s="236"/>
    </row>
    <row r="117" spans="3:14" ht="19.2" thickTop="1" thickBot="1" x14ac:dyDescent="0.35">
      <c r="C117" s="240" t="s">
        <v>228</v>
      </c>
      <c r="D117" s="238"/>
      <c r="E117" s="239"/>
      <c r="F117" s="239"/>
      <c r="G117" s="239"/>
      <c r="H117" s="239"/>
      <c r="I117" s="239"/>
      <c r="J117" s="239"/>
      <c r="K117" s="239"/>
      <c r="L117" s="247"/>
      <c r="M117" s="3"/>
      <c r="N117" s="248"/>
    </row>
    <row r="118" spans="3:14" ht="15" thickTop="1" x14ac:dyDescent="0.3">
      <c r="C118" s="231"/>
      <c r="D118" s="232"/>
      <c r="E118" s="232"/>
      <c r="F118" s="232"/>
      <c r="G118" s="232"/>
      <c r="H118" s="232"/>
      <c r="I118" s="232"/>
      <c r="J118" s="232"/>
      <c r="K118" s="232"/>
      <c r="L118" s="232"/>
      <c r="M118" s="232"/>
      <c r="N118" s="233"/>
    </row>
    <row r="119" spans="3:14" x14ac:dyDescent="0.3">
      <c r="C119" s="234"/>
      <c r="D119" s="235"/>
      <c r="E119" s="235"/>
      <c r="F119" s="235"/>
      <c r="G119" s="235"/>
      <c r="H119" s="232"/>
      <c r="I119" s="235"/>
      <c r="J119" s="235"/>
      <c r="K119" s="235"/>
      <c r="L119" s="235"/>
      <c r="M119" s="235"/>
      <c r="N119" s="236"/>
    </row>
    <row r="120" spans="3:14" x14ac:dyDescent="0.3">
      <c r="C120" s="234"/>
      <c r="D120" s="235"/>
      <c r="E120" s="235"/>
      <c r="F120" s="235"/>
      <c r="G120" s="235"/>
      <c r="H120" s="232"/>
      <c r="I120" s="235"/>
      <c r="J120" s="235"/>
      <c r="K120" s="235"/>
      <c r="L120" s="235"/>
      <c r="M120" s="235"/>
      <c r="N120" s="236"/>
    </row>
    <row r="121" spans="3:14" x14ac:dyDescent="0.3">
      <c r="C121" s="234"/>
      <c r="D121" s="235"/>
      <c r="E121" s="235"/>
      <c r="F121" s="235"/>
      <c r="G121" s="235"/>
      <c r="H121" s="232"/>
      <c r="I121" s="235"/>
      <c r="J121" s="235"/>
      <c r="K121" s="235"/>
      <c r="L121" s="235"/>
      <c r="M121" s="235"/>
      <c r="N121" s="236"/>
    </row>
    <row r="122" spans="3:14" x14ac:dyDescent="0.3">
      <c r="C122" s="234"/>
      <c r="D122" s="235"/>
      <c r="E122" s="235"/>
      <c r="F122" s="235"/>
      <c r="G122" s="235"/>
      <c r="H122" s="232"/>
      <c r="I122" s="235"/>
      <c r="J122" s="235"/>
      <c r="K122" s="235"/>
      <c r="L122" s="235"/>
      <c r="M122" s="235"/>
      <c r="N122" s="236"/>
    </row>
    <row r="123" spans="3:14" x14ac:dyDescent="0.3">
      <c r="C123" s="234"/>
      <c r="D123" s="235"/>
      <c r="E123" s="235"/>
      <c r="F123" s="235"/>
      <c r="G123" s="235"/>
      <c r="H123" s="232"/>
      <c r="I123" s="235"/>
      <c r="J123" s="235"/>
      <c r="K123" s="235"/>
      <c r="L123" s="235"/>
      <c r="M123" s="235"/>
      <c r="N123" s="236"/>
    </row>
    <row r="124" spans="3:14" x14ac:dyDescent="0.3">
      <c r="C124" s="234"/>
      <c r="D124" s="235"/>
      <c r="E124" s="235"/>
      <c r="F124" s="235"/>
      <c r="G124" s="235"/>
      <c r="H124" s="232"/>
      <c r="I124" s="235"/>
      <c r="J124" s="235"/>
      <c r="K124" s="235"/>
      <c r="L124" s="235"/>
      <c r="M124" s="235"/>
      <c r="N124" s="236"/>
    </row>
    <row r="125" spans="3:14" x14ac:dyDescent="0.3">
      <c r="C125" s="234"/>
      <c r="D125" s="235"/>
      <c r="E125" s="235"/>
      <c r="F125" s="235"/>
      <c r="G125" s="235"/>
      <c r="H125" s="232"/>
      <c r="I125" s="235"/>
      <c r="J125" s="235"/>
      <c r="K125" s="235"/>
      <c r="L125" s="235"/>
      <c r="M125" s="235"/>
      <c r="N125" s="236"/>
    </row>
    <row r="126" spans="3:14" x14ac:dyDescent="0.3">
      <c r="C126" s="234"/>
      <c r="D126" s="235"/>
      <c r="E126" s="235"/>
      <c r="F126" s="235"/>
      <c r="G126" s="235"/>
      <c r="H126" s="232"/>
      <c r="I126" s="235"/>
      <c r="J126" s="235"/>
      <c r="K126" s="235"/>
      <c r="L126" s="235"/>
      <c r="M126" s="235"/>
      <c r="N126" s="236"/>
    </row>
    <row r="127" spans="3:14" x14ac:dyDescent="0.3">
      <c r="C127" s="234"/>
      <c r="D127" s="235"/>
      <c r="E127" s="235"/>
      <c r="F127" s="235"/>
      <c r="G127" s="235"/>
      <c r="H127" s="232"/>
      <c r="I127" s="235"/>
      <c r="J127" s="235"/>
      <c r="K127" s="235"/>
      <c r="L127" s="235"/>
      <c r="M127" s="235"/>
      <c r="N127" s="236"/>
    </row>
    <row r="128" spans="3:14" x14ac:dyDescent="0.3">
      <c r="C128" s="234"/>
      <c r="D128" s="235"/>
      <c r="E128" s="235"/>
      <c r="F128" s="235"/>
      <c r="G128" s="235"/>
      <c r="H128" s="232"/>
      <c r="I128" s="235"/>
      <c r="J128" s="235"/>
      <c r="K128" s="235"/>
      <c r="L128" s="235"/>
      <c r="M128" s="235"/>
      <c r="N128" s="236"/>
    </row>
    <row r="129" spans="3:14" x14ac:dyDescent="0.3">
      <c r="C129" s="234"/>
      <c r="D129" s="235"/>
      <c r="E129" s="235"/>
      <c r="F129" s="235"/>
      <c r="G129" s="235"/>
      <c r="H129" s="232"/>
      <c r="I129" s="235"/>
      <c r="J129" s="235"/>
      <c r="K129" s="235"/>
      <c r="L129" s="235"/>
      <c r="M129" s="235"/>
      <c r="N129" s="236"/>
    </row>
    <row r="130" spans="3:14" x14ac:dyDescent="0.3">
      <c r="C130" s="234"/>
      <c r="D130" s="235"/>
      <c r="E130" s="235"/>
      <c r="F130" s="235"/>
      <c r="G130" s="235"/>
      <c r="H130" s="232"/>
      <c r="I130" s="235"/>
      <c r="J130" s="235"/>
      <c r="K130" s="235"/>
      <c r="L130" s="235"/>
      <c r="M130" s="235"/>
      <c r="N130" s="236"/>
    </row>
    <row r="131" spans="3:14" x14ac:dyDescent="0.3">
      <c r="C131" s="234"/>
      <c r="D131" s="235"/>
      <c r="E131" s="235"/>
      <c r="F131" s="235"/>
      <c r="G131" s="235"/>
      <c r="H131" s="232"/>
      <c r="I131" s="235"/>
      <c r="J131" s="235"/>
      <c r="K131" s="235"/>
      <c r="L131" s="235"/>
      <c r="M131" s="235"/>
      <c r="N131" s="236"/>
    </row>
    <row r="132" spans="3:14" x14ac:dyDescent="0.3">
      <c r="C132" s="234"/>
      <c r="D132" s="235"/>
      <c r="E132" s="235"/>
      <c r="F132" s="235"/>
      <c r="G132" s="235"/>
      <c r="H132" s="232"/>
      <c r="I132" s="235"/>
      <c r="J132" s="235"/>
      <c r="K132" s="235"/>
      <c r="L132" s="235"/>
      <c r="M132" s="235"/>
      <c r="N132" s="236"/>
    </row>
    <row r="133" spans="3:14" x14ac:dyDescent="0.3">
      <c r="C133" s="234"/>
      <c r="D133" s="235"/>
      <c r="E133" s="235"/>
      <c r="F133" s="235"/>
      <c r="G133" s="235"/>
      <c r="H133" s="232"/>
      <c r="I133" s="235"/>
      <c r="J133" s="235"/>
      <c r="K133" s="235"/>
      <c r="L133" s="235"/>
      <c r="M133" s="235"/>
      <c r="N133" s="236"/>
    </row>
    <row r="134" spans="3:14" x14ac:dyDescent="0.3">
      <c r="C134" s="234"/>
      <c r="D134" s="235"/>
      <c r="E134" s="235"/>
      <c r="F134" s="235"/>
      <c r="G134" s="235"/>
      <c r="H134" s="232"/>
      <c r="I134" s="235"/>
      <c r="J134" s="235"/>
      <c r="K134" s="235"/>
      <c r="L134" s="235"/>
      <c r="M134" s="235"/>
      <c r="N134" s="236"/>
    </row>
    <row r="135" spans="3:14" x14ac:dyDescent="0.3">
      <c r="C135" s="234"/>
      <c r="D135" s="235"/>
      <c r="E135" s="235"/>
      <c r="F135" s="235"/>
      <c r="G135" s="235"/>
      <c r="H135" s="232"/>
      <c r="I135" s="235"/>
      <c r="J135" s="235"/>
      <c r="K135" s="235"/>
      <c r="L135" s="235"/>
      <c r="M135" s="235"/>
      <c r="N135" s="236"/>
    </row>
    <row r="136" spans="3:14" x14ac:dyDescent="0.3">
      <c r="C136" s="234"/>
      <c r="D136" s="235"/>
      <c r="E136" s="235"/>
      <c r="F136" s="235"/>
      <c r="G136" s="235"/>
      <c r="H136" s="235"/>
      <c r="I136" s="235"/>
      <c r="J136" s="235"/>
      <c r="K136" s="235"/>
      <c r="L136" s="235"/>
      <c r="M136" s="235"/>
      <c r="N136" s="236"/>
    </row>
    <row r="137" spans="3:14" x14ac:dyDescent="0.3">
      <c r="C137" s="234"/>
      <c r="D137" s="235"/>
      <c r="E137" s="235"/>
      <c r="F137" s="235"/>
      <c r="G137" s="235"/>
      <c r="H137" s="235"/>
      <c r="I137" s="235"/>
      <c r="J137" s="235"/>
      <c r="K137" s="235"/>
      <c r="L137" s="235"/>
      <c r="M137" s="235"/>
      <c r="N137" s="236"/>
    </row>
    <row r="138" spans="3:14" x14ac:dyDescent="0.3">
      <c r="C138" s="234"/>
      <c r="D138" s="235"/>
      <c r="E138" s="235"/>
      <c r="F138" s="235"/>
      <c r="G138" s="235"/>
      <c r="H138" s="235"/>
      <c r="I138" s="235"/>
      <c r="J138" s="235"/>
      <c r="K138" s="235"/>
      <c r="L138" s="235"/>
      <c r="M138" s="235"/>
      <c r="N138" s="236"/>
    </row>
    <row r="139" spans="3:14" x14ac:dyDescent="0.3">
      <c r="C139" s="234"/>
      <c r="D139" s="235"/>
      <c r="E139" s="235"/>
      <c r="F139" s="235"/>
      <c r="G139" s="235"/>
      <c r="H139" s="235"/>
      <c r="I139" s="235"/>
      <c r="J139" s="235"/>
      <c r="K139" s="235"/>
      <c r="L139" s="235"/>
      <c r="M139" s="235"/>
      <c r="N139" s="236"/>
    </row>
  </sheetData>
  <mergeCells count="1">
    <mergeCell ref="C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Z91"/>
  <sheetViews>
    <sheetView zoomScaleNormal="100" workbookViewId="0">
      <selection activeCell="J24" sqref="J24"/>
    </sheetView>
  </sheetViews>
  <sheetFormatPr defaultRowHeight="14.4" x14ac:dyDescent="0.3"/>
  <cols>
    <col min="1" max="1" width="15.109375" style="11" bestFit="1" customWidth="1"/>
    <col min="2" max="2" width="11.6640625" style="11" customWidth="1"/>
    <col min="3" max="4" width="9.109375" style="11"/>
    <col min="7" max="7" width="52" customWidth="1"/>
    <col min="8" max="8" width="7.33203125" customWidth="1"/>
    <col min="9" max="9" width="6.109375" customWidth="1"/>
    <col min="10" max="10" width="60" customWidth="1"/>
    <col min="13" max="13" width="54.88671875" bestFit="1" customWidth="1"/>
    <col min="16" max="16" width="69.33203125" bestFit="1" customWidth="1"/>
    <col min="17" max="17" width="12" customWidth="1"/>
    <col min="18" max="18" width="13.88671875" bestFit="1" customWidth="1"/>
    <col min="22" max="22" width="49.44140625" customWidth="1"/>
    <col min="24" max="24" width="35" bestFit="1" customWidth="1"/>
    <col min="25" max="25" width="9.6640625" customWidth="1"/>
    <col min="26" max="26" width="38.109375" bestFit="1" customWidth="1"/>
    <col min="27" max="27" width="10" customWidth="1"/>
  </cols>
  <sheetData>
    <row r="2" spans="1:26" x14ac:dyDescent="0.3">
      <c r="G2" s="4" t="s">
        <v>229</v>
      </c>
      <c r="J2" s="4" t="s">
        <v>230</v>
      </c>
      <c r="M2" s="4" t="s">
        <v>231</v>
      </c>
      <c r="P2" s="4" t="s">
        <v>232</v>
      </c>
      <c r="Q2" s="4" t="s">
        <v>233</v>
      </c>
      <c r="R2" s="4" t="s">
        <v>234</v>
      </c>
      <c r="V2" s="4" t="s">
        <v>235</v>
      </c>
      <c r="X2" s="4" t="s">
        <v>236</v>
      </c>
      <c r="Z2" s="4" t="s">
        <v>237</v>
      </c>
    </row>
    <row r="3" spans="1:26" ht="14.25" customHeight="1" x14ac:dyDescent="0.3">
      <c r="A3" s="2" t="s">
        <v>238</v>
      </c>
      <c r="B3" s="172" t="s">
        <v>210</v>
      </c>
      <c r="C3" s="172" t="s">
        <v>239</v>
      </c>
      <c r="D3" s="172" t="s">
        <v>240</v>
      </c>
      <c r="G3" s="7" t="s">
        <v>22</v>
      </c>
      <c r="J3" s="7" t="s">
        <v>241</v>
      </c>
      <c r="M3" s="7" t="s">
        <v>242</v>
      </c>
      <c r="P3" s="3" t="s">
        <v>243</v>
      </c>
      <c r="Q3" s="3" t="s">
        <v>244</v>
      </c>
      <c r="R3" s="3" t="s">
        <v>245</v>
      </c>
      <c r="V3" s="5" t="s">
        <v>246</v>
      </c>
      <c r="X3" s="3" t="s">
        <v>247</v>
      </c>
      <c r="Z3" s="3"/>
    </row>
    <row r="4" spans="1:26" ht="14.25" customHeight="1" x14ac:dyDescent="0.3">
      <c r="A4" s="2">
        <v>1</v>
      </c>
      <c r="B4" s="2" t="s">
        <v>248</v>
      </c>
      <c r="C4" s="2" t="s">
        <v>249</v>
      </c>
      <c r="D4" s="2">
        <v>9</v>
      </c>
      <c r="G4" s="7" t="s">
        <v>250</v>
      </c>
      <c r="J4" s="7" t="s">
        <v>251</v>
      </c>
      <c r="M4" s="7" t="s">
        <v>35</v>
      </c>
      <c r="P4" s="3" t="s">
        <v>252</v>
      </c>
      <c r="Q4" s="3" t="s">
        <v>244</v>
      </c>
      <c r="R4" s="3" t="s">
        <v>245</v>
      </c>
      <c r="V4" s="5" t="s">
        <v>253</v>
      </c>
      <c r="X4" s="3" t="s">
        <v>254</v>
      </c>
      <c r="Z4" s="3" t="s">
        <v>255</v>
      </c>
    </row>
    <row r="5" spans="1:26" ht="14.25" customHeight="1" x14ac:dyDescent="0.3">
      <c r="A5" s="2">
        <v>2</v>
      </c>
      <c r="B5" s="2" t="s">
        <v>256</v>
      </c>
      <c r="C5" s="2" t="s">
        <v>257</v>
      </c>
      <c r="D5" s="2">
        <v>1</v>
      </c>
      <c r="G5" s="7" t="s">
        <v>258</v>
      </c>
      <c r="J5" s="7" t="s">
        <v>27</v>
      </c>
      <c r="M5" s="7" t="s">
        <v>259</v>
      </c>
      <c r="P5" s="3" t="s">
        <v>260</v>
      </c>
      <c r="Q5" s="3" t="s">
        <v>244</v>
      </c>
      <c r="R5" s="3" t="s">
        <v>245</v>
      </c>
      <c r="V5" s="5" t="s">
        <v>261</v>
      </c>
      <c r="X5" s="3" t="s">
        <v>262</v>
      </c>
      <c r="Z5" s="3" t="s">
        <v>263</v>
      </c>
    </row>
    <row r="6" spans="1:26" ht="14.25" customHeight="1" x14ac:dyDescent="0.3">
      <c r="A6" s="2">
        <v>3</v>
      </c>
      <c r="B6" s="2" t="s">
        <v>264</v>
      </c>
      <c r="C6" s="2" t="s">
        <v>265</v>
      </c>
      <c r="D6" s="2">
        <v>3</v>
      </c>
      <c r="G6" s="7" t="s">
        <v>266</v>
      </c>
      <c r="J6" s="7" t="s">
        <v>267</v>
      </c>
      <c r="M6" s="7" t="s">
        <v>268</v>
      </c>
      <c r="P6" s="8" t="s">
        <v>269</v>
      </c>
      <c r="Q6" s="3" t="s">
        <v>55</v>
      </c>
      <c r="R6" s="3" t="s">
        <v>245</v>
      </c>
      <c r="V6" s="5" t="s">
        <v>270</v>
      </c>
      <c r="X6" s="3" t="s">
        <v>271</v>
      </c>
      <c r="Z6" s="3" t="s">
        <v>272</v>
      </c>
    </row>
    <row r="7" spans="1:26" ht="14.25" customHeight="1" x14ac:dyDescent="0.3">
      <c r="A7" s="2">
        <v>4</v>
      </c>
      <c r="B7" s="2" t="s">
        <v>273</v>
      </c>
      <c r="C7" s="2" t="s">
        <v>274</v>
      </c>
      <c r="D7" s="2">
        <v>4</v>
      </c>
      <c r="G7" s="8" t="s">
        <v>275</v>
      </c>
      <c r="J7" s="7" t="s">
        <v>276</v>
      </c>
      <c r="M7" s="7" t="s">
        <v>277</v>
      </c>
      <c r="P7" s="8" t="s">
        <v>278</v>
      </c>
      <c r="Q7" s="3" t="s">
        <v>55</v>
      </c>
      <c r="R7" s="3" t="s">
        <v>245</v>
      </c>
      <c r="V7" s="5" t="s">
        <v>279</v>
      </c>
      <c r="X7" s="3" t="s">
        <v>280</v>
      </c>
      <c r="Z7" s="3" t="s">
        <v>281</v>
      </c>
    </row>
    <row r="8" spans="1:26" ht="14.25" customHeight="1" x14ac:dyDescent="0.3">
      <c r="A8" s="2">
        <v>5</v>
      </c>
      <c r="B8" s="2" t="s">
        <v>282</v>
      </c>
      <c r="C8" s="2" t="s">
        <v>283</v>
      </c>
      <c r="D8" s="2">
        <v>10</v>
      </c>
      <c r="G8" s="8" t="s">
        <v>284</v>
      </c>
      <c r="J8" s="8" t="s">
        <v>285</v>
      </c>
      <c r="M8" s="3"/>
      <c r="P8" s="7" t="s">
        <v>38</v>
      </c>
      <c r="Q8" s="3" t="s">
        <v>55</v>
      </c>
      <c r="R8" s="3" t="s">
        <v>286</v>
      </c>
      <c r="V8" s="5" t="s">
        <v>287</v>
      </c>
      <c r="X8" s="3" t="s">
        <v>288</v>
      </c>
      <c r="Z8" s="3" t="s">
        <v>289</v>
      </c>
    </row>
    <row r="9" spans="1:26" ht="14.25" customHeight="1" x14ac:dyDescent="0.3">
      <c r="A9" s="2">
        <v>6</v>
      </c>
      <c r="B9" s="2" t="s">
        <v>290</v>
      </c>
      <c r="C9" s="2" t="s">
        <v>291</v>
      </c>
      <c r="D9" s="2">
        <v>7</v>
      </c>
      <c r="G9" s="8" t="s">
        <v>292</v>
      </c>
      <c r="J9" s="8" t="s">
        <v>293</v>
      </c>
      <c r="P9" s="7" t="s">
        <v>294</v>
      </c>
      <c r="Q9" s="3" t="s">
        <v>55</v>
      </c>
      <c r="R9" s="3" t="s">
        <v>245</v>
      </c>
      <c r="V9" s="5" t="s">
        <v>295</v>
      </c>
      <c r="Z9" s="3" t="s">
        <v>296</v>
      </c>
    </row>
    <row r="10" spans="1:26" ht="14.25" customHeight="1" x14ac:dyDescent="0.3">
      <c r="A10" s="2">
        <v>7</v>
      </c>
      <c r="B10" s="2" t="s">
        <v>297</v>
      </c>
      <c r="C10" s="2" t="s">
        <v>298</v>
      </c>
      <c r="D10" s="2">
        <v>11</v>
      </c>
      <c r="G10" s="8" t="s">
        <v>299</v>
      </c>
      <c r="J10" s="8" t="s">
        <v>300</v>
      </c>
      <c r="P10" s="7"/>
      <c r="Q10" s="3" t="s">
        <v>55</v>
      </c>
      <c r="R10" s="3" t="s">
        <v>245</v>
      </c>
      <c r="V10" s="5" t="s">
        <v>301</v>
      </c>
      <c r="Z10" s="3" t="s">
        <v>302</v>
      </c>
    </row>
    <row r="11" spans="1:26" ht="15" customHeight="1" x14ac:dyDescent="0.3">
      <c r="A11" s="2">
        <v>8</v>
      </c>
      <c r="B11" s="2" t="s">
        <v>303</v>
      </c>
      <c r="C11" s="2" t="s">
        <v>304</v>
      </c>
      <c r="D11" s="2">
        <v>9</v>
      </c>
      <c r="J11" s="8" t="s">
        <v>305</v>
      </c>
      <c r="P11" s="7" t="s">
        <v>306</v>
      </c>
      <c r="Q11" s="3" t="s">
        <v>55</v>
      </c>
      <c r="R11" s="3" t="s">
        <v>81</v>
      </c>
      <c r="V11" s="5" t="s">
        <v>307</v>
      </c>
      <c r="Z11" s="3" t="s">
        <v>308</v>
      </c>
    </row>
    <row r="12" spans="1:26" ht="15" customHeight="1" x14ac:dyDescent="0.3">
      <c r="A12" s="2">
        <v>9</v>
      </c>
      <c r="B12" s="2" t="s">
        <v>309</v>
      </c>
      <c r="C12" s="2" t="s">
        <v>310</v>
      </c>
      <c r="D12" s="2">
        <v>8</v>
      </c>
      <c r="J12" s="7" t="s">
        <v>311</v>
      </c>
      <c r="P12" s="7"/>
      <c r="Q12" s="3"/>
      <c r="R12" s="3"/>
      <c r="V12" s="5" t="s">
        <v>312</v>
      </c>
      <c r="Z12" s="3" t="s">
        <v>313</v>
      </c>
    </row>
    <row r="13" spans="1:26" ht="15" customHeight="1" x14ac:dyDescent="0.3">
      <c r="A13" s="2">
        <v>10</v>
      </c>
      <c r="B13" s="2" t="s">
        <v>314</v>
      </c>
      <c r="C13" s="2" t="s">
        <v>315</v>
      </c>
      <c r="D13" s="2">
        <v>11</v>
      </c>
      <c r="J13" s="7" t="s">
        <v>316</v>
      </c>
      <c r="P13" s="7"/>
      <c r="Q13" s="3"/>
      <c r="R13" s="3"/>
      <c r="V13" s="5" t="s">
        <v>41</v>
      </c>
      <c r="Z13" s="3" t="s">
        <v>317</v>
      </c>
    </row>
    <row r="14" spans="1:26" ht="15" customHeight="1" x14ac:dyDescent="0.3">
      <c r="A14" s="2">
        <v>11</v>
      </c>
      <c r="B14" s="2" t="s">
        <v>318</v>
      </c>
      <c r="C14" s="2" t="s">
        <v>319</v>
      </c>
      <c r="D14" s="2">
        <v>7</v>
      </c>
      <c r="P14" s="6"/>
      <c r="V14" s="5" t="s">
        <v>320</v>
      </c>
    </row>
    <row r="15" spans="1:26" ht="15" customHeight="1" x14ac:dyDescent="0.3">
      <c r="A15" s="2">
        <v>12</v>
      </c>
      <c r="B15" s="2" t="s">
        <v>321</v>
      </c>
      <c r="C15" s="2" t="s">
        <v>322</v>
      </c>
      <c r="D15" s="2">
        <v>7</v>
      </c>
      <c r="G15" s="176" t="s">
        <v>323</v>
      </c>
      <c r="V15" s="5" t="s">
        <v>324</v>
      </c>
    </row>
    <row r="16" spans="1:26" ht="15" customHeight="1" x14ac:dyDescent="0.3">
      <c r="A16" s="2">
        <v>13</v>
      </c>
      <c r="B16" s="2" t="s">
        <v>325</v>
      </c>
      <c r="C16" s="2" t="s">
        <v>326</v>
      </c>
      <c r="D16" s="2">
        <v>8</v>
      </c>
      <c r="G16" s="3" t="s">
        <v>33</v>
      </c>
      <c r="V16" s="6"/>
    </row>
    <row r="17" spans="1:22" ht="15" customHeight="1" x14ac:dyDescent="0.3">
      <c r="A17" s="2">
        <v>14</v>
      </c>
      <c r="B17" s="2" t="s">
        <v>327</v>
      </c>
      <c r="C17" s="2" t="s">
        <v>328</v>
      </c>
      <c r="D17" s="2">
        <v>8</v>
      </c>
      <c r="G17" s="3" t="s">
        <v>329</v>
      </c>
    </row>
    <row r="18" spans="1:22" ht="15" customHeight="1" x14ac:dyDescent="0.3">
      <c r="A18" s="2">
        <v>15</v>
      </c>
      <c r="B18" s="2" t="s">
        <v>330</v>
      </c>
      <c r="C18" s="2" t="s">
        <v>331</v>
      </c>
      <c r="D18" s="2">
        <v>11</v>
      </c>
      <c r="G18" s="3" t="s">
        <v>332</v>
      </c>
    </row>
    <row r="19" spans="1:22" ht="15" customHeight="1" x14ac:dyDescent="0.3">
      <c r="A19" s="2">
        <v>16</v>
      </c>
      <c r="B19" s="2" t="s">
        <v>333</v>
      </c>
      <c r="C19" s="2" t="s">
        <v>334</v>
      </c>
      <c r="D19" s="2">
        <v>5</v>
      </c>
      <c r="G19" s="3" t="s">
        <v>335</v>
      </c>
      <c r="V19" s="6"/>
    </row>
    <row r="20" spans="1:22" x14ac:dyDescent="0.3">
      <c r="A20" s="2">
        <v>17</v>
      </c>
      <c r="B20" s="2" t="s">
        <v>336</v>
      </c>
      <c r="C20" s="2" t="s">
        <v>337</v>
      </c>
      <c r="D20" s="2">
        <v>3</v>
      </c>
    </row>
    <row r="21" spans="1:22" ht="21.75" customHeight="1" x14ac:dyDescent="0.3">
      <c r="A21" s="2">
        <v>18</v>
      </c>
      <c r="B21" s="2" t="s">
        <v>338</v>
      </c>
      <c r="C21" s="2" t="s">
        <v>339</v>
      </c>
      <c r="D21" s="2">
        <v>12</v>
      </c>
      <c r="G21" s="175" t="s">
        <v>340</v>
      </c>
    </row>
    <row r="22" spans="1:22" ht="15.6" x14ac:dyDescent="0.3">
      <c r="A22" s="2">
        <v>19</v>
      </c>
      <c r="B22" s="2" t="s">
        <v>341</v>
      </c>
      <c r="C22" s="2" t="s">
        <v>342</v>
      </c>
      <c r="D22" s="2">
        <v>7</v>
      </c>
      <c r="G22" s="8" t="s">
        <v>343</v>
      </c>
    </row>
    <row r="23" spans="1:22" ht="15.6" x14ac:dyDescent="0.3">
      <c r="A23" s="2">
        <v>20</v>
      </c>
      <c r="B23" s="2" t="s">
        <v>344</v>
      </c>
      <c r="C23" s="2" t="s">
        <v>345</v>
      </c>
      <c r="D23" s="2">
        <v>1</v>
      </c>
      <c r="G23" s="8" t="s">
        <v>346</v>
      </c>
    </row>
    <row r="24" spans="1:22" x14ac:dyDescent="0.3">
      <c r="A24" s="2">
        <v>21</v>
      </c>
      <c r="B24" s="2" t="s">
        <v>347</v>
      </c>
      <c r="C24" s="2" t="s">
        <v>348</v>
      </c>
      <c r="D24" s="2">
        <v>6</v>
      </c>
      <c r="G24" s="7" t="s">
        <v>71</v>
      </c>
    </row>
    <row r="25" spans="1:22" x14ac:dyDescent="0.3">
      <c r="A25" s="2">
        <v>22</v>
      </c>
      <c r="B25" s="2" t="s">
        <v>349</v>
      </c>
      <c r="C25" s="2" t="s">
        <v>350</v>
      </c>
      <c r="D25" s="2">
        <v>3</v>
      </c>
    </row>
    <row r="26" spans="1:22" x14ac:dyDescent="0.3">
      <c r="A26" s="2">
        <v>23</v>
      </c>
      <c r="B26" s="2" t="s">
        <v>351</v>
      </c>
      <c r="C26" s="2" t="s">
        <v>352</v>
      </c>
      <c r="D26" s="2">
        <v>5</v>
      </c>
    </row>
    <row r="27" spans="1:22" x14ac:dyDescent="0.3">
      <c r="A27" s="2">
        <v>24</v>
      </c>
      <c r="B27" s="2" t="s">
        <v>353</v>
      </c>
      <c r="C27" s="2" t="s">
        <v>354</v>
      </c>
      <c r="D27" s="2">
        <v>6</v>
      </c>
    </row>
    <row r="28" spans="1:22" x14ac:dyDescent="0.3">
      <c r="A28" s="2">
        <v>25</v>
      </c>
      <c r="B28" s="2" t="s">
        <v>355</v>
      </c>
      <c r="C28" s="2" t="s">
        <v>356</v>
      </c>
      <c r="D28" s="2">
        <v>6</v>
      </c>
    </row>
    <row r="29" spans="1:22" x14ac:dyDescent="0.3">
      <c r="A29" s="2">
        <v>26</v>
      </c>
      <c r="B29" s="2" t="s">
        <v>357</v>
      </c>
      <c r="C29" s="2" t="s">
        <v>358</v>
      </c>
      <c r="D29" s="2">
        <v>2</v>
      </c>
    </row>
    <row r="30" spans="1:22" x14ac:dyDescent="0.3">
      <c r="A30" s="2">
        <v>27</v>
      </c>
      <c r="B30" s="2" t="s">
        <v>359</v>
      </c>
      <c r="C30" s="2" t="s">
        <v>360</v>
      </c>
      <c r="D30" s="2">
        <v>10</v>
      </c>
    </row>
    <row r="31" spans="1:22" x14ac:dyDescent="0.3">
      <c r="A31" s="2">
        <v>28</v>
      </c>
      <c r="B31" s="2" t="s">
        <v>361</v>
      </c>
      <c r="C31" s="2" t="s">
        <v>362</v>
      </c>
      <c r="D31" s="2">
        <v>12</v>
      </c>
    </row>
    <row r="32" spans="1:22" x14ac:dyDescent="0.3">
      <c r="A32" s="2">
        <v>29</v>
      </c>
      <c r="B32" s="2" t="s">
        <v>363</v>
      </c>
      <c r="C32" s="2" t="s">
        <v>364</v>
      </c>
      <c r="D32" s="2">
        <v>8</v>
      </c>
    </row>
    <row r="33" spans="1:4" x14ac:dyDescent="0.3">
      <c r="A33" s="2">
        <v>30</v>
      </c>
      <c r="B33" s="2" t="s">
        <v>365</v>
      </c>
      <c r="C33" s="2" t="s">
        <v>366</v>
      </c>
      <c r="D33" s="2">
        <v>5</v>
      </c>
    </row>
    <row r="34" spans="1:4" x14ac:dyDescent="0.3">
      <c r="A34" s="2">
        <v>31</v>
      </c>
      <c r="B34" s="2" t="s">
        <v>367</v>
      </c>
      <c r="C34" s="2" t="s">
        <v>368</v>
      </c>
      <c r="D34" s="2">
        <v>8</v>
      </c>
    </row>
    <row r="35" spans="1:4" x14ac:dyDescent="0.3">
      <c r="A35" s="2">
        <v>32</v>
      </c>
      <c r="B35" s="2" t="s">
        <v>369</v>
      </c>
      <c r="C35" s="2" t="s">
        <v>370</v>
      </c>
      <c r="D35" s="2">
        <v>1</v>
      </c>
    </row>
    <row r="36" spans="1:4" x14ac:dyDescent="0.3">
      <c r="A36" s="2">
        <v>33</v>
      </c>
      <c r="B36" s="2" t="s">
        <v>371</v>
      </c>
      <c r="C36" s="2" t="s">
        <v>372</v>
      </c>
      <c r="D36" s="2">
        <v>1</v>
      </c>
    </row>
    <row r="37" spans="1:4" x14ac:dyDescent="0.3">
      <c r="A37" s="2">
        <v>34</v>
      </c>
      <c r="B37" s="2" t="s">
        <v>373</v>
      </c>
      <c r="C37" s="2" t="s">
        <v>374</v>
      </c>
      <c r="D37" s="2">
        <v>11</v>
      </c>
    </row>
    <row r="38" spans="1:4" x14ac:dyDescent="0.3">
      <c r="A38" s="2">
        <v>35</v>
      </c>
      <c r="B38" s="2" t="s">
        <v>375</v>
      </c>
      <c r="C38" s="2" t="s">
        <v>376</v>
      </c>
      <c r="D38" s="2">
        <v>2</v>
      </c>
    </row>
    <row r="39" spans="1:4" x14ac:dyDescent="0.3">
      <c r="A39" s="2">
        <v>36</v>
      </c>
      <c r="B39" s="2" t="s">
        <v>377</v>
      </c>
      <c r="C39" s="2" t="s">
        <v>378</v>
      </c>
      <c r="D39" s="2">
        <v>9</v>
      </c>
    </row>
    <row r="40" spans="1:4" x14ac:dyDescent="0.3">
      <c r="A40" s="2">
        <v>37</v>
      </c>
      <c r="B40" s="2" t="s">
        <v>379</v>
      </c>
      <c r="C40" s="2" t="s">
        <v>380</v>
      </c>
      <c r="D40" s="2">
        <v>10</v>
      </c>
    </row>
    <row r="41" spans="1:4" x14ac:dyDescent="0.3">
      <c r="A41" s="2">
        <v>38</v>
      </c>
      <c r="B41" s="2" t="s">
        <v>381</v>
      </c>
      <c r="C41" s="2" t="s">
        <v>382</v>
      </c>
      <c r="D41" s="2">
        <v>11</v>
      </c>
    </row>
    <row r="42" spans="1:4" x14ac:dyDescent="0.3">
      <c r="A42" s="2">
        <v>39</v>
      </c>
      <c r="B42" s="2" t="s">
        <v>383</v>
      </c>
      <c r="C42" s="2" t="s">
        <v>384</v>
      </c>
      <c r="D42" s="2">
        <v>3</v>
      </c>
    </row>
    <row r="43" spans="1:4" x14ac:dyDescent="0.3">
      <c r="A43" s="2">
        <v>40</v>
      </c>
      <c r="B43" s="2" t="s">
        <v>385</v>
      </c>
      <c r="C43" s="2" t="s">
        <v>386</v>
      </c>
      <c r="D43" s="2">
        <v>9</v>
      </c>
    </row>
    <row r="44" spans="1:4" x14ac:dyDescent="0.3">
      <c r="A44" s="2">
        <v>41</v>
      </c>
      <c r="B44" s="2" t="s">
        <v>387</v>
      </c>
      <c r="C44" s="2" t="s">
        <v>388</v>
      </c>
      <c r="D44" s="2">
        <v>11</v>
      </c>
    </row>
    <row r="45" spans="1:4" x14ac:dyDescent="0.3">
      <c r="A45" s="2">
        <v>42</v>
      </c>
      <c r="B45" s="2" t="s">
        <v>389</v>
      </c>
      <c r="C45" s="2" t="s">
        <v>390</v>
      </c>
      <c r="D45" s="2">
        <v>5</v>
      </c>
    </row>
    <row r="46" spans="1:4" x14ac:dyDescent="0.3">
      <c r="A46" s="2">
        <v>43</v>
      </c>
      <c r="B46" s="2" t="s">
        <v>391</v>
      </c>
      <c r="C46" s="2" t="s">
        <v>392</v>
      </c>
      <c r="D46" s="2">
        <v>12</v>
      </c>
    </row>
    <row r="47" spans="1:4" x14ac:dyDescent="0.3">
      <c r="A47" s="2">
        <v>44</v>
      </c>
      <c r="B47" s="2" t="s">
        <v>393</v>
      </c>
      <c r="C47" s="2" t="s">
        <v>394</v>
      </c>
      <c r="D47" s="2">
        <v>9</v>
      </c>
    </row>
    <row r="48" spans="1:4" x14ac:dyDescent="0.3">
      <c r="A48" s="2">
        <v>45</v>
      </c>
      <c r="B48" s="2" t="s">
        <v>395</v>
      </c>
      <c r="C48" s="2" t="s">
        <v>396</v>
      </c>
      <c r="D48" s="2">
        <v>5</v>
      </c>
    </row>
    <row r="49" spans="1:4" x14ac:dyDescent="0.3">
      <c r="A49" s="2">
        <v>46</v>
      </c>
      <c r="B49" s="2" t="s">
        <v>397</v>
      </c>
      <c r="C49" s="2" t="s">
        <v>398</v>
      </c>
      <c r="D49" s="2">
        <v>7</v>
      </c>
    </row>
    <row r="50" spans="1:4" x14ac:dyDescent="0.3">
      <c r="A50" s="2">
        <v>47</v>
      </c>
      <c r="B50" s="2" t="s">
        <v>399</v>
      </c>
      <c r="C50" s="2" t="s">
        <v>400</v>
      </c>
      <c r="D50" s="2">
        <v>3</v>
      </c>
    </row>
    <row r="51" spans="1:4" x14ac:dyDescent="0.3">
      <c r="A51" s="2">
        <v>48</v>
      </c>
      <c r="B51" s="2" t="s">
        <v>401</v>
      </c>
      <c r="C51" s="2" t="s">
        <v>402</v>
      </c>
      <c r="D51" s="2">
        <v>2</v>
      </c>
    </row>
    <row r="52" spans="1:4" x14ac:dyDescent="0.3">
      <c r="A52" s="2">
        <v>49</v>
      </c>
      <c r="B52" s="2" t="s">
        <v>403</v>
      </c>
      <c r="C52" s="2" t="s">
        <v>404</v>
      </c>
      <c r="D52" s="2">
        <v>6</v>
      </c>
    </row>
    <row r="53" spans="1:4" x14ac:dyDescent="0.3">
      <c r="A53" s="2">
        <v>50</v>
      </c>
      <c r="B53" s="2" t="s">
        <v>405</v>
      </c>
      <c r="C53" s="2" t="s">
        <v>406</v>
      </c>
      <c r="D53" s="2">
        <v>4</v>
      </c>
    </row>
    <row r="54" spans="1:4" x14ac:dyDescent="0.3">
      <c r="A54" s="2">
        <v>51</v>
      </c>
      <c r="B54" s="2" t="s">
        <v>407</v>
      </c>
      <c r="C54" s="2" t="s">
        <v>408</v>
      </c>
      <c r="D54" s="2">
        <v>6</v>
      </c>
    </row>
    <row r="55" spans="1:4" x14ac:dyDescent="0.3">
      <c r="A55" s="2">
        <v>52</v>
      </c>
      <c r="B55" s="2" t="s">
        <v>409</v>
      </c>
      <c r="C55" s="2" t="s">
        <v>410</v>
      </c>
      <c r="D55" s="2">
        <v>3</v>
      </c>
    </row>
    <row r="56" spans="1:4" x14ac:dyDescent="0.3">
      <c r="A56" s="2">
        <v>53</v>
      </c>
      <c r="B56" s="2" t="s">
        <v>411</v>
      </c>
      <c r="C56" s="2" t="s">
        <v>412</v>
      </c>
      <c r="D56" s="2">
        <v>10</v>
      </c>
    </row>
    <row r="57" spans="1:4" x14ac:dyDescent="0.3">
      <c r="A57" s="2">
        <v>54</v>
      </c>
      <c r="B57" s="2" t="s">
        <v>413</v>
      </c>
      <c r="C57" s="2" t="s">
        <v>414</v>
      </c>
      <c r="D57" s="2">
        <v>7</v>
      </c>
    </row>
    <row r="58" spans="1:4" x14ac:dyDescent="0.3">
      <c r="A58" s="2">
        <v>55</v>
      </c>
      <c r="B58" s="2" t="s">
        <v>415</v>
      </c>
      <c r="C58" s="2" t="s">
        <v>416</v>
      </c>
      <c r="D58" s="2">
        <v>7</v>
      </c>
    </row>
    <row r="59" spans="1:4" x14ac:dyDescent="0.3">
      <c r="A59" s="2">
        <v>56</v>
      </c>
      <c r="B59" s="2" t="s">
        <v>417</v>
      </c>
      <c r="C59" s="2" t="s">
        <v>418</v>
      </c>
      <c r="D59" s="2">
        <v>10</v>
      </c>
    </row>
    <row r="60" spans="1:4" x14ac:dyDescent="0.3">
      <c r="A60" s="2">
        <v>57</v>
      </c>
      <c r="B60" s="2" t="s">
        <v>419</v>
      </c>
      <c r="C60" s="2" t="s">
        <v>420</v>
      </c>
      <c r="D60" s="2">
        <v>7</v>
      </c>
    </row>
    <row r="61" spans="1:4" x14ac:dyDescent="0.3">
      <c r="A61" s="2">
        <v>58</v>
      </c>
      <c r="B61" s="2" t="s">
        <v>421</v>
      </c>
      <c r="C61" s="2" t="s">
        <v>422</v>
      </c>
      <c r="D61" s="2">
        <v>10</v>
      </c>
    </row>
    <row r="62" spans="1:4" x14ac:dyDescent="0.3">
      <c r="A62" s="2">
        <v>59</v>
      </c>
      <c r="B62" s="2" t="s">
        <v>423</v>
      </c>
      <c r="C62" s="2" t="s">
        <v>424</v>
      </c>
      <c r="D62" s="2">
        <v>6</v>
      </c>
    </row>
    <row r="63" spans="1:4" x14ac:dyDescent="0.3">
      <c r="A63" s="2">
        <v>60</v>
      </c>
      <c r="B63" s="2" t="s">
        <v>425</v>
      </c>
      <c r="C63" s="2" t="s">
        <v>426</v>
      </c>
      <c r="D63" s="2">
        <v>5</v>
      </c>
    </row>
    <row r="64" spans="1:4" x14ac:dyDescent="0.3">
      <c r="A64" s="2">
        <v>61</v>
      </c>
      <c r="B64" s="2" t="s">
        <v>427</v>
      </c>
      <c r="C64" s="2" t="s">
        <v>428</v>
      </c>
      <c r="D64" s="2">
        <v>10</v>
      </c>
    </row>
    <row r="65" spans="1:4" x14ac:dyDescent="0.3">
      <c r="A65" s="2">
        <v>62</v>
      </c>
      <c r="B65" s="2" t="s">
        <v>429</v>
      </c>
      <c r="C65" s="2" t="s">
        <v>430</v>
      </c>
      <c r="D65" s="2">
        <v>2</v>
      </c>
    </row>
    <row r="66" spans="1:4" x14ac:dyDescent="0.3">
      <c r="A66" s="2">
        <v>63</v>
      </c>
      <c r="B66" s="2" t="s">
        <v>431</v>
      </c>
      <c r="C66" s="2" t="s">
        <v>432</v>
      </c>
      <c r="D66" s="2">
        <v>1</v>
      </c>
    </row>
    <row r="67" spans="1:4" x14ac:dyDescent="0.3">
      <c r="A67" s="2">
        <v>64</v>
      </c>
      <c r="B67" s="2" t="s">
        <v>433</v>
      </c>
      <c r="C67" s="2" t="s">
        <v>434</v>
      </c>
      <c r="D67" s="2">
        <v>5</v>
      </c>
    </row>
    <row r="68" spans="1:4" x14ac:dyDescent="0.3">
      <c r="A68" s="2">
        <v>65</v>
      </c>
      <c r="B68" s="2" t="s">
        <v>435</v>
      </c>
      <c r="C68" s="2" t="s">
        <v>436</v>
      </c>
      <c r="D68" s="2">
        <v>6</v>
      </c>
    </row>
    <row r="69" spans="1:4" x14ac:dyDescent="0.3">
      <c r="A69" s="2">
        <v>66</v>
      </c>
      <c r="B69" s="2" t="s">
        <v>437</v>
      </c>
      <c r="C69" s="2" t="s">
        <v>438</v>
      </c>
      <c r="D69" s="2">
        <v>9</v>
      </c>
    </row>
    <row r="70" spans="1:4" x14ac:dyDescent="0.3">
      <c r="A70" s="2">
        <v>67</v>
      </c>
      <c r="B70" s="2" t="s">
        <v>439</v>
      </c>
      <c r="C70" s="2" t="s">
        <v>440</v>
      </c>
      <c r="D70" s="2">
        <v>4</v>
      </c>
    </row>
    <row r="71" spans="1:4" x14ac:dyDescent="0.3">
      <c r="A71" s="2">
        <v>68</v>
      </c>
      <c r="B71" s="2" t="s">
        <v>441</v>
      </c>
      <c r="C71" s="2" t="s">
        <v>442</v>
      </c>
      <c r="D71" s="2">
        <v>8</v>
      </c>
    </row>
    <row r="72" spans="1:4" x14ac:dyDescent="0.3">
      <c r="A72" s="2">
        <v>69</v>
      </c>
      <c r="B72" s="2" t="s">
        <v>443</v>
      </c>
      <c r="C72" s="2" t="s">
        <v>444</v>
      </c>
      <c r="D72" s="2">
        <v>1</v>
      </c>
    </row>
    <row r="73" spans="1:4" x14ac:dyDescent="0.3">
      <c r="A73" s="2">
        <v>70</v>
      </c>
      <c r="B73" s="2" t="s">
        <v>445</v>
      </c>
      <c r="C73" s="2" t="s">
        <v>446</v>
      </c>
      <c r="D73" s="2">
        <v>3</v>
      </c>
    </row>
    <row r="74" spans="1:4" x14ac:dyDescent="0.3">
      <c r="A74" s="2">
        <v>71</v>
      </c>
      <c r="B74" s="2" t="s">
        <v>447</v>
      </c>
      <c r="C74" s="2" t="s">
        <v>448</v>
      </c>
      <c r="D74" s="2">
        <v>9</v>
      </c>
    </row>
    <row r="75" spans="1:4" x14ac:dyDescent="0.3">
      <c r="A75" s="2">
        <v>72</v>
      </c>
      <c r="B75" s="2" t="s">
        <v>449</v>
      </c>
      <c r="C75" s="2" t="s">
        <v>450</v>
      </c>
      <c r="D75" s="2">
        <v>2</v>
      </c>
    </row>
    <row r="76" spans="1:4" x14ac:dyDescent="0.3">
      <c r="A76" s="2">
        <v>73</v>
      </c>
      <c r="B76" s="2" t="s">
        <v>451</v>
      </c>
      <c r="C76" s="2" t="s">
        <v>452</v>
      </c>
      <c r="D76" s="2">
        <v>9</v>
      </c>
    </row>
    <row r="77" spans="1:4" x14ac:dyDescent="0.3">
      <c r="A77" s="2">
        <v>74</v>
      </c>
      <c r="B77" s="2" t="s">
        <v>453</v>
      </c>
      <c r="C77" s="2" t="s">
        <v>454</v>
      </c>
      <c r="D77" s="2">
        <v>2</v>
      </c>
    </row>
    <row r="78" spans="1:4" x14ac:dyDescent="0.3">
      <c r="A78" s="2">
        <v>75</v>
      </c>
      <c r="B78" s="2" t="s">
        <v>455</v>
      </c>
      <c r="C78" s="2" t="s">
        <v>456</v>
      </c>
      <c r="D78" s="2">
        <v>7</v>
      </c>
    </row>
    <row r="79" spans="1:4" x14ac:dyDescent="0.3">
      <c r="A79" s="2">
        <v>76</v>
      </c>
      <c r="B79" s="2" t="s">
        <v>457</v>
      </c>
      <c r="C79" s="2" t="s">
        <v>458</v>
      </c>
      <c r="D79" s="2">
        <v>4</v>
      </c>
    </row>
    <row r="80" spans="1:4" x14ac:dyDescent="0.3">
      <c r="A80" s="2">
        <v>77</v>
      </c>
      <c r="B80" s="2" t="s">
        <v>459</v>
      </c>
      <c r="C80" s="2" t="s">
        <v>460</v>
      </c>
      <c r="D80" s="2">
        <v>4</v>
      </c>
    </row>
    <row r="81" spans="1:4" x14ac:dyDescent="0.3">
      <c r="A81" s="2">
        <v>78</v>
      </c>
      <c r="B81" s="2" t="s">
        <v>461</v>
      </c>
      <c r="C81" s="2" t="s">
        <v>462</v>
      </c>
      <c r="D81" s="2">
        <v>4</v>
      </c>
    </row>
    <row r="82" spans="1:4" x14ac:dyDescent="0.3">
      <c r="A82" s="2">
        <v>79</v>
      </c>
      <c r="B82" s="2" t="s">
        <v>463</v>
      </c>
      <c r="C82" s="2" t="s">
        <v>464</v>
      </c>
      <c r="D82" s="2">
        <v>11</v>
      </c>
    </row>
    <row r="83" spans="1:4" x14ac:dyDescent="0.3">
      <c r="A83" s="2">
        <v>80</v>
      </c>
      <c r="B83" s="2" t="s">
        <v>465</v>
      </c>
      <c r="C83" s="2" t="s">
        <v>466</v>
      </c>
      <c r="D83" s="2">
        <v>6</v>
      </c>
    </row>
    <row r="84" spans="1:4" x14ac:dyDescent="0.3">
      <c r="A84" s="2">
        <v>81</v>
      </c>
      <c r="B84" s="2" t="s">
        <v>467</v>
      </c>
      <c r="C84" s="2" t="s">
        <v>468</v>
      </c>
      <c r="D84" s="2">
        <v>1</v>
      </c>
    </row>
    <row r="85" spans="1:4" x14ac:dyDescent="0.3">
      <c r="A85" s="2">
        <v>82</v>
      </c>
      <c r="B85" s="2" t="s">
        <v>469</v>
      </c>
      <c r="C85" s="2" t="s">
        <v>470</v>
      </c>
      <c r="D85" s="2">
        <v>10</v>
      </c>
    </row>
    <row r="86" spans="1:4" x14ac:dyDescent="0.3">
      <c r="A86" s="2">
        <v>83</v>
      </c>
      <c r="B86" s="2" t="s">
        <v>471</v>
      </c>
      <c r="C86" s="2" t="s">
        <v>472</v>
      </c>
      <c r="D86" s="2">
        <v>8</v>
      </c>
    </row>
    <row r="87" spans="1:4" x14ac:dyDescent="0.3">
      <c r="A87" s="2">
        <v>84</v>
      </c>
      <c r="B87" s="2" t="s">
        <v>473</v>
      </c>
      <c r="C87" s="2" t="s">
        <v>474</v>
      </c>
      <c r="D87" s="2">
        <v>10</v>
      </c>
    </row>
    <row r="88" spans="1:4" x14ac:dyDescent="0.3">
      <c r="A88" s="2">
        <v>85</v>
      </c>
      <c r="B88" s="2" t="s">
        <v>475</v>
      </c>
      <c r="C88" s="2" t="s">
        <v>476</v>
      </c>
      <c r="D88" s="2">
        <v>3</v>
      </c>
    </row>
    <row r="89" spans="1:4" x14ac:dyDescent="0.3">
      <c r="A89" s="2">
        <v>86</v>
      </c>
      <c r="B89" s="2" t="s">
        <v>477</v>
      </c>
      <c r="C89" s="2" t="s">
        <v>478</v>
      </c>
      <c r="D89" s="2">
        <v>2</v>
      </c>
    </row>
    <row r="90" spans="1:4" x14ac:dyDescent="0.3">
      <c r="A90" s="2">
        <v>87</v>
      </c>
      <c r="B90" s="2" t="s">
        <v>479</v>
      </c>
      <c r="C90" s="2" t="s">
        <v>480</v>
      </c>
      <c r="D90" s="2">
        <v>2</v>
      </c>
    </row>
    <row r="91" spans="1:4" x14ac:dyDescent="0.3">
      <c r="A91" s="2">
        <v>88</v>
      </c>
      <c r="B91" s="2" t="s">
        <v>481</v>
      </c>
      <c r="C91" s="2" t="str">
        <f>"WYA"</f>
        <v>WYA</v>
      </c>
      <c r="D91" s="2">
        <v>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40d2ef-4429-4827-9752-23a82135bf9c">
      <Terms xmlns="http://schemas.microsoft.com/office/infopath/2007/PartnerControls"/>
    </lcf76f155ced4ddcb4097134ff3c332f>
    <TaxCatchAll xmlns="25464855-ae33-46fa-a729-380bb47807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74AE9183D4A846AD8E654ACC60EAA7" ma:contentTypeVersion="13" ma:contentTypeDescription="Create a new document." ma:contentTypeScope="" ma:versionID="4878941b6858a748c788c9caf310b59e">
  <xsd:schema xmlns:xsd="http://www.w3.org/2001/XMLSchema" xmlns:xs="http://www.w3.org/2001/XMLSchema" xmlns:p="http://schemas.microsoft.com/office/2006/metadata/properties" xmlns:ns2="3740d2ef-4429-4827-9752-23a82135bf9c" xmlns:ns3="25464855-ae33-46fa-a729-380bb478079b" targetNamespace="http://schemas.microsoft.com/office/2006/metadata/properties" ma:root="true" ma:fieldsID="5fb027493fbf4b80808bb47769815c65" ns2:_="" ns3:_="">
    <xsd:import namespace="3740d2ef-4429-4827-9752-23a82135bf9c"/>
    <xsd:import namespace="25464855-ae33-46fa-a729-380bb478079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0d2ef-4429-4827-9752-23a82135b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464855-ae33-46fa-a729-380bb478079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13f5161-e049-48f3-b337-81032543f7b9}" ma:internalName="TaxCatchAll" ma:showField="CatchAllData" ma:web="25464855-ae33-46fa-a729-380bb47807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686721-BA36-4918-903D-2B07D154216F}">
  <ds:schemaRefs>
    <ds:schemaRef ds:uri="http://schemas.microsoft.com/office/2006/metadata/properties"/>
    <ds:schemaRef ds:uri="http://schemas.microsoft.com/office/infopath/2007/PartnerControls"/>
    <ds:schemaRef ds:uri="3740d2ef-4429-4827-9752-23a82135bf9c"/>
    <ds:schemaRef ds:uri="25464855-ae33-46fa-a729-380bb478079b"/>
  </ds:schemaRefs>
</ds:datastoreItem>
</file>

<file path=customXml/itemProps2.xml><?xml version="1.0" encoding="utf-8"?>
<ds:datastoreItem xmlns:ds="http://schemas.openxmlformats.org/officeDocument/2006/customXml" ds:itemID="{EA462AC1-37A1-4979-89E0-FD179A4944AC}">
  <ds:schemaRefs>
    <ds:schemaRef ds:uri="http://schemas.microsoft.com/sharepoint/v3/contenttype/forms"/>
  </ds:schemaRefs>
</ds:datastoreItem>
</file>

<file path=customXml/itemProps3.xml><?xml version="1.0" encoding="utf-8"?>
<ds:datastoreItem xmlns:ds="http://schemas.openxmlformats.org/officeDocument/2006/customXml" ds:itemID="{479981BC-F71B-48D7-AA26-6BD15B5CD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0d2ef-4429-4827-9752-23a82135bf9c"/>
    <ds:schemaRef ds:uri="25464855-ae33-46fa-a729-380bb4780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BR-100</vt:lpstr>
      <vt:lpstr>AWS Coding Input</vt:lpstr>
      <vt:lpstr>SNBI Transition Form</vt:lpstr>
      <vt:lpstr>Calcs &amp; Signs</vt:lpstr>
      <vt:lpstr>BrR_Results</vt:lpstr>
      <vt:lpstr>List</vt:lpstr>
      <vt:lpstr>BlankSign</vt:lpstr>
      <vt:lpstr>ClosureSign</vt:lpstr>
      <vt:lpstr>Design</vt:lpstr>
      <vt:lpstr>DesignRF</vt:lpstr>
      <vt:lpstr>Disabled</vt:lpstr>
      <vt:lpstr>EVSign</vt:lpstr>
      <vt:lpstr>LegalSign</vt:lpstr>
      <vt:lpstr>Manual</vt:lpstr>
      <vt:lpstr>Method</vt:lpstr>
      <vt:lpstr>OpenPostedClosed</vt:lpstr>
      <vt:lpstr>permitloadratingmethod</vt:lpstr>
      <vt:lpstr>'AWS Coding Input'!Print_Area</vt:lpstr>
      <vt:lpstr>'BR-100'!Print_Area</vt:lpstr>
      <vt:lpstr>'SNBI Transition Form'!Print_Area</vt:lpstr>
      <vt:lpstr>Purpose</vt:lpstr>
      <vt:lpstr>RPL</vt:lpstr>
      <vt:lpstr>RPLmethod</vt:lpstr>
      <vt:lpstr>Software</vt:lpstr>
      <vt:lpstr>Source</vt:lpstr>
    </vt:vector>
  </TitlesOfParts>
  <Manager/>
  <Company>Ohio Dept.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Fisher</dc:creator>
  <cp:keywords/>
  <dc:description/>
  <cp:lastModifiedBy>Rotar, Matt</cp:lastModifiedBy>
  <cp:revision/>
  <cp:lastPrinted>2024-03-08T01:07:09Z</cp:lastPrinted>
  <dcterms:created xsi:type="dcterms:W3CDTF">2015-02-24T16:25:39Z</dcterms:created>
  <dcterms:modified xsi:type="dcterms:W3CDTF">2024-03-08T01:11:37Z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0x0101007274AE9183D4A846AD8E654ACC60EAA7</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y fmtid="{D5CDD505-2E9C-101B-9397-08002B2CF9AE}" pid="37" name="MediaServiceImageTags">
    <vt:lpwstr/>
  </property>
</Properties>
</file>