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msconsultants.com\files\Production\01\60\08380-01\Task-12-14-PID117872 CUY-480-1787LR Bridge Repair\117872\400-Engineering\Structures\SFN_1813102\EngData\Quantities\"/>
    </mc:Choice>
  </mc:AlternateContent>
  <xr:revisionPtr revIDLastSave="0" documentId="13_ncr:1_{CCDBC5E3-51EE-4DDD-A044-C8DB65DC3F9F}" xr6:coauthVersionLast="47" xr6:coauthVersionMax="47" xr10:uidLastSave="{00000000-0000-0000-0000-000000000000}"/>
  <bookViews>
    <workbookView xWindow="28680" yWindow="-120" windowWidth="29040" windowHeight="15840" tabRatio="846" xr2:uid="{00000000-000D-0000-FFFF-FFFF00000000}"/>
  </bookViews>
  <sheets>
    <sheet name="DGN Clip" sheetId="1" r:id="rId1"/>
    <sheet name="202E11201" sheetId="19" r:id="rId2"/>
    <sheet name="509E10001" sheetId="4" r:id="rId3"/>
    <sheet name="509E20000" sheetId="5" r:id="rId4"/>
    <sheet name="509E30020" sheetId="24" r:id="rId5"/>
    <sheet name="510E10000" sheetId="8" r:id="rId6"/>
    <sheet name="511E34448" sheetId="16" r:id="rId7"/>
    <sheet name="512E10100" sheetId="9" r:id="rId8"/>
    <sheet name="512E10600" sheetId="14" r:id="rId9"/>
    <sheet name="512E74000" sheetId="18" r:id="rId10"/>
    <sheet name="513E10201" sheetId="21" r:id="rId11"/>
    <sheet name="513E20000" sheetId="22" r:id="rId12"/>
    <sheet name="516E13200" sheetId="28" r:id="rId13"/>
    <sheet name="516E46700" sheetId="20" r:id="rId14"/>
    <sheet name="516E47001" sheetId="15" r:id="rId15"/>
    <sheet name="519E11101" sheetId="12" r:id="rId16"/>
    <sheet name="519E12300" sheetId="13" r:id="rId17"/>
    <sheet name="606E15050" sheetId="27" r:id="rId18"/>
    <sheet name="606E35002" sheetId="25" r:id="rId19"/>
    <sheet name="606E35102" sheetId="26" r:id="rId20"/>
    <sheet name="Sheet2" sheetId="29" r:id="rId21"/>
    <sheet name="516E13900" sheetId="23" r:id="rId22"/>
    <sheet name="VOID_Calc" sheetId="2" state="hidden" r:id="rId23"/>
  </sheets>
  <externalReferences>
    <externalReference r:id="rId24"/>
    <externalReference r:id="rId25"/>
    <externalReference r:id="rId26"/>
  </externalReferences>
  <definedNames>
    <definedName name="_xlnm.Print_Area" localSheetId="1">'202E11201'!$A$1:$L$39</definedName>
    <definedName name="_xlnm.Print_Area" localSheetId="2">'509E10001'!$A$1:$L$40</definedName>
    <definedName name="_xlnm.Print_Area" localSheetId="3">'509E20000'!$A$1:$L$38</definedName>
    <definedName name="_xlnm.Print_Area" localSheetId="4">'509E30020'!$A$1:$L$40</definedName>
    <definedName name="_xlnm.Print_Area" localSheetId="5">'510E10000'!$A$1:$L$38</definedName>
    <definedName name="_xlnm.Print_Area" localSheetId="6">'511E34448'!$A$1:$L$38</definedName>
    <definedName name="_xlnm.Print_Area" localSheetId="7">'512E10100'!$A$1:$L$38</definedName>
    <definedName name="_xlnm.Print_Area" localSheetId="8">'512E10600'!$A$1:$L$38</definedName>
    <definedName name="_xlnm.Print_Area" localSheetId="9">'512E74000'!$A$1:$L$38</definedName>
    <definedName name="_xlnm.Print_Area" localSheetId="10">'513E10201'!$A$1:$L$39</definedName>
    <definedName name="_xlnm.Print_Area" localSheetId="11">'513E20000'!$A$1:$L$38</definedName>
    <definedName name="_xlnm.Print_Area" localSheetId="12">'516E13200'!$A$1:$L$38</definedName>
    <definedName name="_xlnm.Print_Area" localSheetId="21">'516E13900'!$A$1:$L$38</definedName>
    <definedName name="_xlnm.Print_Area" localSheetId="13">'516E46700'!$A$1:$L$38</definedName>
    <definedName name="_xlnm.Print_Area" localSheetId="14">'516E47001'!$A$1:$L$38</definedName>
    <definedName name="_xlnm.Print_Area" localSheetId="15">'519E11101'!$A$1:$L$40</definedName>
    <definedName name="_xlnm.Print_Area" localSheetId="16">'519E12300'!$A$1:$L$38</definedName>
    <definedName name="_xlnm.Print_Area" localSheetId="17">'606E15050'!$A$1:$L$38</definedName>
    <definedName name="_xlnm.Print_Area" localSheetId="18">'606E35002'!$A$1:$L$38</definedName>
    <definedName name="_xlnm.Print_Area" localSheetId="19">'606E35102'!$A$1:$L$38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5" i="19" l="1"/>
  <c r="AQ32" i="19"/>
  <c r="AQ33" i="19" s="1"/>
  <c r="AQ12" i="19"/>
  <c r="AQ28" i="19"/>
  <c r="AQ29" i="19" s="1"/>
  <c r="AQ24" i="19"/>
  <c r="AQ25" i="19" s="1"/>
  <c r="AQ21" i="19"/>
  <c r="AQ20" i="19"/>
  <c r="AQ16" i="19"/>
  <c r="AQ17" i="19"/>
  <c r="AQ15" i="19"/>
  <c r="AQ9" i="19"/>
  <c r="H15" i="16"/>
  <c r="G11" i="4"/>
  <c r="E25" i="1" l="1"/>
  <c r="C25" i="1"/>
  <c r="B25" i="1"/>
  <c r="F12" i="28"/>
  <c r="I4" i="28"/>
  <c r="F4" i="28"/>
  <c r="C4" i="28"/>
  <c r="G2" i="28"/>
  <c r="E2" i="28"/>
  <c r="H12" i="28" l="1"/>
  <c r="J25" i="1" l="1"/>
  <c r="H23" i="28"/>
  <c r="H26" i="28" s="1"/>
  <c r="K26" i="28" s="1"/>
  <c r="K38" i="28" s="1"/>
  <c r="L38" i="28" s="1"/>
  <c r="F12" i="13"/>
  <c r="H12" i="8" l="1"/>
  <c r="G11" i="24" l="1"/>
  <c r="H16" i="16" l="1"/>
  <c r="G15" i="16"/>
  <c r="H23" i="20" l="1"/>
  <c r="G12" i="9" l="1"/>
  <c r="H12" i="9" s="1"/>
  <c r="G11" i="9"/>
  <c r="H11" i="9" s="1"/>
  <c r="H25" i="9" s="1"/>
  <c r="V12" i="16" l="1"/>
  <c r="G17" i="16"/>
  <c r="H17" i="16" s="1"/>
  <c r="G14" i="16"/>
  <c r="H14" i="16" s="1"/>
  <c r="Z9" i="16"/>
  <c r="V10" i="16"/>
  <c r="V9" i="16"/>
  <c r="H11" i="16"/>
  <c r="H14" i="8"/>
  <c r="H13" i="8"/>
  <c r="H11" i="8"/>
  <c r="H15" i="8"/>
  <c r="H19" i="8" l="1"/>
  <c r="H19" i="27" l="1"/>
  <c r="I4" i="27"/>
  <c r="F4" i="27"/>
  <c r="C4" i="27"/>
  <c r="H21" i="27" l="1"/>
  <c r="K21" i="27" s="1"/>
  <c r="K38" i="27" s="1"/>
  <c r="L38" i="27" s="1"/>
  <c r="J32" i="1"/>
  <c r="D32" i="1" s="1"/>
  <c r="T14" i="9"/>
  <c r="R10" i="9"/>
  <c r="Q10" i="9"/>
  <c r="S10" i="9" s="1"/>
  <c r="T10" i="9"/>
  <c r="U10" i="9" l="1"/>
  <c r="W10" i="9" s="1"/>
  <c r="X10" i="9" s="1"/>
  <c r="AA10" i="9"/>
  <c r="E34" i="1"/>
  <c r="C34" i="1"/>
  <c r="B34" i="1"/>
  <c r="H19" i="26"/>
  <c r="H21" i="26" s="1"/>
  <c r="K21" i="26" s="1"/>
  <c r="K38" i="26" s="1"/>
  <c r="L38" i="26" s="1"/>
  <c r="I4" i="26"/>
  <c r="F4" i="26"/>
  <c r="C4" i="26"/>
  <c r="C33" i="1"/>
  <c r="B33" i="1"/>
  <c r="E33" i="1"/>
  <c r="H19" i="25"/>
  <c r="H21" i="25" s="1"/>
  <c r="K21" i="25" s="1"/>
  <c r="K38" i="25" s="1"/>
  <c r="L38" i="25" s="1"/>
  <c r="I4" i="25"/>
  <c r="F4" i="25"/>
  <c r="C4" i="25"/>
  <c r="J33" i="1" l="1"/>
  <c r="D33" i="1" s="1"/>
  <c r="J34" i="1"/>
  <c r="D34" i="1" s="1"/>
  <c r="G12" i="13"/>
  <c r="H19" i="13" s="1"/>
  <c r="H21" i="13" s="1"/>
  <c r="I30" i="1" s="1"/>
  <c r="W10" i="19" l="1"/>
  <c r="W9" i="19"/>
  <c r="W11" i="19" l="1"/>
  <c r="G12" i="4"/>
  <c r="G25" i="4" s="1"/>
  <c r="E12" i="1" l="1"/>
  <c r="C12" i="1"/>
  <c r="B12" i="1"/>
  <c r="G25" i="24"/>
  <c r="G2" i="24"/>
  <c r="E2" i="24"/>
  <c r="G1" i="24"/>
  <c r="E1" i="24"/>
  <c r="G27" i="24" l="1"/>
  <c r="K27" i="24" s="1"/>
  <c r="K40" i="24" s="1"/>
  <c r="I12" i="1"/>
  <c r="D12" i="1" s="1"/>
  <c r="F16" i="21" l="1"/>
  <c r="F18" i="9" l="1"/>
  <c r="G18" i="9" s="1"/>
  <c r="H18" i="9" s="1"/>
  <c r="F17" i="9"/>
  <c r="G17" i="9"/>
  <c r="H17" i="9" s="1"/>
  <c r="H23" i="9" s="1"/>
  <c r="V39" i="9"/>
  <c r="W39" i="9" s="1"/>
  <c r="V38" i="9"/>
  <c r="W38" i="9" s="1"/>
  <c r="Q25" i="9" s="1"/>
  <c r="V37" i="9"/>
  <c r="W37" i="9" s="1"/>
  <c r="V36" i="9"/>
  <c r="S36" i="9"/>
  <c r="V41" i="9"/>
  <c r="W41" i="9" s="1"/>
  <c r="V40" i="9"/>
  <c r="W40" i="9" s="1"/>
  <c r="Q26" i="9" s="1"/>
  <c r="T26" i="9" s="1"/>
  <c r="U26" i="9" s="1"/>
  <c r="X26" i="9" s="1"/>
  <c r="V35" i="9"/>
  <c r="W35" i="9" s="1"/>
  <c r="V34" i="9"/>
  <c r="W34" i="9" s="1"/>
  <c r="Q23" i="9" s="1"/>
  <c r="T23" i="9" s="1"/>
  <c r="U23" i="9" s="1"/>
  <c r="X23" i="9" s="1"/>
  <c r="T18" i="9"/>
  <c r="U18" i="9" s="1"/>
  <c r="X18" i="9" s="1"/>
  <c r="U14" i="9"/>
  <c r="X14" i="9" s="1"/>
  <c r="W36" i="9" l="1"/>
  <c r="Q24" i="9" s="1"/>
  <c r="X28" i="9"/>
  <c r="G18" i="1"/>
  <c r="F13" i="18"/>
  <c r="I18" i="1"/>
  <c r="F11" i="18"/>
  <c r="G11" i="18" s="1"/>
  <c r="G16" i="18" s="1"/>
  <c r="G20" i="1" s="1"/>
  <c r="T25" i="9"/>
  <c r="U25" i="9" s="1"/>
  <c r="X25" i="9" s="1"/>
  <c r="T24" i="9"/>
  <c r="U24" i="9" s="1"/>
  <c r="X24" i="9" s="1"/>
  <c r="X29" i="9" s="1"/>
  <c r="X30" i="9" s="1"/>
  <c r="G13" i="18" l="1"/>
  <c r="G18" i="18" s="1"/>
  <c r="I20" i="1" s="1"/>
  <c r="H19" i="9"/>
  <c r="H24" i="9" s="1"/>
  <c r="H26" i="9" s="1"/>
  <c r="H18" i="1" l="1"/>
  <c r="F12" i="18"/>
  <c r="G12" i="18" s="1"/>
  <c r="G17" i="18" s="1"/>
  <c r="H19" i="21"/>
  <c r="F18" i="21"/>
  <c r="H20" i="1" l="1"/>
  <c r="G20" i="18"/>
  <c r="K21" i="18" s="1"/>
  <c r="D12" i="23"/>
  <c r="I4" i="23"/>
  <c r="F4" i="23"/>
  <c r="C4" i="23"/>
  <c r="G2" i="23"/>
  <c r="E2" i="23"/>
  <c r="G2" i="12"/>
  <c r="G1" i="12"/>
  <c r="E2" i="12"/>
  <c r="E1" i="12"/>
  <c r="G1" i="20"/>
  <c r="G2" i="20"/>
  <c r="E2" i="20"/>
  <c r="G2" i="21"/>
  <c r="E2" i="21"/>
  <c r="G2" i="22"/>
  <c r="G1" i="22"/>
  <c r="I2" i="4"/>
  <c r="G2" i="4"/>
  <c r="G1" i="4"/>
  <c r="E2" i="4"/>
  <c r="E1" i="4"/>
  <c r="E2" i="22"/>
  <c r="E2" i="27" l="1"/>
  <c r="E2" i="25"/>
  <c r="E2" i="26"/>
  <c r="E1" i="27"/>
  <c r="E1" i="26"/>
  <c r="E1" i="25"/>
  <c r="F12" i="23"/>
  <c r="H13" i="14"/>
  <c r="H12" i="14"/>
  <c r="I13" i="12"/>
  <c r="H13" i="12"/>
  <c r="H10" i="14"/>
  <c r="H23" i="23" l="1"/>
  <c r="H26" i="23" s="1"/>
  <c r="K26" i="23" s="1"/>
  <c r="K38" i="23" s="1"/>
  <c r="L38" i="23" s="1"/>
  <c r="H12" i="23"/>
  <c r="D25" i="1"/>
  <c r="I16" i="12"/>
  <c r="I19" i="12"/>
  <c r="I18" i="12"/>
  <c r="I23" i="12" s="1"/>
  <c r="I15" i="12"/>
  <c r="F4" i="8" l="1"/>
  <c r="I11" i="1" l="1"/>
  <c r="D11" i="1" s="1"/>
  <c r="D30" i="1" l="1"/>
  <c r="I29" i="1"/>
  <c r="D18" i="1"/>
  <c r="I14" i="1"/>
  <c r="D14" i="1" s="1"/>
  <c r="H20" i="8" l="1"/>
  <c r="G27" i="4" l="1"/>
  <c r="E23" i="1"/>
  <c r="C23" i="1"/>
  <c r="B23" i="1"/>
  <c r="H16" i="22"/>
  <c r="H19" i="22"/>
  <c r="H18" i="22"/>
  <c r="H17" i="22"/>
  <c r="I4" i="22"/>
  <c r="F4" i="22"/>
  <c r="C4" i="22"/>
  <c r="H18" i="21"/>
  <c r="H17" i="21"/>
  <c r="H16" i="21"/>
  <c r="H21" i="22" l="1"/>
  <c r="K21" i="22" s="1"/>
  <c r="K38" i="22" s="1"/>
  <c r="L38" i="22" s="1"/>
  <c r="H21" i="21"/>
  <c r="H22" i="21" s="1"/>
  <c r="J23" i="1" l="1"/>
  <c r="D23" i="1" s="1"/>
  <c r="F22" i="1"/>
  <c r="E22" i="1"/>
  <c r="C22" i="1"/>
  <c r="B22" i="1"/>
  <c r="B20" i="1"/>
  <c r="C20" i="1"/>
  <c r="K22" i="21"/>
  <c r="K39" i="21" s="1"/>
  <c r="I4" i="21"/>
  <c r="F4" i="21"/>
  <c r="C4" i="21"/>
  <c r="L39" i="21" l="1"/>
  <c r="J22" i="1"/>
  <c r="D22" i="1" s="1"/>
  <c r="H16" i="14" l="1"/>
  <c r="H20" i="14" s="1"/>
  <c r="H15" i="14"/>
  <c r="H18" i="14" s="1"/>
  <c r="G19" i="1" s="1"/>
  <c r="H14" i="14"/>
  <c r="H11" i="14"/>
  <c r="H19" i="14" l="1"/>
  <c r="H22" i="14" l="1"/>
  <c r="H19" i="1"/>
  <c r="D19" i="1" s="1"/>
  <c r="H10" i="12"/>
  <c r="I10" i="12" s="1"/>
  <c r="G26" i="1"/>
  <c r="H26" i="20" l="1"/>
  <c r="K26" i="20" s="1"/>
  <c r="K38" i="20" s="1"/>
  <c r="L38" i="20" s="1"/>
  <c r="D26" i="1"/>
  <c r="C26" i="1"/>
  <c r="B26" i="1"/>
  <c r="E26" i="1"/>
  <c r="I4" i="20"/>
  <c r="F4" i="20"/>
  <c r="C4" i="20"/>
  <c r="F8" i="1" l="1"/>
  <c r="E8" i="1" l="1"/>
  <c r="D8" i="1"/>
  <c r="C8" i="1"/>
  <c r="C10" i="1"/>
  <c r="B8" i="1"/>
  <c r="B10" i="1"/>
  <c r="I4" i="18" l="1"/>
  <c r="F4" i="18"/>
  <c r="C4" i="18"/>
  <c r="G2" i="18"/>
  <c r="E2" i="18"/>
  <c r="G1" i="18"/>
  <c r="E1" i="18"/>
  <c r="K38" i="18" l="1"/>
  <c r="L38" i="18" s="1"/>
  <c r="D20" i="1"/>
  <c r="F16" i="1"/>
  <c r="B27" i="1" l="1"/>
  <c r="B30" i="1"/>
  <c r="F30" i="1"/>
  <c r="E30" i="1"/>
  <c r="C30" i="1"/>
  <c r="F29" i="1"/>
  <c r="E29" i="1"/>
  <c r="C29" i="1"/>
  <c r="B29" i="1"/>
  <c r="C27" i="1"/>
  <c r="D27" i="1"/>
  <c r="E27" i="1"/>
  <c r="F27" i="1"/>
  <c r="H17" i="12"/>
  <c r="I17" i="12" s="1"/>
  <c r="H14" i="12"/>
  <c r="I14" i="12" s="1"/>
  <c r="H12" i="12"/>
  <c r="I12" i="12" s="1"/>
  <c r="H11" i="12"/>
  <c r="I11" i="12" s="1"/>
  <c r="I21" i="12" l="1"/>
  <c r="G29" i="1" s="1"/>
  <c r="I24" i="12"/>
  <c r="K24" i="12" s="1"/>
  <c r="I22" i="12"/>
  <c r="H29" i="1" s="1"/>
  <c r="E19" i="1"/>
  <c r="E16" i="1"/>
  <c r="C16" i="1"/>
  <c r="B16" i="1"/>
  <c r="H10" i="16"/>
  <c r="H21" i="16" s="1"/>
  <c r="H26" i="16" s="1"/>
  <c r="I16" i="1" s="1"/>
  <c r="D16" i="1" s="1"/>
  <c r="I4" i="16"/>
  <c r="F4" i="16"/>
  <c r="C4" i="16"/>
  <c r="G2" i="16"/>
  <c r="E2" i="16"/>
  <c r="G1" i="16"/>
  <c r="E1" i="16"/>
  <c r="F19" i="1"/>
  <c r="C19" i="1"/>
  <c r="B19" i="1"/>
  <c r="F18" i="1"/>
  <c r="F14" i="1"/>
  <c r="E18" i="1"/>
  <c r="C18" i="1"/>
  <c r="B18" i="1"/>
  <c r="C14" i="1"/>
  <c r="B14" i="1"/>
  <c r="E14" i="1"/>
  <c r="K38" i="5"/>
  <c r="K26" i="16" l="1"/>
  <c r="K38" i="16" s="1"/>
  <c r="L38" i="16" s="1"/>
  <c r="D29" i="1"/>
  <c r="I10" i="1"/>
  <c r="D10" i="1" s="1"/>
  <c r="K27" i="4"/>
  <c r="K21" i="15"/>
  <c r="L38" i="15" s="1"/>
  <c r="I4" i="15"/>
  <c r="F4" i="15"/>
  <c r="C4" i="15"/>
  <c r="G2" i="15"/>
  <c r="E2" i="15"/>
  <c r="G1" i="15"/>
  <c r="E1" i="15"/>
  <c r="I2" i="5"/>
  <c r="K22" i="14"/>
  <c r="K38" i="14" s="1"/>
  <c r="I4" i="14"/>
  <c r="F4" i="14"/>
  <c r="C4" i="14"/>
  <c r="G2" i="14"/>
  <c r="E2" i="14"/>
  <c r="G1" i="14"/>
  <c r="E1" i="14"/>
  <c r="K21" i="13"/>
  <c r="K38" i="13" s="1"/>
  <c r="I4" i="13"/>
  <c r="F4" i="13"/>
  <c r="C4" i="13"/>
  <c r="G2" i="13"/>
  <c r="E2" i="13"/>
  <c r="G1" i="13"/>
  <c r="E1" i="13"/>
  <c r="K40" i="12"/>
  <c r="I4" i="12"/>
  <c r="F4" i="12"/>
  <c r="C4" i="12"/>
  <c r="I4" i="9"/>
  <c r="C4" i="9"/>
  <c r="G2" i="9"/>
  <c r="G1" i="9"/>
  <c r="E2" i="9"/>
  <c r="E1" i="9"/>
  <c r="I4" i="8"/>
  <c r="C4" i="8"/>
  <c r="G2" i="8"/>
  <c r="G1" i="8"/>
  <c r="E2" i="8"/>
  <c r="E1" i="8"/>
  <c r="I4" i="5"/>
  <c r="F4" i="5"/>
  <c r="C4" i="5"/>
  <c r="E2" i="5"/>
  <c r="G2" i="5"/>
  <c r="G1" i="5"/>
  <c r="E1" i="5"/>
  <c r="I2" i="24" l="1"/>
  <c r="I2" i="8" s="1"/>
  <c r="I2" i="16" s="1"/>
  <c r="I2" i="9" s="1"/>
  <c r="I2" i="14" s="1"/>
  <c r="I2" i="18" s="1"/>
  <c r="I2" i="22" s="1"/>
  <c r="I2" i="21" s="1"/>
  <c r="I2" i="28" s="1"/>
  <c r="L38" i="14"/>
  <c r="L38" i="13"/>
  <c r="L40" i="12"/>
  <c r="C11" i="1"/>
  <c r="B11" i="1"/>
  <c r="E11" i="1"/>
  <c r="E10" i="1"/>
  <c r="F11" i="1"/>
  <c r="F10" i="1"/>
  <c r="K20" i="8"/>
  <c r="K16" i="2"/>
  <c r="K5" i="2"/>
  <c r="K26" i="2" s="1"/>
  <c r="G44" i="2"/>
  <c r="G27" i="2"/>
  <c r="G16" i="2"/>
  <c r="G11" i="2"/>
  <c r="G9" i="2"/>
  <c r="I2" i="23" l="1"/>
  <c r="I2" i="20" s="1"/>
  <c r="I2" i="15" s="1"/>
  <c r="I2" i="12" s="1"/>
  <c r="I2" i="13" s="1"/>
  <c r="I2" i="27" s="1"/>
  <c r="I2" i="25" s="1"/>
  <c r="I2" i="26" s="1"/>
  <c r="K38" i="8"/>
  <c r="L38" i="8" l="1"/>
  <c r="K40" i="4"/>
  <c r="G63" i="2" l="1"/>
  <c r="G48" i="2"/>
  <c r="G59" i="2" s="1"/>
  <c r="G62" i="2"/>
  <c r="G54" i="2"/>
  <c r="G51" i="2"/>
  <c r="G65" i="2" l="1"/>
  <c r="K39" i="2" l="1"/>
  <c r="K48" i="2"/>
  <c r="K47" i="2"/>
  <c r="K50" i="2" s="1"/>
  <c r="G20" i="2" l="1"/>
  <c r="G22" i="2" s="1"/>
  <c r="K38" i="2" l="1"/>
  <c r="K41" i="2" s="1"/>
  <c r="K30" i="2" l="1"/>
  <c r="K20" i="2"/>
  <c r="K29" i="2"/>
  <c r="K9" i="2"/>
  <c r="K19" i="2"/>
  <c r="K8" i="2"/>
  <c r="G31" i="2"/>
  <c r="G33" i="2" s="1"/>
  <c r="G30" i="2"/>
  <c r="G19" i="2"/>
  <c r="G8" i="2"/>
  <c r="C5" i="2"/>
  <c r="C12" i="2" l="1"/>
  <c r="K32" i="2"/>
  <c r="K22" i="2"/>
  <c r="K11" i="2"/>
  <c r="K53" i="2" l="1"/>
  <c r="K54" i="2" s="1"/>
  <c r="K55" i="2" s="1"/>
  <c r="K26" i="9"/>
  <c r="K38" i="9"/>
  <c r="L38" i="9" s="1"/>
</calcChain>
</file>

<file path=xl/sharedStrings.xml><?xml version="1.0" encoding="utf-8"?>
<sst xmlns="http://schemas.openxmlformats.org/spreadsheetml/2006/main" count="994" uniqueCount="270">
  <si>
    <t>ITEM</t>
  </si>
  <si>
    <t>UNIT</t>
  </si>
  <si>
    <t>DESCRIPTION</t>
  </si>
  <si>
    <t>BEAM</t>
  </si>
  <si>
    <t>TYPE</t>
  </si>
  <si>
    <t>WF 33x130</t>
  </si>
  <si>
    <t>QUANTITY</t>
  </si>
  <si>
    <t>DEPTH (IN.)</t>
  </si>
  <si>
    <t>WEB THICKNESS (IN.)</t>
  </si>
  <si>
    <t>FLANGE WIDTH (IN.)</t>
  </si>
  <si>
    <t>FLANGE THICKNESS (IN.)</t>
  </si>
  <si>
    <t>LENGTH (FT)</t>
  </si>
  <si>
    <t>TOTAL SURFACE AREA (SQ FT)</t>
  </si>
  <si>
    <t>L 3x3x5/16</t>
  </si>
  <si>
    <t>LEG 1 LENGTH (IN.)</t>
  </si>
  <si>
    <t>LEG 2 LENGTH (IN.)</t>
  </si>
  <si>
    <t>THICKNESS (IN.)</t>
  </si>
  <si>
    <t>INTERMEDIATE CROSSFRAME (BOTTOM MEMBER)</t>
  </si>
  <si>
    <t>INTERMEDIATE CROSSFRAME (DIAGONAL MEMBERS)</t>
  </si>
  <si>
    <t>INTERMEDIATE CROSSFRAME (CONDUIT BAY - L SHAPES)</t>
  </si>
  <si>
    <t>INTERMEDIATE CROSSFRAME (CONDUIT BAY - C SHAPE)</t>
  </si>
  <si>
    <t>C 12x20.7</t>
  </si>
  <si>
    <t>END CROSSFRAME (BOTTOM MEMBER)</t>
  </si>
  <si>
    <t>L 4x4x5/16</t>
  </si>
  <si>
    <t>END CROSSFRAME (DIAGONAL MEMBERS)</t>
  </si>
  <si>
    <t>SPECIAL END CROSSFRAME (DIAGONAL MEMBERS)</t>
  </si>
  <si>
    <t>END CROSSFRAME (PLATE MEMBERS)</t>
  </si>
  <si>
    <t>PL. 1.25'X2'X3/8"</t>
  </si>
  <si>
    <t>WIDTH (FT)</t>
  </si>
  <si>
    <t>GRAND TOTAL SURFACE AREA (SQ FT)</t>
  </si>
  <si>
    <t>ITEM EXT.</t>
  </si>
  <si>
    <t>**INDICATED BY DOUBLE LINE ON FRAMING PLAN</t>
  </si>
  <si>
    <t>EACH</t>
  </si>
  <si>
    <t>SPECIAL END CROSSFRAME (PLATE MEMBERS AT CONDUITS)</t>
  </si>
  <si>
    <t>SF</t>
  </si>
  <si>
    <t>BAY 4 - INTERMEDIATE CROSSFRAME (BOTTOM MEMBER)</t>
  </si>
  <si>
    <t>BAY 4 - INTERMEDIATE CROSSFRAME (DIAGONAL MEMBERS)</t>
  </si>
  <si>
    <t>5% CONTINGENCY</t>
  </si>
  <si>
    <t>MADE BY:</t>
  </si>
  <si>
    <t>DATE:</t>
  </si>
  <si>
    <t>ITEM NUMBER:</t>
  </si>
  <si>
    <t>CALCULATIONS</t>
  </si>
  <si>
    <t>CHECKED BY:</t>
  </si>
  <si>
    <t>PAGE NUMBER:</t>
  </si>
  <si>
    <t>PID NO.</t>
  </si>
  <si>
    <t>PROJECT</t>
  </si>
  <si>
    <t>STRUCTURE</t>
  </si>
  <si>
    <t>ITEM NAME</t>
  </si>
  <si>
    <t>PAY UNIT</t>
  </si>
  <si>
    <t>SUB TOTAL</t>
  </si>
  <si>
    <t>TOTAL</t>
  </si>
  <si>
    <t>Quantity</t>
  </si>
  <si>
    <t>Total</t>
  </si>
  <si>
    <t>WER</t>
  </si>
  <si>
    <t>509E10001</t>
  </si>
  <si>
    <t>LB</t>
  </si>
  <si>
    <t>SEALING OF CONCRETE SURFACES (EPOXY-URETHANE)</t>
  </si>
  <si>
    <t>SY</t>
  </si>
  <si>
    <t>512E10100</t>
  </si>
  <si>
    <t>FT</t>
  </si>
  <si>
    <t>519E11101</t>
  </si>
  <si>
    <t>PATCHING CONCRETE STRUCTURE, AS PER PLAN</t>
  </si>
  <si>
    <t>519E12300</t>
  </si>
  <si>
    <t>PATCHING CONCRETE BRIDGE DECK - TYPE B</t>
  </si>
  <si>
    <t>512E10600</t>
  </si>
  <si>
    <t>CONCRETE REPAIR BY EPOXY INJECTION</t>
  </si>
  <si>
    <t>LENGTH</t>
  </si>
  <si>
    <t>516E47001</t>
  </si>
  <si>
    <t xml:space="preserve">ASSUME CONTINGENCY QUANTITY = </t>
  </si>
  <si>
    <t xml:space="preserve">CONCRETE REFACING </t>
  </si>
  <si>
    <t>AREA (SF)</t>
  </si>
  <si>
    <t>N. PARAPET</t>
  </si>
  <si>
    <t>S. PARAPET</t>
  </si>
  <si>
    <t>VOLUME (CY)</t>
  </si>
  <si>
    <t>CY</t>
  </si>
  <si>
    <t>REAR ABUT =</t>
  </si>
  <si>
    <t>FWD. ABUT =</t>
  </si>
  <si>
    <t>JACKING AND TEMPORARY SUPPORT OF SUPERSTRUCTURE, AS PER PLAN</t>
  </si>
  <si>
    <t>REAR ABUTMENT =</t>
  </si>
  <si>
    <t>FWD. ABUTMENT =</t>
  </si>
  <si>
    <t>PIER #1 =</t>
  </si>
  <si>
    <t>PIER #2 =</t>
  </si>
  <si>
    <t>PIER #3 =</t>
  </si>
  <si>
    <t>PIER #4 =</t>
  </si>
  <si>
    <t>NORTH PARAPET =</t>
  </si>
  <si>
    <t>SOUTH PARAPET =</t>
  </si>
  <si>
    <t>Measured</t>
  </si>
  <si>
    <t>Estimated</t>
  </si>
  <si>
    <t>DECK PATCHING =</t>
  </si>
  <si>
    <t>512E74000</t>
  </si>
  <si>
    <t xml:space="preserve">REMOVAL OF EXISTING COATINGS FROM CONCRETE SURFACES </t>
  </si>
  <si>
    <t>PORTIONS OF STRUCTURE REMOVED, AS PER PLAN</t>
  </si>
  <si>
    <t>202E11201</t>
  </si>
  <si>
    <t>LS</t>
  </si>
  <si>
    <t xml:space="preserve">VOLUME = </t>
  </si>
  <si>
    <t>Use $900/CY</t>
  </si>
  <si>
    <t>RESET BEARING</t>
  </si>
  <si>
    <t>PIERS</t>
  </si>
  <si>
    <t>GENERAL</t>
  </si>
  <si>
    <t>SHEET REF.</t>
  </si>
  <si>
    <t>EPOXY COATED STEEL REINFORCEMENT, AS PER PLAN</t>
  </si>
  <si>
    <t>ATM</t>
  </si>
  <si>
    <t>516E46700</t>
  </si>
  <si>
    <t>BEARINGS</t>
  </si>
  <si>
    <t>ABUT SUBTOTAL</t>
  </si>
  <si>
    <t>PIER SUBTOTAL</t>
  </si>
  <si>
    <t xml:space="preserve"># OF </t>
  </si>
  <si>
    <t>"WEST ABUTMENT"</t>
  </si>
  <si>
    <t>"EAST ABUTMENT"</t>
  </si>
  <si>
    <t>SUPER SUBTOTAL</t>
  </si>
  <si>
    <t>TOTAL =</t>
  </si>
  <si>
    <t>REAR ABUTMENT</t>
  </si>
  <si>
    <t>PIER 1</t>
  </si>
  <si>
    <t>PIER 2</t>
  </si>
  <si>
    <t>PIER 3</t>
  </si>
  <si>
    <t>PIER 4</t>
  </si>
  <si>
    <t>FORWARD ABUTMENT</t>
  </si>
  <si>
    <t>MEASURED</t>
  </si>
  <si>
    <t>ESTIMATED</t>
  </si>
  <si>
    <t>PARAPET</t>
  </si>
  <si>
    <t>Component</t>
  </si>
  <si>
    <t>Volume</t>
  </si>
  <si>
    <t>CF</t>
  </si>
  <si>
    <t>Weight</t>
  </si>
  <si>
    <t>Unit Weight</t>
  </si>
  <si>
    <t>L5x5x3/8</t>
  </si>
  <si>
    <t>Plate</t>
  </si>
  <si>
    <t>Back Angle</t>
  </si>
  <si>
    <t>Length</t>
  </si>
  <si>
    <t>-</t>
  </si>
  <si>
    <t>LB/FT or LB/CF</t>
  </si>
  <si>
    <t>#</t>
  </si>
  <si>
    <t>Vert Angle</t>
  </si>
  <si>
    <t>L4x4x1/2</t>
  </si>
  <si>
    <t>513E20000</t>
  </si>
  <si>
    <t>WELDED STUD SHEAR CONNECTORS</t>
  </si>
  <si>
    <t>Location</t>
  </si>
  <si>
    <t>Pier "1"</t>
  </si>
  <si>
    <t>Pier "2"</t>
  </si>
  <si>
    <t>Note: Pier/column "numbers" going upstation</t>
  </si>
  <si>
    <t>Column "1"</t>
  </si>
  <si>
    <t>Column "2"</t>
  </si>
  <si>
    <t>Super Total =</t>
  </si>
  <si>
    <t>ABUT TOTAL =</t>
  </si>
  <si>
    <t>PIER TOTAL =</t>
  </si>
  <si>
    <t>SUPER TOTAL =</t>
  </si>
  <si>
    <t>CONCRETE REINFORCEMENT, REPLACEMENT OF EXISTING CONCRETE REINFORCEMENT, AS PER PLAN</t>
  </si>
  <si>
    <t>509E20001</t>
  </si>
  <si>
    <t>510E10001</t>
  </si>
  <si>
    <t>DOWEL HOLES WITH NONSHRINK, NONMETALLIC GROUT, AS PER PLAN</t>
  </si>
  <si>
    <t>CUY-00480-17.880L (SFN 1813102)</t>
  </si>
  <si>
    <t>CLASS QC2 CONCRETE, BRIDGE DECK (PARAPET)</t>
  </si>
  <si>
    <t>511E34448</t>
  </si>
  <si>
    <t>CALCULATED BY:</t>
  </si>
  <si>
    <t>ABUTMENTS</t>
  </si>
  <si>
    <t>SUPERSTRUCTURE</t>
  </si>
  <si>
    <t>ESTIMATED QUANTITIES - BRIDGE NO. CUY-480-1788L (SFN 1813102)</t>
  </si>
  <si>
    <t>CUY IR 480 17.87 L&amp;R</t>
  </si>
  <si>
    <t>PIER 3 @ E-S RAMP =</t>
  </si>
  <si>
    <t>PIER 3 @ W-N RAMP =</t>
  </si>
  <si>
    <t>516E13900</t>
  </si>
  <si>
    <t>2" PREFORMED EXPANSION JOINT FILLER</t>
  </si>
  <si>
    <t>SUPER TOTAL</t>
  </si>
  <si>
    <t>HEIGHT</t>
  </si>
  <si>
    <t>AREA</t>
  </si>
  <si>
    <t># PLATES</t>
  </si>
  <si>
    <t>AREA/PLATE</t>
  </si>
  <si>
    <t>SOUTH PARAPET</t>
  </si>
  <si>
    <t>CURB</t>
  </si>
  <si>
    <t>3"x1/2"</t>
  </si>
  <si>
    <t>*Typical steel weight is 490 lb/cf</t>
  </si>
  <si>
    <t>GEN SUBTOTAL</t>
  </si>
  <si>
    <t>*Increased quantity by 15% to allow for additional deterioration</t>
  </si>
  <si>
    <t>Quantity*</t>
  </si>
  <si>
    <t>SURFACE</t>
  </si>
  <si>
    <t>LENGTH/HEIGHT</t>
  </si>
  <si>
    <t>FORWARD ABUT</t>
  </si>
  <si>
    <t>REAR ABUT</t>
  </si>
  <si>
    <t>ELEV</t>
  </si>
  <si>
    <t>AVG HEIGHT</t>
  </si>
  <si>
    <t># SIDES</t>
  </si>
  <si>
    <t># CAPS/PIER</t>
  </si>
  <si>
    <t># PIERS</t>
  </si>
  <si>
    <t>PIER</t>
  </si>
  <si>
    <t>CAP SIDES</t>
  </si>
  <si>
    <t>WIDTH</t>
  </si>
  <si>
    <t>CAP BOT</t>
  </si>
  <si>
    <t>CAP END</t>
  </si>
  <si>
    <t>WIDTH/SIDE</t>
  </si>
  <si>
    <t># COLUMNS/ PIER</t>
  </si>
  <si>
    <t>COLUMNS</t>
  </si>
  <si>
    <t>PIER CAP SUBTOTAL =</t>
  </si>
  <si>
    <t>PIER COLUMN SUBTOTAL =</t>
  </si>
  <si>
    <t>BTM/FTG</t>
  </si>
  <si>
    <t>FTG THICK</t>
  </si>
  <si>
    <t>GROUND LINE</t>
  </si>
  <si>
    <t>TOP/COL</t>
  </si>
  <si>
    <t>COLUMN HEIGHTS</t>
  </si>
  <si>
    <t>PIER 1 L</t>
  </si>
  <si>
    <t>PIER 1 R</t>
  </si>
  <si>
    <t>PIER 2 L</t>
  </si>
  <si>
    <t>PIER 2 R</t>
  </si>
  <si>
    <t>PIER 3 L</t>
  </si>
  <si>
    <t>PIER 3 R</t>
  </si>
  <si>
    <t>PIER 4 L</t>
  </si>
  <si>
    <t>PIER 4 R</t>
  </si>
  <si>
    <t>FOR</t>
  </si>
  <si>
    <t>PIER COLUMN</t>
  </si>
  <si>
    <t>SEALING</t>
  </si>
  <si>
    <t>(ASSUMES 80% OF SEALING AREA)</t>
  </si>
  <si>
    <t>(FROM SEALING CALCS)</t>
  </si>
  <si>
    <t>ABUT</t>
  </si>
  <si>
    <t>(PARAPET FACE)</t>
  </si>
  <si>
    <t xml:space="preserve">(4 FT. LONG PARAPET END SECTIONS) </t>
  </si>
  <si>
    <t xml:space="preserve">TOTAL VOLUME = </t>
  </si>
  <si>
    <t>1/2"x7'-6"</t>
  </si>
  <si>
    <t>Use</t>
  </si>
  <si>
    <t>REBAR</t>
  </si>
  <si>
    <t>LBS</t>
  </si>
  <si>
    <t>NO. 4 DEFORMED GFRP REINFORCEMENT</t>
  </si>
  <si>
    <t>509E30020</t>
  </si>
  <si>
    <t>GFRP</t>
  </si>
  <si>
    <t>606E35002</t>
  </si>
  <si>
    <t>MGS BRIDGE TERMINAL ASSEMBLY, TYPE 1</t>
  </si>
  <si>
    <t>LOCATION</t>
  </si>
  <si>
    <t># (EACH)</t>
  </si>
  <si>
    <t>EAST ABUTMENT</t>
  </si>
  <si>
    <t>GENERAL SUBTOTAL</t>
  </si>
  <si>
    <t>606E35102</t>
  </si>
  <si>
    <t>MGS BRIDGE TERMINAL ASSEMBLY, TYPE 2</t>
  </si>
  <si>
    <t>WEST ABUTMENT</t>
  </si>
  <si>
    <t>AVG. ELEV</t>
  </si>
  <si>
    <t>A &amp; D</t>
  </si>
  <si>
    <t>AA &amp; BB</t>
  </si>
  <si>
    <t>GUARDRAIL, TYPE MGS</t>
  </si>
  <si>
    <t>606E15050</t>
  </si>
  <si>
    <t>WEST ABUTMENT, LEFT SIDE</t>
  </si>
  <si>
    <t>EAST ABUTMENT, LEFT SIDE</t>
  </si>
  <si>
    <t>NUMBER</t>
  </si>
  <si>
    <t>NORTH AND SOUTH PARAPET</t>
  </si>
  <si>
    <t>SW PARAPET TRANSITION</t>
  </si>
  <si>
    <t>VIEW</t>
  </si>
  <si>
    <t>(FOR REF)</t>
  </si>
  <si>
    <t>A-A</t>
  </si>
  <si>
    <t>B-B</t>
  </si>
  <si>
    <t>C-C</t>
  </si>
  <si>
    <t>D-D</t>
  </si>
  <si>
    <t>PARAPET TRANSITIONS</t>
  </si>
  <si>
    <t>NW</t>
  </si>
  <si>
    <t>NE</t>
  </si>
  <si>
    <t>SE</t>
  </si>
  <si>
    <t>SW</t>
  </si>
  <si>
    <t>NORTH PARAPET</t>
  </si>
  <si>
    <t>NW PARAPET TRANSITION</t>
  </si>
  <si>
    <t>NE PARAPET TRANSITION</t>
  </si>
  <si>
    <t>SE PARAPET TRANSITION</t>
  </si>
  <si>
    <t>2 / 41</t>
  </si>
  <si>
    <t>1/2" PREFORMED EXPANSION JOINT FILLER</t>
  </si>
  <si>
    <t>516E13200</t>
  </si>
  <si>
    <t>EAST ABUTMENT, RIGHT SIDE</t>
  </si>
  <si>
    <t>AT COLUMN</t>
  </si>
  <si>
    <t>LOCATIONS</t>
  </si>
  <si>
    <t>AT PARAPET</t>
  </si>
  <si>
    <t>AT NW PARAPET</t>
  </si>
  <si>
    <t>AT SE PARAPET</t>
  </si>
  <si>
    <t>AT SW PARAPET</t>
  </si>
  <si>
    <t>AT NE PARAPET</t>
  </si>
  <si>
    <t>GRAND TOTAL</t>
  </si>
  <si>
    <t>STRUCTURAL STEEL MEMBERS, LEVEL UF, AS PER PLAN</t>
  </si>
  <si>
    <t>513E10201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</si>
</sst>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/d/yy;@"/>
    <numFmt numFmtId="165" formatCode="0.0"/>
    <numFmt numFmtId="166" formatCode="_(* #,##0_);_(* \(#,##0\);_(* &quot;-&quot;??_);_(@_)"/>
    <numFmt numFmtId="167" formatCode="0.000"/>
    <numFmt numFmtId="168" formatCode="&quot;$&quot;#,##0.00"/>
    <numFmt numFmtId="169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8"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2" fontId="0" fillId="2" borderId="2" xfId="0" applyNumberFormat="1" applyFill="1" applyBorder="1"/>
    <xf numFmtId="2" fontId="0" fillId="3" borderId="2" xfId="0" applyNumberFormat="1" applyFill="1" applyBorder="1"/>
    <xf numFmtId="0" fontId="0" fillId="2" borderId="2" xfId="0" applyFill="1" applyBorder="1" applyAlignment="1">
      <alignment horizontal="right"/>
    </xf>
    <xf numFmtId="0" fontId="2" fillId="0" borderId="2" xfId="0" applyFont="1" applyBorder="1"/>
    <xf numFmtId="1" fontId="0" fillId="4" borderId="2" xfId="0" applyNumberFormat="1" applyFill="1" applyBorder="1"/>
    <xf numFmtId="1" fontId="0" fillId="0" borderId="2" xfId="0" applyNumberFormat="1" applyBorder="1"/>
    <xf numFmtId="0" fontId="4" fillId="0" borderId="3" xfId="0" applyFont="1" applyBorder="1" applyAlignment="1">
      <alignment vertical="center"/>
    </xf>
    <xf numFmtId="0" fontId="5" fillId="0" borderId="4" xfId="0" applyFont="1" applyBorder="1"/>
    <xf numFmtId="0" fontId="0" fillId="0" borderId="4" xfId="0" applyBorder="1"/>
    <xf numFmtId="0" fontId="6" fillId="0" borderId="5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164" fontId="0" fillId="0" borderId="7" xfId="0" quotePrefix="1" applyNumberFormat="1" applyBorder="1" applyAlignment="1">
      <alignment horizontal="center" vertical="justify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5" fillId="0" borderId="0" xfId="0" applyFont="1"/>
    <xf numFmtId="0" fontId="6" fillId="0" borderId="10" xfId="0" applyFont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0" fillId="0" borderId="15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6" fontId="0" fillId="0" borderId="25" xfId="1" applyNumberFormat="1" applyFont="1" applyBorder="1"/>
    <xf numFmtId="0" fontId="0" fillId="0" borderId="26" xfId="0" applyBorder="1" applyAlignment="1">
      <alignment horizontal="center"/>
    </xf>
    <xf numFmtId="0" fontId="2" fillId="0" borderId="23" xfId="0" applyFont="1" applyBorder="1" applyAlignment="1">
      <alignment horizontal="left"/>
    </xf>
    <xf numFmtId="165" fontId="0" fillId="0" borderId="23" xfId="0" applyNumberFormat="1" applyBorder="1" applyAlignment="1">
      <alignment horizontal="left"/>
    </xf>
    <xf numFmtId="166" fontId="0" fillId="0" borderId="27" xfId="1" applyNumberFormat="1" applyFont="1" applyBorder="1" applyAlignment="1">
      <alignment horizontal="center"/>
    </xf>
    <xf numFmtId="166" fontId="0" fillId="0" borderId="27" xfId="1" applyNumberFormat="1" applyFont="1" applyFill="1" applyBorder="1" applyAlignment="1">
      <alignment horizontal="center"/>
    </xf>
    <xf numFmtId="0" fontId="0" fillId="0" borderId="23" xfId="0" applyBorder="1"/>
    <xf numFmtId="166" fontId="0" fillId="0" borderId="29" xfId="1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43" fontId="0" fillId="0" borderId="30" xfId="1" applyFont="1" applyBorder="1" applyAlignment="1">
      <alignment horizontal="center"/>
    </xf>
    <xf numFmtId="0" fontId="0" fillId="0" borderId="30" xfId="0" applyBorder="1" applyAlignment="1">
      <alignment horizontal="left"/>
    </xf>
    <xf numFmtId="1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0" fillId="0" borderId="28" xfId="0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0" fontId="0" fillId="0" borderId="23" xfId="0" applyBorder="1" applyAlignment="1">
      <alignment horizontal="right"/>
    </xf>
    <xf numFmtId="166" fontId="0" fillId="0" borderId="32" xfId="1" applyNumberFormat="1" applyFont="1" applyBorder="1"/>
    <xf numFmtId="166" fontId="0" fillId="0" borderId="24" xfId="1" applyNumberFormat="1" applyFont="1" applyBorder="1" applyAlignment="1">
      <alignment horizontal="center"/>
    </xf>
    <xf numFmtId="165" fontId="0" fillId="0" borderId="24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166" fontId="0" fillId="0" borderId="33" xfId="1" applyNumberFormat="1" applyFont="1" applyBorder="1" applyAlignment="1">
      <alignment horizontal="center"/>
    </xf>
    <xf numFmtId="165" fontId="0" fillId="0" borderId="2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7" fontId="0" fillId="0" borderId="23" xfId="0" applyNumberFormat="1" applyBorder="1" applyAlignment="1">
      <alignment horizontal="center"/>
    </xf>
    <xf numFmtId="0" fontId="0" fillId="0" borderId="34" xfId="0" applyBorder="1"/>
    <xf numFmtId="2" fontId="0" fillId="0" borderId="22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26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" fontId="0" fillId="0" borderId="23" xfId="0" applyNumberFormat="1" applyBorder="1" applyAlignment="1">
      <alignment horizontal="left"/>
    </xf>
    <xf numFmtId="3" fontId="7" fillId="0" borderId="0" xfId="0" applyNumberFormat="1" applyFont="1" applyAlignment="1">
      <alignment horizontal="center"/>
    </xf>
    <xf numFmtId="164" fontId="0" fillId="0" borderId="38" xfId="0" quotePrefix="1" applyNumberFormat="1" applyBorder="1" applyAlignment="1">
      <alignment horizontal="center" vertical="justify"/>
    </xf>
    <xf numFmtId="164" fontId="0" fillId="0" borderId="12" xfId="0" quotePrefix="1" applyNumberFormat="1" applyBorder="1" applyAlignment="1">
      <alignment horizontal="center" vertical="justify"/>
    </xf>
    <xf numFmtId="2" fontId="0" fillId="0" borderId="39" xfId="0" applyNumberForma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2" fillId="0" borderId="39" xfId="0" applyFont="1" applyBorder="1" applyAlignment="1">
      <alignment horizontal="left"/>
    </xf>
    <xf numFmtId="0" fontId="0" fillId="0" borderId="40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41" xfId="0" applyNumberForma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43" fontId="0" fillId="0" borderId="42" xfId="1" applyFont="1" applyBorder="1" applyAlignment="1">
      <alignment horizontal="center"/>
    </xf>
    <xf numFmtId="0" fontId="0" fillId="0" borderId="42" xfId="0" applyBorder="1" applyAlignment="1">
      <alignment horizontal="left"/>
    </xf>
    <xf numFmtId="1" fontId="0" fillId="0" borderId="42" xfId="0" applyNumberFormat="1" applyBorder="1" applyAlignment="1">
      <alignment horizontal="center"/>
    </xf>
    <xf numFmtId="1" fontId="0" fillId="0" borderId="23" xfId="0" applyNumberForma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7" fontId="0" fillId="0" borderId="23" xfId="0" applyNumberFormat="1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165" fontId="0" fillId="0" borderId="23" xfId="0" applyNumberFormat="1" applyBorder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left" vertical="center"/>
    </xf>
    <xf numFmtId="165" fontId="0" fillId="0" borderId="23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1" fontId="0" fillId="0" borderId="24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166" fontId="0" fillId="0" borderId="46" xfId="1" applyNumberFormat="1" applyFont="1" applyBorder="1"/>
    <xf numFmtId="165" fontId="0" fillId="0" borderId="27" xfId="1" applyNumberFormat="1" applyFont="1" applyFill="1" applyBorder="1" applyAlignment="1">
      <alignment horizontal="center"/>
    </xf>
    <xf numFmtId="166" fontId="0" fillId="0" borderId="47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4" fontId="0" fillId="0" borderId="7" xfId="0" quotePrefix="1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66" fontId="0" fillId="0" borderId="25" xfId="1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166" fontId="0" fillId="0" borderId="27" xfId="1" applyNumberFormat="1" applyFont="1" applyBorder="1" applyAlignment="1">
      <alignment horizontal="center" vertical="center"/>
    </xf>
    <xf numFmtId="166" fontId="0" fillId="0" borderId="27" xfId="1" applyNumberFormat="1" applyFont="1" applyFill="1" applyBorder="1" applyAlignment="1">
      <alignment horizontal="center" vertical="center"/>
    </xf>
    <xf numFmtId="165" fontId="0" fillId="0" borderId="23" xfId="0" applyNumberFormat="1" applyBorder="1" applyAlignment="1">
      <alignment horizontal="left" vertical="center"/>
    </xf>
    <xf numFmtId="0" fontId="0" fillId="0" borderId="23" xfId="0" quotePrefix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7" fontId="0" fillId="0" borderId="28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3" fontId="0" fillId="0" borderId="30" xfId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1" fontId="0" fillId="0" borderId="30" xfId="0" applyNumberFormat="1" applyBorder="1" applyAlignment="1">
      <alignment horizontal="center" vertical="center"/>
    </xf>
    <xf numFmtId="166" fontId="0" fillId="0" borderId="29" xfId="1" applyNumberFormat="1" applyFont="1" applyBorder="1" applyAlignment="1">
      <alignment horizontal="center" vertical="center"/>
    </xf>
    <xf numFmtId="166" fontId="0" fillId="0" borderId="21" xfId="1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6" fontId="0" fillId="0" borderId="46" xfId="1" applyNumberFormat="1" applyFont="1" applyBorder="1" applyAlignment="1">
      <alignment vertical="center"/>
    </xf>
    <xf numFmtId="165" fontId="0" fillId="0" borderId="27" xfId="1" applyNumberFormat="1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166" fontId="0" fillId="0" borderId="47" xfId="1" applyNumberFormat="1" applyFont="1" applyBorder="1" applyAlignment="1">
      <alignment horizontal="center" vertical="center"/>
    </xf>
    <xf numFmtId="1" fontId="0" fillId="0" borderId="23" xfId="0" applyNumberFormat="1" applyBorder="1" applyAlignment="1">
      <alignment horizontal="left" vertical="center"/>
    </xf>
    <xf numFmtId="0" fontId="2" fillId="0" borderId="23" xfId="0" applyFont="1" applyBorder="1" applyAlignment="1">
      <alignment horizontal="right"/>
    </xf>
    <xf numFmtId="0" fontId="0" fillId="0" borderId="48" xfId="0" applyBorder="1"/>
    <xf numFmtId="166" fontId="0" fillId="0" borderId="2" xfId="1" applyNumberFormat="1" applyFont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1" fontId="0" fillId="0" borderId="0" xfId="0" applyNumberFormat="1" applyAlignment="1">
      <alignment horizontal="center"/>
    </xf>
    <xf numFmtId="0" fontId="0" fillId="0" borderId="24" xfId="0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left" vertical="center"/>
    </xf>
    <xf numFmtId="2" fontId="0" fillId="0" borderId="23" xfId="0" applyNumberForma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7" fontId="0" fillId="0" borderId="23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23" xfId="0" applyNumberFormat="1" applyBorder="1" applyAlignment="1">
      <alignment horizontal="center" vertical="center" wrapText="1"/>
    </xf>
    <xf numFmtId="9" fontId="0" fillId="0" borderId="23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right"/>
    </xf>
    <xf numFmtId="0" fontId="0" fillId="0" borderId="23" xfId="1" applyNumberFormat="1" applyFont="1" applyFill="1" applyBorder="1" applyAlignment="1">
      <alignment horizontal="center"/>
    </xf>
    <xf numFmtId="165" fontId="0" fillId="0" borderId="23" xfId="0" applyNumberFormat="1" applyBorder="1" applyAlignment="1">
      <alignment horizontal="right" indent="1"/>
    </xf>
    <xf numFmtId="12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2" fontId="0" fillId="0" borderId="23" xfId="0" applyNumberFormat="1" applyBorder="1" applyAlignment="1">
      <alignment horizontal="center" vertical="center" wrapText="1"/>
    </xf>
    <xf numFmtId="168" fontId="0" fillId="6" borderId="23" xfId="0" applyNumberForma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" fontId="0" fillId="0" borderId="23" xfId="0" applyNumberForma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3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14" fontId="1" fillId="0" borderId="55" xfId="0" applyNumberFormat="1" applyFont="1" applyBorder="1" applyAlignment="1">
      <alignment horizontal="center" vertical="center"/>
    </xf>
    <xf numFmtId="0" fontId="1" fillId="0" borderId="56" xfId="0" applyFont="1" applyBorder="1" applyAlignment="1">
      <alignment horizontal="right" vertical="center"/>
    </xf>
    <xf numFmtId="0" fontId="1" fillId="0" borderId="57" xfId="0" applyFont="1" applyBorder="1" applyAlignment="1">
      <alignment horizontal="center" vertical="center"/>
    </xf>
    <xf numFmtId="14" fontId="1" fillId="0" borderId="58" xfId="0" applyNumberFormat="1" applyFont="1" applyBorder="1" applyAlignment="1">
      <alignment horizontal="center" vertical="center"/>
    </xf>
    <xf numFmtId="16" fontId="1" fillId="0" borderId="60" xfId="0" quotePrefix="1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quotePrefix="1" applyFont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4" xfId="0" applyBorder="1" applyAlignment="1">
      <alignment vertical="center"/>
    </xf>
    <xf numFmtId="166" fontId="0" fillId="0" borderId="66" xfId="1" applyNumberFormat="1" applyFont="1" applyBorder="1" applyAlignment="1">
      <alignment vertical="center"/>
    </xf>
    <xf numFmtId="166" fontId="0" fillId="0" borderId="40" xfId="1" applyNumberFormat="1" applyFont="1" applyBorder="1" applyAlignment="1">
      <alignment horizontal="center" vertical="center"/>
    </xf>
    <xf numFmtId="166" fontId="0" fillId="0" borderId="40" xfId="1" applyNumberFormat="1" applyFont="1" applyFill="1" applyBorder="1" applyAlignment="1">
      <alignment horizontal="center" vertical="center"/>
    </xf>
    <xf numFmtId="166" fontId="0" fillId="0" borderId="67" xfId="1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66" fontId="2" fillId="0" borderId="68" xfId="1" applyNumberFormat="1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66" fontId="0" fillId="0" borderId="70" xfId="1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166" fontId="0" fillId="0" borderId="71" xfId="1" applyNumberFormat="1" applyFont="1" applyBorder="1" applyAlignment="1">
      <alignment horizontal="center" vertical="center"/>
    </xf>
    <xf numFmtId="166" fontId="0" fillId="0" borderId="72" xfId="1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69" fontId="0" fillId="0" borderId="21" xfId="1" applyNumberFormat="1" applyFont="1" applyBorder="1" applyAlignment="1">
      <alignment horizontal="center"/>
    </xf>
    <xf numFmtId="169" fontId="2" fillId="0" borderId="2" xfId="1" applyNumberFormat="1" applyFont="1" applyBorder="1" applyAlignment="1">
      <alignment horizontal="center"/>
    </xf>
    <xf numFmtId="2" fontId="0" fillId="0" borderId="0" xfId="0" applyNumberFormat="1"/>
    <xf numFmtId="0" fontId="2" fillId="0" borderId="74" xfId="0" applyFont="1" applyBorder="1" applyAlignment="1">
      <alignment horizontal="right"/>
    </xf>
    <xf numFmtId="0" fontId="2" fillId="0" borderId="74" xfId="0" applyFont="1" applyBorder="1"/>
    <xf numFmtId="0" fontId="2" fillId="0" borderId="68" xfId="0" applyFont="1" applyBorder="1"/>
    <xf numFmtId="0" fontId="0" fillId="0" borderId="21" xfId="0" applyBorder="1"/>
    <xf numFmtId="0" fontId="0" fillId="0" borderId="74" xfId="0" applyBorder="1"/>
    <xf numFmtId="2" fontId="2" fillId="0" borderId="74" xfId="0" applyNumberFormat="1" applyFont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left" shrinkToFit="1"/>
    </xf>
    <xf numFmtId="11" fontId="0" fillId="0" borderId="6" xfId="0" quotePrefix="1" applyNumberFormat="1" applyBorder="1" applyAlignment="1">
      <alignment horizontal="center" vertical="justify"/>
    </xf>
    <xf numFmtId="11" fontId="0" fillId="0" borderId="7" xfId="0" quotePrefix="1" applyNumberFormat="1" applyBorder="1" applyAlignment="1">
      <alignment horizontal="center" vertical="justify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1" fontId="0" fillId="0" borderId="6" xfId="0" quotePrefix="1" applyNumberFormat="1" applyBorder="1" applyAlignment="1">
      <alignment horizontal="center" vertical="center"/>
    </xf>
    <xf numFmtId="11" fontId="0" fillId="0" borderId="7" xfId="0" quotePrefix="1" applyNumberFormat="1" applyBorder="1" applyAlignment="1">
      <alignment horizontal="center" vertical="center"/>
    </xf>
    <xf numFmtId="3" fontId="0" fillId="0" borderId="0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47626</xdr:colOff>
      <xdr:row>0</xdr:row>
      <xdr:rowOff>154782</xdr:rowOff>
    </xdr:from>
    <xdr:ext cx="1315711" cy="29531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47626</xdr:colOff>
      <xdr:row>0</xdr:row>
      <xdr:rowOff>154782</xdr:rowOff>
    </xdr:from>
    <xdr:ext cx="1315711" cy="29531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6" y="154782"/>
          <a:ext cx="1315711" cy="295313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6" y="154782"/>
          <a:ext cx="1420486" cy="2953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1657" y="154782"/>
          <a:ext cx="1313329" cy="29531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0</xdr:row>
      <xdr:rowOff>154782</xdr:rowOff>
    </xdr:from>
    <xdr:to>
      <xdr:col>11</xdr:col>
      <xdr:colOff>658487</xdr:colOff>
      <xdr:row>1</xdr:row>
      <xdr:rowOff>211970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47626</xdr:colOff>
      <xdr:row>0</xdr:row>
      <xdr:rowOff>154782</xdr:rowOff>
    </xdr:from>
    <xdr:ext cx="1315711" cy="29531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1" y="154782"/>
          <a:ext cx="1315711" cy="2953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13110_CUY-480-1788L_Rebar%20List_Ra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813110_CUY-480-1788L_Rebar%20List_Cu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813110_CUY-480-1788L_Rebar%20List_Railing_GFR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 Types"/>
      <sheetName val="Bar Data"/>
      <sheetName val="CALCS"/>
      <sheetName val="CADIG"/>
    </sheetNames>
    <sheetDataSet>
      <sheetData sheetId="0"/>
      <sheetData sheetId="1"/>
      <sheetData sheetId="2"/>
      <sheetData sheetId="3">
        <row r="26">
          <cell r="F26">
            <v>11743.604380573332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 Types"/>
      <sheetName val="Bar Data"/>
      <sheetName val="CALCS"/>
      <sheetName val="CADIG"/>
    </sheetNames>
    <sheetDataSet>
      <sheetData sheetId="0"/>
      <sheetData sheetId="1"/>
      <sheetData sheetId="2"/>
      <sheetData sheetId="3">
        <row r="11">
          <cell r="F11">
            <v>104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 Types"/>
      <sheetName val="Bar Data"/>
      <sheetName val="CALCS"/>
      <sheetName val="CADIG"/>
    </sheetNames>
    <sheetDataSet>
      <sheetData sheetId="0"/>
      <sheetData sheetId="1"/>
      <sheetData sheetId="2"/>
      <sheetData sheetId="3">
        <row r="25">
          <cell r="F25">
            <v>6700.5728599999993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K35"/>
  <sheetViews>
    <sheetView tabSelected="1" view="pageBreakPreview" zoomScale="80" zoomScaleNormal="80" zoomScaleSheetLayoutView="80" workbookViewId="0">
      <selection activeCell="B3" sqref="B3:K35"/>
    </sheetView>
  </sheetViews>
  <sheetFormatPr defaultColWidth="9.140625" defaultRowHeight="15" x14ac:dyDescent="0.25"/>
  <cols>
    <col min="1" max="2" width="9.140625" style="99"/>
    <col min="3" max="3" width="12.7109375" style="99" customWidth="1"/>
    <col min="4" max="4" width="10.7109375" style="99" bestFit="1" customWidth="1"/>
    <col min="5" max="5" width="12.7109375" style="99" customWidth="1"/>
    <col min="6" max="6" width="95.7109375" style="99" customWidth="1"/>
    <col min="7" max="7" width="12.7109375" style="99" bestFit="1" customWidth="1"/>
    <col min="8" max="8" width="9.140625" style="99"/>
    <col min="9" max="9" width="17.85546875" style="99" bestFit="1" customWidth="1"/>
    <col min="10" max="10" width="9.140625" style="99"/>
    <col min="11" max="11" width="11" style="99" bestFit="1" customWidth="1"/>
    <col min="12" max="16384" width="9.140625" style="99"/>
  </cols>
  <sheetData>
    <row r="2" spans="2:11" ht="15.75" thickBot="1" x14ac:dyDescent="0.3"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2:11" x14ac:dyDescent="0.25">
      <c r="B3" s="197"/>
      <c r="C3" s="197"/>
      <c r="D3" s="197"/>
      <c r="E3" s="197"/>
      <c r="F3" s="197"/>
      <c r="G3" s="197"/>
      <c r="H3" s="197"/>
      <c r="I3" s="198" t="s">
        <v>153</v>
      </c>
      <c r="J3" s="199" t="s">
        <v>101</v>
      </c>
      <c r="K3" s="200">
        <v>45163</v>
      </c>
    </row>
    <row r="4" spans="2:11" ht="15.75" thickBot="1" x14ac:dyDescent="0.3">
      <c r="B4" s="197"/>
      <c r="C4" s="197"/>
      <c r="D4" s="197"/>
      <c r="E4" s="197"/>
      <c r="F4" s="197"/>
      <c r="G4" s="197"/>
      <c r="H4" s="197"/>
      <c r="I4" s="201" t="s">
        <v>42</v>
      </c>
      <c r="J4" s="202" t="s">
        <v>53</v>
      </c>
      <c r="K4" s="203">
        <v>45168</v>
      </c>
    </row>
    <row r="5" spans="2:11" ht="18.75" x14ac:dyDescent="0.25">
      <c r="B5" s="242" t="s">
        <v>156</v>
      </c>
      <c r="C5" s="243"/>
      <c r="D5" s="243"/>
      <c r="E5" s="243"/>
      <c r="F5" s="243"/>
      <c r="G5" s="243"/>
      <c r="H5" s="243"/>
      <c r="I5" s="243"/>
      <c r="J5" s="243"/>
      <c r="K5" s="244"/>
    </row>
    <row r="6" spans="2:11" x14ac:dyDescent="0.25">
      <c r="B6" s="164" t="s">
        <v>0</v>
      </c>
      <c r="C6" s="101" t="s">
        <v>30</v>
      </c>
      <c r="D6" s="101" t="s">
        <v>6</v>
      </c>
      <c r="E6" s="101" t="s">
        <v>1</v>
      </c>
      <c r="F6" s="101" t="s">
        <v>2</v>
      </c>
      <c r="G6" s="101" t="s">
        <v>154</v>
      </c>
      <c r="H6" s="101" t="s">
        <v>97</v>
      </c>
      <c r="I6" s="101" t="s">
        <v>155</v>
      </c>
      <c r="J6" s="101" t="s">
        <v>98</v>
      </c>
      <c r="K6" s="165" t="s">
        <v>99</v>
      </c>
    </row>
    <row r="7" spans="2:11" x14ac:dyDescent="0.25">
      <c r="B7" s="164"/>
      <c r="C7" s="101"/>
      <c r="D7" s="101"/>
      <c r="E7" s="101"/>
      <c r="F7" s="100"/>
      <c r="G7" s="101"/>
      <c r="H7" s="101"/>
      <c r="I7" s="101"/>
      <c r="J7" s="101"/>
      <c r="K7" s="165"/>
    </row>
    <row r="8" spans="2:11" x14ac:dyDescent="0.25">
      <c r="B8" s="164" t="str">
        <f>LEFT('202E11201'!I1,3)</f>
        <v>202</v>
      </c>
      <c r="C8" s="102" t="str">
        <f>RIGHT('202E11201'!I1,5)</f>
        <v>11201</v>
      </c>
      <c r="D8" s="103" t="str">
        <f>'202E11201'!K39</f>
        <v>LS</v>
      </c>
      <c r="E8" s="101" t="str">
        <f>'202E11201'!L5</f>
        <v>LS</v>
      </c>
      <c r="F8" s="100" t="str">
        <f>'202E11201'!C5</f>
        <v>PORTIONS OF STRUCTURE REMOVED, AS PER PLAN</v>
      </c>
      <c r="G8" s="101"/>
      <c r="H8" s="101"/>
      <c r="I8" s="101"/>
      <c r="J8" s="101"/>
      <c r="K8" s="204" t="s">
        <v>256</v>
      </c>
    </row>
    <row r="9" spans="2:11" x14ac:dyDescent="0.25">
      <c r="B9" s="164"/>
      <c r="C9" s="102"/>
      <c r="D9" s="103"/>
      <c r="E9" s="101"/>
      <c r="F9" s="100"/>
      <c r="G9" s="101"/>
      <c r="H9" s="101"/>
      <c r="I9" s="101"/>
      <c r="J9" s="101"/>
      <c r="K9" s="165"/>
    </row>
    <row r="10" spans="2:11" x14ac:dyDescent="0.25">
      <c r="B10" s="164" t="str">
        <f>LEFT('509E10001'!I1,3)</f>
        <v>509</v>
      </c>
      <c r="C10" s="102" t="str">
        <f>RIGHT('509E10001'!I1,5)</f>
        <v>10001</v>
      </c>
      <c r="D10" s="103">
        <f>SUM(G10:J10)</f>
        <v>11847.604380573332</v>
      </c>
      <c r="E10" s="101" t="str">
        <f>'509E10001'!L5</f>
        <v>LB</v>
      </c>
      <c r="F10" s="100" t="str">
        <f>'509E10001'!C5</f>
        <v>EPOXY COATED STEEL REINFORCEMENT, AS PER PLAN</v>
      </c>
      <c r="G10" s="103"/>
      <c r="H10" s="101"/>
      <c r="I10" s="103">
        <f>'509E10001'!G25</f>
        <v>11847.604380573332</v>
      </c>
      <c r="J10" s="101"/>
      <c r="K10" s="204" t="s">
        <v>256</v>
      </c>
    </row>
    <row r="11" spans="2:11" x14ac:dyDescent="0.25">
      <c r="B11" s="164" t="str">
        <f>LEFT('509E20000'!I1,3)</f>
        <v>509</v>
      </c>
      <c r="C11" s="102" t="str">
        <f>RIGHT('509E20000'!I1,5)</f>
        <v>20001</v>
      </c>
      <c r="D11" s="103">
        <f>SUM(G11:J11)</f>
        <v>500</v>
      </c>
      <c r="E11" s="101" t="str">
        <f>'509E20000'!L5</f>
        <v>LB</v>
      </c>
      <c r="F11" s="100" t="str">
        <f>'509E20000'!C5</f>
        <v>CONCRETE REINFORCEMENT, REPLACEMENT OF EXISTING CONCRETE REINFORCEMENT, AS PER PLAN</v>
      </c>
      <c r="G11" s="101"/>
      <c r="H11" s="101"/>
      <c r="I11" s="101">
        <f>'509E20000'!F9</f>
        <v>500</v>
      </c>
      <c r="J11" s="101"/>
      <c r="K11" s="204" t="s">
        <v>256</v>
      </c>
    </row>
    <row r="12" spans="2:11" x14ac:dyDescent="0.25">
      <c r="B12" s="196" t="str">
        <f>LEFT('509E30020'!I1,3)</f>
        <v>509</v>
      </c>
      <c r="C12" s="102" t="str">
        <f>RIGHT('509E30020'!I1,5)</f>
        <v>30020</v>
      </c>
      <c r="D12" s="103">
        <f>SUM(G12:J12)</f>
        <v>6700.5728599999993</v>
      </c>
      <c r="E12" s="101" t="str">
        <f>'509E30020'!L5</f>
        <v>FT</v>
      </c>
      <c r="F12" s="100" t="s">
        <v>219</v>
      </c>
      <c r="G12" s="103"/>
      <c r="H12" s="103"/>
      <c r="I12" s="103">
        <f>'509E30020'!G25</f>
        <v>6700.5728599999993</v>
      </c>
      <c r="J12" s="101"/>
      <c r="K12" s="204"/>
    </row>
    <row r="13" spans="2:11" x14ac:dyDescent="0.25">
      <c r="B13" s="164"/>
      <c r="C13" s="102"/>
      <c r="D13" s="103"/>
      <c r="E13" s="101"/>
      <c r="F13" s="100"/>
      <c r="G13" s="101"/>
      <c r="H13" s="101"/>
      <c r="I13" s="101"/>
      <c r="J13" s="101"/>
      <c r="K13" s="165"/>
    </row>
    <row r="14" spans="2:11" x14ac:dyDescent="0.25">
      <c r="B14" s="164" t="str">
        <f>LEFT('510E10000'!$I$1,3)</f>
        <v>510</v>
      </c>
      <c r="C14" s="102" t="str">
        <f>RIGHT('510E10000'!$I$1,5)</f>
        <v>10001</v>
      </c>
      <c r="D14" s="103">
        <f>SUM(G14:J14)</f>
        <v>1809</v>
      </c>
      <c r="E14" s="101" t="str">
        <f>'510E10000'!L5</f>
        <v>EACH</v>
      </c>
      <c r="F14" s="100" t="str">
        <f>'510E10000'!C5</f>
        <v>DOWEL HOLES WITH NONSHRINK, NONMETALLIC GROUT, AS PER PLAN</v>
      </c>
      <c r="G14" s="101"/>
      <c r="H14" s="101"/>
      <c r="I14" s="101">
        <f>'510E10000'!H19</f>
        <v>1809</v>
      </c>
      <c r="J14" s="101"/>
      <c r="K14" s="204" t="s">
        <v>256</v>
      </c>
    </row>
    <row r="15" spans="2:11" x14ac:dyDescent="0.25">
      <c r="B15" s="164"/>
      <c r="C15" s="102"/>
      <c r="D15" s="103"/>
      <c r="E15" s="101"/>
      <c r="F15" s="100"/>
      <c r="G15" s="101"/>
      <c r="H15" s="101"/>
      <c r="I15" s="101"/>
      <c r="J15" s="101"/>
      <c r="K15" s="165"/>
    </row>
    <row r="16" spans="2:11" x14ac:dyDescent="0.25">
      <c r="B16" s="164" t="str">
        <f>LEFT('511E34448'!$I$1,3)</f>
        <v>511</v>
      </c>
      <c r="C16" s="102" t="str">
        <f>RIGHT('511E34448'!$I$1,5)</f>
        <v>34448</v>
      </c>
      <c r="D16" s="103">
        <f>SUM(G16:J16)</f>
        <v>66</v>
      </c>
      <c r="E16" s="102" t="str">
        <f>'511E34448'!$L$5</f>
        <v>CY</v>
      </c>
      <c r="F16" s="100" t="str">
        <f>'511E34448'!C$5</f>
        <v>CLASS QC2 CONCRETE, BRIDGE DECK (PARAPET)</v>
      </c>
      <c r="G16" s="101"/>
      <c r="H16" s="101"/>
      <c r="I16" s="103">
        <f>'511E34448'!H26</f>
        <v>66</v>
      </c>
      <c r="J16" s="101"/>
      <c r="K16" s="204"/>
    </row>
    <row r="17" spans="2:11" x14ac:dyDescent="0.25">
      <c r="B17" s="164"/>
      <c r="C17" s="102"/>
      <c r="D17" s="103"/>
      <c r="E17" s="102"/>
      <c r="F17" s="100"/>
      <c r="G17" s="101"/>
      <c r="H17" s="101"/>
      <c r="I17" s="101"/>
      <c r="J17" s="101"/>
      <c r="K17" s="165"/>
    </row>
    <row r="18" spans="2:11" x14ac:dyDescent="0.25">
      <c r="B18" s="164" t="str">
        <f>LEFT('512E10100'!$I$1,3)</f>
        <v>512</v>
      </c>
      <c r="C18" s="102" t="str">
        <f>RIGHT('512E10100'!$I$1,5)</f>
        <v>10100</v>
      </c>
      <c r="D18" s="103">
        <f>SUM(G18:J18)</f>
        <v>1563</v>
      </c>
      <c r="E18" s="102" t="str">
        <f>'512E10100'!L5</f>
        <v>SY</v>
      </c>
      <c r="F18" s="100" t="str">
        <f>'512E10100'!C$5</f>
        <v>SEALING OF CONCRETE SURFACES (EPOXY-URETHANE)</v>
      </c>
      <c r="G18" s="103">
        <f>'512E10100'!H23</f>
        <v>119</v>
      </c>
      <c r="H18" s="103">
        <f>'512E10100'!H24</f>
        <v>579</v>
      </c>
      <c r="I18" s="103">
        <f>'512E10100'!H25</f>
        <v>865</v>
      </c>
      <c r="J18" s="101"/>
      <c r="K18" s="165"/>
    </row>
    <row r="19" spans="2:11" x14ac:dyDescent="0.25">
      <c r="B19" s="164" t="str">
        <f>LEFT('512E10600'!$I$1,3)</f>
        <v>512</v>
      </c>
      <c r="C19" s="102" t="str">
        <f>RIGHT('512E10600'!$I$1,5)</f>
        <v>10600</v>
      </c>
      <c r="D19" s="103">
        <f>SUM(G19:J19)</f>
        <v>15</v>
      </c>
      <c r="E19" s="102" t="str">
        <f>'512E10600'!L$5</f>
        <v>FT</v>
      </c>
      <c r="F19" s="100" t="str">
        <f>'512E10600'!C$5</f>
        <v>CONCRETE REPAIR BY EPOXY INJECTION</v>
      </c>
      <c r="G19" s="103">
        <f>'512E10600'!H18</f>
        <v>8</v>
      </c>
      <c r="H19" s="103">
        <f>'512E10600'!H19</f>
        <v>7</v>
      </c>
      <c r="I19" s="101"/>
      <c r="J19" s="101"/>
      <c r="K19" s="165"/>
    </row>
    <row r="20" spans="2:11" x14ac:dyDescent="0.25">
      <c r="B20" s="164" t="str">
        <f>LEFT('512E74000'!I1,3)</f>
        <v>512</v>
      </c>
      <c r="C20" s="102" t="str">
        <f>RIGHT('512E74000'!$I$1,5)</f>
        <v>74000</v>
      </c>
      <c r="D20" s="103">
        <f>SUM(G20:J20)</f>
        <v>1251.2</v>
      </c>
      <c r="E20" s="102" t="s">
        <v>57</v>
      </c>
      <c r="F20" s="100" t="s">
        <v>90</v>
      </c>
      <c r="G20" s="103">
        <f>'512E74000'!G16</f>
        <v>95.2</v>
      </c>
      <c r="H20" s="103">
        <f>'512E74000'!G17</f>
        <v>464</v>
      </c>
      <c r="I20" s="103">
        <f>'512E74000'!G18</f>
        <v>692</v>
      </c>
      <c r="J20" s="101"/>
      <c r="K20" s="165"/>
    </row>
    <row r="21" spans="2:11" x14ac:dyDescent="0.25">
      <c r="B21" s="164"/>
      <c r="C21" s="102"/>
      <c r="D21" s="103"/>
      <c r="E21" s="102"/>
      <c r="F21" s="100"/>
      <c r="G21" s="101"/>
      <c r="H21" s="101"/>
      <c r="I21" s="101"/>
      <c r="J21" s="101"/>
      <c r="K21" s="165"/>
    </row>
    <row r="22" spans="2:11" x14ac:dyDescent="0.25">
      <c r="B22" s="164" t="str">
        <f>LEFT('513E10201'!I1,3)</f>
        <v>513</v>
      </c>
      <c r="C22" s="102" t="str">
        <f>RIGHT('513E10201'!$I$1,5)</f>
        <v>10201</v>
      </c>
      <c r="D22" s="103">
        <f>SUM(G22:J22)</f>
        <v>3369.7</v>
      </c>
      <c r="E22" s="102" t="str">
        <f>'513E10201'!L5</f>
        <v>LB</v>
      </c>
      <c r="F22" s="100" t="str">
        <f>'513E10201'!C$5</f>
        <v>STRUCTURAL STEEL MEMBERS, LEVEL UF, AS PER PLAN</v>
      </c>
      <c r="G22" s="101"/>
      <c r="H22" s="101"/>
      <c r="I22" s="101"/>
      <c r="J22" s="103">
        <f>'513E10201'!K39</f>
        <v>3369.7</v>
      </c>
      <c r="K22" s="165"/>
    </row>
    <row r="23" spans="2:11" x14ac:dyDescent="0.25">
      <c r="B23" s="164" t="str">
        <f>LEFT('513E20000'!I1,3)</f>
        <v>513</v>
      </c>
      <c r="C23" s="102" t="str">
        <f>RIGHT('513E20000'!$I$1,5)</f>
        <v>20000</v>
      </c>
      <c r="D23" s="103">
        <f>SUM(G23:J23)</f>
        <v>72</v>
      </c>
      <c r="E23" s="102" t="str">
        <f>'513E20000'!L5</f>
        <v>EACH</v>
      </c>
      <c r="F23" s="100" t="s">
        <v>135</v>
      </c>
      <c r="G23" s="101"/>
      <c r="H23" s="101"/>
      <c r="I23" s="101"/>
      <c r="J23" s="103">
        <f>'513E20000'!H21</f>
        <v>72</v>
      </c>
      <c r="K23" s="165"/>
    </row>
    <row r="24" spans="2:11" x14ac:dyDescent="0.25">
      <c r="B24" s="164"/>
      <c r="C24" s="102"/>
      <c r="D24" s="103"/>
      <c r="E24" s="102"/>
      <c r="F24" s="100"/>
      <c r="G24" s="101"/>
      <c r="H24" s="101"/>
      <c r="I24" s="101"/>
      <c r="J24" s="101"/>
      <c r="K24" s="165"/>
    </row>
    <row r="25" spans="2:11" x14ac:dyDescent="0.25">
      <c r="B25" s="164" t="str">
        <f>LEFT('516E13200'!$I$1,3)</f>
        <v>516</v>
      </c>
      <c r="C25" s="102" t="str">
        <f>RIGHT('516E13200'!$I$1,5)</f>
        <v>13200</v>
      </c>
      <c r="D25" s="103">
        <f>SUM(G25:J25)</f>
        <v>10.5</v>
      </c>
      <c r="E25" s="102" t="str">
        <f>'516E13200'!L5</f>
        <v>SF</v>
      </c>
      <c r="F25" s="100" t="s">
        <v>257</v>
      </c>
      <c r="G25" s="101"/>
      <c r="H25" s="101"/>
      <c r="I25" s="103"/>
      <c r="J25" s="103">
        <f>'516E13200'!H12</f>
        <v>10.5</v>
      </c>
      <c r="K25" s="165"/>
    </row>
    <row r="26" spans="2:11" x14ac:dyDescent="0.25">
      <c r="B26" s="164" t="str">
        <f>LEFT('516E46700'!$I$1,3)</f>
        <v>516</v>
      </c>
      <c r="C26" s="102" t="str">
        <f>RIGHT('516E46700'!$I$1,5)</f>
        <v>46700</v>
      </c>
      <c r="D26" s="103">
        <f>SUM(G26:J26)</f>
        <v>7</v>
      </c>
      <c r="E26" s="102" t="str">
        <f>'516E46700'!L5</f>
        <v>EACH</v>
      </c>
      <c r="F26" s="100" t="s">
        <v>96</v>
      </c>
      <c r="G26" s="103">
        <f>'516E46700'!H23</f>
        <v>7</v>
      </c>
      <c r="H26" s="103"/>
      <c r="I26" s="101"/>
      <c r="J26" s="101"/>
      <c r="K26" s="165"/>
    </row>
    <row r="27" spans="2:11" x14ac:dyDescent="0.25">
      <c r="B27" s="164" t="str">
        <f>LEFT('516E47001'!$I$1,3)</f>
        <v>516</v>
      </c>
      <c r="C27" s="102" t="str">
        <f>RIGHT('516E47001'!$I$1,5)</f>
        <v>47001</v>
      </c>
      <c r="D27" s="103" t="str">
        <f>'516E47001'!K$38</f>
        <v>LS</v>
      </c>
      <c r="E27" s="102" t="str">
        <f>'516E47001'!L$5</f>
        <v>LS</v>
      </c>
      <c r="F27" s="100" t="str">
        <f>'516E47001'!C$5</f>
        <v>JACKING AND TEMPORARY SUPPORT OF SUPERSTRUCTURE, AS PER PLAN</v>
      </c>
      <c r="G27" s="101"/>
      <c r="H27" s="101"/>
      <c r="I27" s="101"/>
      <c r="J27" s="101"/>
      <c r="K27" s="204" t="s">
        <v>256</v>
      </c>
    </row>
    <row r="28" spans="2:11" x14ac:dyDescent="0.25">
      <c r="B28" s="164"/>
      <c r="C28" s="102"/>
      <c r="D28" s="103"/>
      <c r="E28" s="102"/>
      <c r="F28" s="100"/>
      <c r="G28" s="101"/>
      <c r="H28" s="101"/>
      <c r="I28" s="101"/>
      <c r="J28" s="101"/>
      <c r="K28" s="165"/>
    </row>
    <row r="29" spans="2:11" x14ac:dyDescent="0.25">
      <c r="B29" s="164" t="str">
        <f>LEFT('519E11101'!$I$1,3)</f>
        <v>519</v>
      </c>
      <c r="C29" s="102" t="str">
        <f>RIGHT('519E11101'!$I$1,5)</f>
        <v>11101</v>
      </c>
      <c r="D29" s="103">
        <f>SUM(G29:J29)</f>
        <v>1119</v>
      </c>
      <c r="E29" s="102" t="str">
        <f>'519E11101'!L$5</f>
        <v>SF</v>
      </c>
      <c r="F29" s="100" t="str">
        <f>'519E11101'!C$5</f>
        <v>PATCHING CONCRETE STRUCTURE, AS PER PLAN</v>
      </c>
      <c r="G29" s="103">
        <f>'519E11101'!I21</f>
        <v>242</v>
      </c>
      <c r="H29" s="103">
        <f>'519E11101'!I22</f>
        <v>741</v>
      </c>
      <c r="I29" s="101">
        <f>'519E11101'!I23</f>
        <v>136</v>
      </c>
      <c r="J29" s="101"/>
      <c r="K29" s="204" t="s">
        <v>256</v>
      </c>
    </row>
    <row r="30" spans="2:11" x14ac:dyDescent="0.25">
      <c r="B30" s="164" t="str">
        <f>LEFT('519E12300'!$I$1,3)</f>
        <v>519</v>
      </c>
      <c r="C30" s="102" t="str">
        <f>RIGHT('519E12300'!$I$1,5)</f>
        <v>12300</v>
      </c>
      <c r="D30" s="103">
        <f>SUM(G30:J30)</f>
        <v>187</v>
      </c>
      <c r="E30" s="102" t="str">
        <f>'519E12300'!L$5</f>
        <v>SY</v>
      </c>
      <c r="F30" s="100" t="str">
        <f>'519E12300'!C$5</f>
        <v>PATCHING CONCRETE BRIDGE DECK - TYPE B</v>
      </c>
      <c r="G30" s="101"/>
      <c r="H30" s="101"/>
      <c r="I30" s="101">
        <f>'519E12300'!H21</f>
        <v>187</v>
      </c>
      <c r="J30" s="101"/>
      <c r="K30" s="165"/>
    </row>
    <row r="31" spans="2:11" x14ac:dyDescent="0.25">
      <c r="B31" s="208"/>
      <c r="C31" s="209"/>
      <c r="D31" s="210"/>
      <c r="E31" s="209"/>
      <c r="F31" s="211"/>
      <c r="G31" s="202"/>
      <c r="H31" s="202"/>
      <c r="I31" s="202"/>
      <c r="J31" s="202"/>
      <c r="K31" s="212"/>
    </row>
    <row r="32" spans="2:11" x14ac:dyDescent="0.25">
      <c r="B32" s="208">
        <v>606</v>
      </c>
      <c r="C32" s="209">
        <v>15050</v>
      </c>
      <c r="D32" s="103">
        <f>SUM(G32:J32)</f>
        <v>50</v>
      </c>
      <c r="E32" s="209" t="s">
        <v>59</v>
      </c>
      <c r="F32" s="211" t="s">
        <v>234</v>
      </c>
      <c r="G32" s="202"/>
      <c r="H32" s="202"/>
      <c r="I32" s="202"/>
      <c r="J32" s="210">
        <f>'606E15050'!H19</f>
        <v>50</v>
      </c>
      <c r="K32" s="212"/>
    </row>
    <row r="33" spans="2:11" x14ac:dyDescent="0.25">
      <c r="B33" s="164" t="str">
        <f>LEFT('606E35002'!$I$1,3)</f>
        <v>606</v>
      </c>
      <c r="C33" s="102" t="str">
        <f>RIGHT('606E35002'!$I$1,5)</f>
        <v>35002</v>
      </c>
      <c r="D33" s="103">
        <f>SUM(G33:J33)</f>
        <v>2</v>
      </c>
      <c r="E33" s="209" t="str">
        <f>'606E35002'!L5</f>
        <v>EACH</v>
      </c>
      <c r="F33" s="211" t="s">
        <v>223</v>
      </c>
      <c r="G33" s="202"/>
      <c r="H33" s="202"/>
      <c r="I33" s="202"/>
      <c r="J33" s="202">
        <f>'606E35002'!H19</f>
        <v>2</v>
      </c>
      <c r="K33" s="212"/>
    </row>
    <row r="34" spans="2:11" x14ac:dyDescent="0.25">
      <c r="B34" s="164" t="str">
        <f>LEFT('606E35102'!$I$1,3)</f>
        <v>606</v>
      </c>
      <c r="C34" s="102" t="str">
        <f>RIGHT('606E35102'!$I$1,5)</f>
        <v>35102</v>
      </c>
      <c r="D34" s="103">
        <f>SUM(G34:J34)</f>
        <v>1</v>
      </c>
      <c r="E34" s="209" t="str">
        <f>'606E35102'!L5</f>
        <v>EACH</v>
      </c>
      <c r="F34" s="211" t="s">
        <v>229</v>
      </c>
      <c r="G34" s="202"/>
      <c r="H34" s="202"/>
      <c r="I34" s="202"/>
      <c r="J34" s="202">
        <f>'606E35102'!H19</f>
        <v>1</v>
      </c>
      <c r="K34" s="212"/>
    </row>
    <row r="35" spans="2:11" ht="15.75" thickBot="1" x14ac:dyDescent="0.3">
      <c r="B35" s="166"/>
      <c r="C35" s="167"/>
      <c r="D35" s="167"/>
      <c r="E35" s="167"/>
      <c r="F35" s="167"/>
      <c r="G35" s="205"/>
      <c r="H35" s="205"/>
      <c r="I35" s="205"/>
      <c r="J35" s="205"/>
      <c r="K35" s="206"/>
    </row>
  </sheetData>
  <mergeCells count="1">
    <mergeCell ref="B5:K5"/>
  </mergeCells>
  <pageMargins left="0.7" right="0.7" top="0.75" bottom="0.75" header="0.3" footer="0.3"/>
  <pageSetup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38"/>
  <sheetViews>
    <sheetView view="pageBreakPreview" zoomScale="80" zoomScaleNormal="100" zoomScaleSheetLayoutView="80" workbookViewId="0">
      <selection activeCell="G14" sqref="G14"/>
    </sheetView>
  </sheetViews>
  <sheetFormatPr defaultColWidth="2.85546875" defaultRowHeight="15" x14ac:dyDescent="0.25"/>
  <cols>
    <col min="2" max="2" width="9" customWidth="1"/>
    <col min="3" max="3" width="9.855468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89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'512E10600'!I2:J2+1</f>
        <v>9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90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57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104"/>
      <c r="D9" s="105"/>
      <c r="E9" s="90"/>
      <c r="F9" s="92" t="s">
        <v>208</v>
      </c>
      <c r="G9" s="184">
        <v>0.8</v>
      </c>
      <c r="H9" s="89"/>
      <c r="I9" s="36"/>
      <c r="J9" s="69"/>
      <c r="K9" s="57"/>
      <c r="L9" s="41"/>
    </row>
    <row r="10" spans="1:12" ht="15.95" customHeight="1" x14ac:dyDescent="0.25">
      <c r="A10" s="52"/>
      <c r="B10" s="39"/>
      <c r="C10" s="104"/>
      <c r="D10" s="105" t="s">
        <v>209</v>
      </c>
      <c r="E10" s="90"/>
      <c r="F10" s="92" t="s">
        <v>57</v>
      </c>
      <c r="G10" s="92" t="s">
        <v>57</v>
      </c>
      <c r="H10" s="61"/>
      <c r="I10" s="36"/>
      <c r="J10" s="69"/>
      <c r="K10" s="57"/>
      <c r="L10" s="41"/>
    </row>
    <row r="11" spans="1:12" x14ac:dyDescent="0.25">
      <c r="A11" s="70"/>
      <c r="B11" s="39"/>
      <c r="C11" s="92"/>
      <c r="D11" s="105" t="s">
        <v>210</v>
      </c>
      <c r="E11" s="92" t="s">
        <v>211</v>
      </c>
      <c r="F11" s="91">
        <f>'512E10100'!H23</f>
        <v>119</v>
      </c>
      <c r="G11" s="91">
        <f>F11*0.8</f>
        <v>95.2</v>
      </c>
      <c r="H11" s="92"/>
      <c r="I11" s="61"/>
      <c r="J11" s="69"/>
      <c r="K11" s="57"/>
      <c r="L11" s="41"/>
    </row>
    <row r="12" spans="1:12" ht="15.95" customHeight="1" x14ac:dyDescent="0.25">
      <c r="A12" s="38"/>
      <c r="B12" s="35"/>
      <c r="C12" s="62"/>
      <c r="D12" s="105"/>
      <c r="E12" s="62" t="s">
        <v>183</v>
      </c>
      <c r="F12" s="91">
        <f>'512E10100'!H24</f>
        <v>579</v>
      </c>
      <c r="G12" s="91">
        <f t="shared" ref="G12" si="0">F12*0.8</f>
        <v>463.20000000000005</v>
      </c>
      <c r="H12" s="106"/>
      <c r="I12" s="35"/>
      <c r="J12" s="69"/>
      <c r="K12" s="58"/>
      <c r="L12" s="42"/>
    </row>
    <row r="13" spans="1:12" ht="16.5" customHeight="1" x14ac:dyDescent="0.25">
      <c r="A13" s="38"/>
      <c r="B13" s="62"/>
      <c r="C13" s="139"/>
      <c r="D13" s="92"/>
      <c r="E13" s="92" t="s">
        <v>119</v>
      </c>
      <c r="F13" s="91">
        <f>'512E10100'!H25</f>
        <v>865</v>
      </c>
      <c r="G13" s="91">
        <f>F13*0.8</f>
        <v>692</v>
      </c>
      <c r="H13" s="89"/>
      <c r="I13" s="43"/>
      <c r="J13" s="69"/>
      <c r="K13" s="59"/>
      <c r="L13" s="42"/>
    </row>
    <row r="14" spans="1:12" ht="15.95" customHeight="1" x14ac:dyDescent="0.25">
      <c r="A14" s="52"/>
      <c r="B14" s="39"/>
      <c r="C14" s="104"/>
      <c r="D14" s="105"/>
      <c r="E14" s="92"/>
      <c r="F14" s="92"/>
      <c r="G14" s="92"/>
      <c r="H14" s="89"/>
      <c r="I14" s="36"/>
      <c r="J14" s="69"/>
      <c r="K14" s="59"/>
      <c r="L14" s="42"/>
    </row>
    <row r="15" spans="1:12" ht="15.95" customHeight="1" x14ac:dyDescent="0.25">
      <c r="A15" s="52"/>
      <c r="B15" s="39"/>
      <c r="C15" s="104"/>
      <c r="D15" s="105"/>
      <c r="E15" s="92"/>
      <c r="F15" s="104"/>
      <c r="G15" s="104"/>
      <c r="H15" s="89"/>
      <c r="I15" s="36"/>
      <c r="J15" s="69"/>
      <c r="K15" s="59"/>
      <c r="L15" s="42"/>
    </row>
    <row r="16" spans="1:12" x14ac:dyDescent="0.25">
      <c r="A16" s="70"/>
      <c r="B16" s="39"/>
      <c r="C16" s="104"/>
      <c r="D16" s="104"/>
      <c r="E16" s="104"/>
      <c r="F16" s="105" t="s">
        <v>143</v>
      </c>
      <c r="G16" s="89">
        <f>G11</f>
        <v>95.2</v>
      </c>
      <c r="H16" s="89" t="s">
        <v>57</v>
      </c>
      <c r="I16" s="36"/>
      <c r="J16" s="69"/>
      <c r="K16" s="59"/>
      <c r="L16" s="42"/>
    </row>
    <row r="17" spans="1:12" ht="15.75" customHeight="1" x14ac:dyDescent="0.25">
      <c r="A17" s="38"/>
      <c r="B17" s="39"/>
      <c r="C17" s="104"/>
      <c r="D17" s="105"/>
      <c r="E17" s="92"/>
      <c r="F17" s="105" t="s">
        <v>144</v>
      </c>
      <c r="G17" s="89">
        <f>ROUNDUP(G12,0)</f>
        <v>464</v>
      </c>
      <c r="H17" s="89" t="s">
        <v>57</v>
      </c>
      <c r="I17" s="36"/>
      <c r="J17" s="69"/>
      <c r="K17" s="58"/>
      <c r="L17" s="42"/>
    </row>
    <row r="18" spans="1:12" ht="15.95" customHeight="1" x14ac:dyDescent="0.25">
      <c r="A18" s="38"/>
      <c r="B18" s="39"/>
      <c r="C18" s="104"/>
      <c r="D18" s="105"/>
      <c r="E18" s="92"/>
      <c r="F18" s="105" t="s">
        <v>145</v>
      </c>
      <c r="G18" s="89">
        <f>ROUNDUP(G13,0)</f>
        <v>692</v>
      </c>
      <c r="H18" s="89" t="s">
        <v>57</v>
      </c>
      <c r="I18" s="36"/>
      <c r="J18" s="69"/>
      <c r="K18" s="59"/>
      <c r="L18" s="42"/>
    </row>
    <row r="19" spans="1:12" ht="15.95" customHeight="1" x14ac:dyDescent="0.25">
      <c r="A19" s="38"/>
      <c r="B19" s="39"/>
      <c r="C19" s="104"/>
      <c r="D19" s="104"/>
      <c r="E19" s="104"/>
      <c r="F19" s="97"/>
      <c r="G19" s="160"/>
      <c r="H19" s="89"/>
      <c r="I19" s="36"/>
      <c r="J19" s="69"/>
      <c r="K19" s="59"/>
      <c r="L19" s="42"/>
    </row>
    <row r="20" spans="1:12" x14ac:dyDescent="0.25">
      <c r="A20" s="38"/>
      <c r="B20" s="39"/>
      <c r="C20" s="104"/>
      <c r="D20" s="105"/>
      <c r="E20" s="104"/>
      <c r="F20" s="107" t="s">
        <v>110</v>
      </c>
      <c r="G20" s="170">
        <f>SUM(G16:G18)</f>
        <v>1251.2</v>
      </c>
      <c r="H20" s="89" t="s">
        <v>57</v>
      </c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55"/>
      <c r="H21" s="35"/>
      <c r="I21" s="36"/>
      <c r="J21" s="69"/>
      <c r="K21" s="58">
        <f>G20</f>
        <v>1251.2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1251.2</v>
      </c>
      <c r="L38" s="51">
        <f>K38</f>
        <v>1251.2</v>
      </c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39"/>
  <sheetViews>
    <sheetView view="pageBreakPreview" zoomScale="80" zoomScaleNormal="100" zoomScaleSheetLayoutView="80" workbookViewId="0">
      <selection activeCell="E18" sqref="E18"/>
    </sheetView>
  </sheetViews>
  <sheetFormatPr defaultColWidth="2.85546875" defaultRowHeight="15" x14ac:dyDescent="0.25"/>
  <cols>
    <col min="2" max="2" width="9" customWidth="1"/>
    <col min="3" max="3" width="12.5703125" bestFit="1" customWidth="1"/>
    <col min="4" max="4" width="8.7109375" bestFit="1" customWidth="1"/>
    <col min="5" max="5" width="12.5703125" bestFit="1" customWidth="1"/>
    <col min="6" max="6" width="11.140625" customWidth="1"/>
    <col min="7" max="7" width="13.7109375" bestFit="1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v>45148</v>
      </c>
      <c r="H1" s="12" t="s">
        <v>40</v>
      </c>
      <c r="I1" s="252" t="s">
        <v>269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'513E20000'!I2:J2+1</f>
        <v>11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268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55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35"/>
      <c r="F9" s="35"/>
      <c r="G9" s="35"/>
      <c r="H9" s="35"/>
      <c r="I9" s="36"/>
      <c r="J9" s="69"/>
      <c r="K9" s="57"/>
      <c r="L9" s="41"/>
    </row>
    <row r="10" spans="1:12" ht="15.95" customHeight="1" x14ac:dyDescent="0.25">
      <c r="A10" s="52"/>
      <c r="B10" s="39"/>
      <c r="C10" s="40"/>
      <c r="D10" s="39"/>
      <c r="E10" s="55"/>
      <c r="F10" s="35"/>
      <c r="G10" s="96"/>
      <c r="H10" s="35"/>
      <c r="I10" s="36"/>
      <c r="J10" s="69"/>
      <c r="K10" s="57"/>
      <c r="L10" s="41"/>
    </row>
    <row r="11" spans="1:12" x14ac:dyDescent="0.25">
      <c r="A11" s="70"/>
      <c r="B11" s="39"/>
      <c r="C11" s="43"/>
      <c r="D11" s="43"/>
      <c r="E11" s="55"/>
      <c r="F11" s="96" t="s">
        <v>170</v>
      </c>
      <c r="G11" s="39"/>
      <c r="H11" s="39"/>
      <c r="I11" s="61"/>
      <c r="J11" s="69"/>
      <c r="K11" s="57"/>
      <c r="L11" s="41"/>
    </row>
    <row r="12" spans="1:12" ht="15.95" customHeight="1" x14ac:dyDescent="0.25">
      <c r="A12" s="38"/>
      <c r="B12" s="35"/>
      <c r="C12" s="43"/>
      <c r="D12" s="43"/>
      <c r="E12" s="55"/>
      <c r="F12" s="35"/>
      <c r="G12" s="35"/>
      <c r="H12" s="63"/>
      <c r="I12" s="35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62"/>
      <c r="G13" s="62"/>
      <c r="H13" s="62"/>
      <c r="I13" s="43"/>
      <c r="J13" s="69"/>
      <c r="K13" s="59"/>
      <c r="L13" s="42"/>
    </row>
    <row r="14" spans="1:12" ht="15.95" customHeight="1" x14ac:dyDescent="0.25">
      <c r="A14" s="52"/>
      <c r="B14" s="276" t="s">
        <v>120</v>
      </c>
      <c r="C14" s="276"/>
      <c r="D14" s="92" t="s">
        <v>51</v>
      </c>
      <c r="E14" s="92" t="s">
        <v>128</v>
      </c>
      <c r="F14" s="92" t="s">
        <v>121</v>
      </c>
      <c r="G14" s="92" t="s">
        <v>124</v>
      </c>
      <c r="H14" s="92" t="s">
        <v>123</v>
      </c>
      <c r="I14" s="36"/>
      <c r="J14" s="69"/>
      <c r="K14" s="59"/>
      <c r="L14" s="42"/>
    </row>
    <row r="15" spans="1:12" ht="15.95" customHeight="1" x14ac:dyDescent="0.25">
      <c r="A15" s="52"/>
      <c r="B15" s="276"/>
      <c r="C15" s="276"/>
      <c r="D15" s="92" t="s">
        <v>131</v>
      </c>
      <c r="E15" s="92" t="s">
        <v>59</v>
      </c>
      <c r="F15" s="92" t="s">
        <v>122</v>
      </c>
      <c r="G15" s="92" t="s">
        <v>130</v>
      </c>
      <c r="H15" s="92" t="s">
        <v>55</v>
      </c>
      <c r="I15" s="36"/>
      <c r="J15" s="69"/>
      <c r="K15" s="59"/>
      <c r="L15" s="42"/>
    </row>
    <row r="16" spans="1:12" x14ac:dyDescent="0.25">
      <c r="A16" s="70"/>
      <c r="B16" s="55" t="s">
        <v>126</v>
      </c>
      <c r="C16" s="92" t="s">
        <v>215</v>
      </c>
      <c r="D16" s="92">
        <v>4</v>
      </c>
      <c r="E16" s="92" t="s">
        <v>129</v>
      </c>
      <c r="F16" s="93">
        <f>((0.5/12)*7.5*(3.5+0.5))</f>
        <v>1.25</v>
      </c>
      <c r="G16" s="92">
        <v>490</v>
      </c>
      <c r="H16" s="172">
        <f>F16*G16*D16</f>
        <v>2450</v>
      </c>
      <c r="I16" s="36"/>
      <c r="J16" s="69"/>
      <c r="K16" s="59"/>
      <c r="L16" s="42"/>
    </row>
    <row r="17" spans="1:12" ht="15.75" customHeight="1" x14ac:dyDescent="0.25">
      <c r="A17" s="38"/>
      <c r="B17" s="55" t="s">
        <v>127</v>
      </c>
      <c r="C17" s="92" t="s">
        <v>125</v>
      </c>
      <c r="D17" s="92">
        <v>4</v>
      </c>
      <c r="E17" s="92">
        <v>6.25</v>
      </c>
      <c r="F17" s="90" t="s">
        <v>129</v>
      </c>
      <c r="G17" s="92">
        <v>19.600000000000001</v>
      </c>
      <c r="H17" s="172">
        <f>G17*E17*D17</f>
        <v>490.00000000000006</v>
      </c>
      <c r="I17" s="36"/>
      <c r="J17" s="69"/>
      <c r="K17" s="58"/>
      <c r="L17" s="42"/>
    </row>
    <row r="18" spans="1:12" ht="15.95" customHeight="1" x14ac:dyDescent="0.25">
      <c r="A18" s="38"/>
      <c r="B18" s="55" t="s">
        <v>126</v>
      </c>
      <c r="C18" s="92" t="s">
        <v>169</v>
      </c>
      <c r="D18" s="92">
        <v>8</v>
      </c>
      <c r="E18" s="91">
        <v>3</v>
      </c>
      <c r="F18" s="93">
        <f>((0.5/12)*3*(3/12))</f>
        <v>3.125E-2</v>
      </c>
      <c r="G18" s="92">
        <v>490</v>
      </c>
      <c r="H18" s="172">
        <f>F18*G18*D18</f>
        <v>122.5</v>
      </c>
      <c r="I18" s="36"/>
      <c r="J18" s="69"/>
      <c r="K18" s="59"/>
      <c r="L18" s="42"/>
    </row>
    <row r="19" spans="1:12" ht="15.95" customHeight="1" x14ac:dyDescent="0.25">
      <c r="A19" s="38"/>
      <c r="B19" s="55" t="s">
        <v>132</v>
      </c>
      <c r="C19" s="35" t="s">
        <v>133</v>
      </c>
      <c r="D19" s="92">
        <v>8</v>
      </c>
      <c r="E19" s="91">
        <v>3</v>
      </c>
      <c r="F19" s="92" t="s">
        <v>129</v>
      </c>
      <c r="G19" s="92">
        <v>12.8</v>
      </c>
      <c r="H19" s="172">
        <f>G19*E19*D19</f>
        <v>307.20000000000005</v>
      </c>
      <c r="I19" s="36"/>
      <c r="J19" s="69"/>
      <c r="K19" s="59"/>
      <c r="L19" s="42"/>
    </row>
    <row r="20" spans="1:12" ht="15.95" customHeight="1" x14ac:dyDescent="0.25">
      <c r="A20" s="38"/>
      <c r="B20" s="55"/>
      <c r="C20" s="35"/>
      <c r="D20" s="92"/>
      <c r="E20" s="92"/>
      <c r="F20" s="92"/>
      <c r="G20" s="92"/>
      <c r="H20" s="93"/>
      <c r="I20" s="36"/>
      <c r="J20" s="69"/>
      <c r="K20" s="59"/>
      <c r="L20" s="42"/>
    </row>
    <row r="21" spans="1:12" x14ac:dyDescent="0.25">
      <c r="A21" s="38"/>
      <c r="B21" s="39"/>
      <c r="C21" s="39"/>
      <c r="D21" s="39"/>
      <c r="E21" s="39"/>
      <c r="F21" s="39"/>
      <c r="G21" s="55" t="s">
        <v>171</v>
      </c>
      <c r="H21" s="89">
        <f>SUM(H16:H19)</f>
        <v>3369.7</v>
      </c>
      <c r="I21" s="36"/>
      <c r="J21" s="69"/>
      <c r="K21" s="59"/>
      <c r="L21" s="42"/>
    </row>
    <row r="22" spans="1:12" ht="15.95" customHeight="1" x14ac:dyDescent="0.25">
      <c r="A22" s="38"/>
      <c r="B22" s="39"/>
      <c r="C22" s="39"/>
      <c r="D22" s="39"/>
      <c r="E22" s="55"/>
      <c r="F22" s="43"/>
      <c r="G22" s="161" t="s">
        <v>50</v>
      </c>
      <c r="H22" s="173">
        <f>H21</f>
        <v>3369.7</v>
      </c>
      <c r="I22" s="36"/>
      <c r="J22" s="69"/>
      <c r="K22" s="108">
        <f>H22</f>
        <v>3369.7</v>
      </c>
      <c r="L22" s="42"/>
    </row>
    <row r="23" spans="1:12" ht="15.95" customHeight="1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9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ht="15.95" customHeight="1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2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ht="15.95" customHeight="1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ht="15.95" customHeight="1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x14ac:dyDescent="0.25">
      <c r="A36" s="38"/>
      <c r="B36" s="39"/>
      <c r="C36" s="39"/>
      <c r="D36" s="39"/>
      <c r="E36" s="39"/>
      <c r="F36" s="39"/>
      <c r="G36" s="39"/>
      <c r="H36" s="39"/>
      <c r="I36" s="36"/>
      <c r="J36" s="69"/>
      <c r="K36" s="58"/>
      <c r="L36" s="41"/>
    </row>
    <row r="37" spans="1:12" ht="15.95" customHeight="1" x14ac:dyDescent="0.25">
      <c r="A37" s="38"/>
      <c r="B37" s="35"/>
      <c r="C37" s="35"/>
      <c r="D37" s="35"/>
      <c r="E37" s="35"/>
      <c r="F37" s="35"/>
      <c r="G37" s="35"/>
      <c r="H37" s="63"/>
      <c r="I37" s="36"/>
      <c r="J37" s="69"/>
      <c r="K37" s="58"/>
      <c r="L37" s="41"/>
    </row>
    <row r="38" spans="1:12" ht="15.75" thickBot="1" x14ac:dyDescent="0.3">
      <c r="A38" s="71"/>
      <c r="B38" s="45"/>
      <c r="C38" s="45"/>
      <c r="D38" s="45"/>
      <c r="E38" s="46"/>
      <c r="F38" s="46"/>
      <c r="G38" s="47"/>
      <c r="H38" s="45"/>
      <c r="I38" s="48"/>
      <c r="J38" s="49"/>
      <c r="K38" s="60"/>
      <c r="L38" s="44"/>
    </row>
    <row r="39" spans="1:12" ht="15.75" thickBot="1" x14ac:dyDescent="0.3">
      <c r="A39" s="245" t="s">
        <v>50</v>
      </c>
      <c r="B39" s="246"/>
      <c r="C39" s="246"/>
      <c r="D39" s="246"/>
      <c r="E39" s="246"/>
      <c r="F39" s="246"/>
      <c r="G39" s="246"/>
      <c r="H39" s="246"/>
      <c r="I39" s="246"/>
      <c r="J39" s="247"/>
      <c r="K39" s="50">
        <f>SUM(K8:K38)</f>
        <v>3369.7</v>
      </c>
      <c r="L39" s="51">
        <f>K39</f>
        <v>3369.7</v>
      </c>
    </row>
  </sheetData>
  <mergeCells count="9">
    <mergeCell ref="A39:J39"/>
    <mergeCell ref="B14:C15"/>
    <mergeCell ref="A7:J7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L38"/>
  <sheetViews>
    <sheetView view="pageBreakPreview" zoomScale="80" zoomScaleNormal="100" zoomScaleSheetLayoutView="80" workbookViewId="0">
      <selection activeCell="O1" sqref="O1"/>
    </sheetView>
  </sheetViews>
  <sheetFormatPr defaultColWidth="2.85546875" defaultRowHeight="15" x14ac:dyDescent="0.25"/>
  <cols>
    <col min="2" max="2" width="9" customWidth="1"/>
    <col min="3" max="3" width="7.42578125" customWidth="1"/>
    <col min="4" max="4" width="8.7109375" bestFit="1" customWidth="1"/>
    <col min="5" max="5" width="12.5703125" bestFit="1" customWidth="1"/>
    <col min="6" max="6" width="11.140625" customWidth="1"/>
    <col min="7" max="7" width="13.7109375" bestFit="1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f>'202E11201'!G1</f>
        <v>45161</v>
      </c>
      <c r="H1" s="12" t="s">
        <v>40</v>
      </c>
      <c r="I1" s="252" t="s">
        <v>134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'512E74000'!I2:J2+1</f>
        <v>10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135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32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81"/>
      <c r="C8" s="82"/>
      <c r="D8" s="83"/>
      <c r="E8" s="81"/>
      <c r="F8" s="81"/>
      <c r="G8" s="81"/>
      <c r="H8" s="81"/>
      <c r="I8" s="84"/>
      <c r="J8" s="68"/>
      <c r="K8" s="56"/>
      <c r="L8" s="37"/>
    </row>
    <row r="9" spans="1:12" ht="15.95" customHeight="1" x14ac:dyDescent="0.25">
      <c r="A9" s="78"/>
      <c r="B9" s="39"/>
      <c r="C9" s="40"/>
      <c r="D9" s="39"/>
      <c r="E9" s="35"/>
      <c r="F9" s="35"/>
      <c r="G9" s="35"/>
      <c r="H9" s="35"/>
      <c r="I9" s="36"/>
      <c r="J9" s="79"/>
      <c r="K9" s="57"/>
      <c r="L9" s="41"/>
    </row>
    <row r="10" spans="1:12" ht="15.95" customHeight="1" x14ac:dyDescent="0.25">
      <c r="A10" s="78"/>
      <c r="B10" s="39"/>
      <c r="C10" s="40"/>
      <c r="D10" s="39"/>
      <c r="E10" s="55"/>
      <c r="F10" s="35"/>
      <c r="G10" s="96"/>
      <c r="H10" s="35"/>
      <c r="I10" s="36"/>
      <c r="J10" s="79"/>
      <c r="K10" s="57"/>
      <c r="L10" s="41"/>
    </row>
    <row r="11" spans="1:12" x14ac:dyDescent="0.25">
      <c r="A11" s="76"/>
      <c r="B11" s="39"/>
      <c r="C11" s="43"/>
      <c r="D11" s="43"/>
      <c r="E11" s="55"/>
      <c r="F11" s="35"/>
      <c r="G11" s="39"/>
      <c r="H11" s="39"/>
      <c r="I11" s="61"/>
      <c r="J11" s="79"/>
      <c r="K11" s="57"/>
      <c r="L11" s="41"/>
    </row>
    <row r="12" spans="1:12" ht="15.95" customHeight="1" x14ac:dyDescent="0.25">
      <c r="A12" s="77"/>
      <c r="B12" s="35"/>
      <c r="C12" s="43" t="s">
        <v>139</v>
      </c>
      <c r="D12" s="43"/>
      <c r="E12" s="55"/>
      <c r="F12" s="35"/>
      <c r="G12" s="35"/>
      <c r="H12" s="63"/>
      <c r="I12" s="35"/>
      <c r="J12" s="79"/>
      <c r="K12" s="58"/>
      <c r="L12" s="42"/>
    </row>
    <row r="13" spans="1:12" ht="16.5" customHeight="1" x14ac:dyDescent="0.25">
      <c r="A13" s="77"/>
      <c r="B13" s="62"/>
      <c r="C13" s="62"/>
      <c r="D13" s="62"/>
      <c r="E13" s="55"/>
      <c r="F13" s="62"/>
      <c r="G13" s="62"/>
      <c r="H13" s="62"/>
      <c r="I13" s="43"/>
      <c r="J13" s="79"/>
      <c r="K13" s="59"/>
      <c r="L13" s="42"/>
    </row>
    <row r="14" spans="1:12" ht="15.95" customHeight="1" x14ac:dyDescent="0.25">
      <c r="A14" s="78"/>
      <c r="B14" s="106"/>
      <c r="C14" s="43"/>
      <c r="D14" s="43"/>
      <c r="E14" s="92"/>
      <c r="F14" s="270" t="s">
        <v>136</v>
      </c>
      <c r="G14" s="272"/>
      <c r="H14" s="92" t="s">
        <v>51</v>
      </c>
      <c r="I14" s="36"/>
      <c r="J14" s="79"/>
      <c r="K14" s="59"/>
      <c r="L14" s="42"/>
    </row>
    <row r="15" spans="1:12" ht="15.95" customHeight="1" x14ac:dyDescent="0.25">
      <c r="A15" s="78"/>
      <c r="B15" s="106"/>
      <c r="C15" s="43"/>
      <c r="D15" s="43"/>
      <c r="E15" s="92"/>
      <c r="F15" s="273"/>
      <c r="G15" s="275"/>
      <c r="H15" s="92" t="s">
        <v>32</v>
      </c>
      <c r="I15" s="36"/>
      <c r="J15" s="79"/>
      <c r="K15" s="59"/>
      <c r="L15" s="42"/>
    </row>
    <row r="16" spans="1:12" x14ac:dyDescent="0.25">
      <c r="A16" s="76"/>
      <c r="B16" s="161"/>
      <c r="C16" s="43"/>
      <c r="D16" s="43"/>
      <c r="E16" s="92"/>
      <c r="F16" s="92" t="s">
        <v>137</v>
      </c>
      <c r="G16" s="92" t="s">
        <v>140</v>
      </c>
      <c r="H16" s="92">
        <f>(5+4)*2</f>
        <v>18</v>
      </c>
      <c r="I16" s="36"/>
      <c r="J16" s="79"/>
      <c r="K16" s="59"/>
      <c r="L16" s="42"/>
    </row>
    <row r="17" spans="1:12" ht="15.75" customHeight="1" x14ac:dyDescent="0.25">
      <c r="A17" s="77"/>
      <c r="B17" s="161"/>
      <c r="C17" s="43"/>
      <c r="D17" s="43"/>
      <c r="E17" s="92"/>
      <c r="F17" s="92"/>
      <c r="G17" s="92" t="s">
        <v>141</v>
      </c>
      <c r="H17" s="92">
        <f>H16</f>
        <v>18</v>
      </c>
      <c r="I17" s="36"/>
      <c r="J17" s="79"/>
      <c r="K17" s="58"/>
      <c r="L17" s="42"/>
    </row>
    <row r="18" spans="1:12" ht="15.95" customHeight="1" x14ac:dyDescent="0.25">
      <c r="A18" s="77"/>
      <c r="B18" s="161"/>
      <c r="C18" s="43"/>
      <c r="D18" s="43"/>
      <c r="E18" s="92"/>
      <c r="F18" s="92" t="s">
        <v>138</v>
      </c>
      <c r="G18" s="92" t="s">
        <v>140</v>
      </c>
      <c r="H18" s="92">
        <f>H16</f>
        <v>18</v>
      </c>
      <c r="I18" s="36"/>
      <c r="J18" s="79"/>
      <c r="K18" s="59"/>
      <c r="L18" s="42"/>
    </row>
    <row r="19" spans="1:12" ht="15.95" customHeight="1" x14ac:dyDescent="0.25">
      <c r="A19" s="77"/>
      <c r="B19" s="161"/>
      <c r="C19" s="39"/>
      <c r="D19" s="39"/>
      <c r="E19" s="55"/>
      <c r="F19" s="92"/>
      <c r="G19" s="92" t="s">
        <v>141</v>
      </c>
      <c r="H19" s="92">
        <f>H16</f>
        <v>18</v>
      </c>
      <c r="I19" s="36"/>
      <c r="J19" s="79"/>
      <c r="K19" s="59"/>
      <c r="L19" s="42"/>
    </row>
    <row r="20" spans="1:12" x14ac:dyDescent="0.25">
      <c r="A20" s="77"/>
      <c r="B20" s="39"/>
      <c r="C20" s="39"/>
      <c r="D20" s="39"/>
      <c r="E20" s="39"/>
      <c r="F20" s="39"/>
      <c r="G20" s="39"/>
      <c r="H20" s="39"/>
      <c r="I20" s="36"/>
      <c r="J20" s="79"/>
      <c r="K20" s="59"/>
      <c r="L20" s="42"/>
    </row>
    <row r="21" spans="1:12" ht="15.95" customHeight="1" x14ac:dyDescent="0.25">
      <c r="A21" s="77"/>
      <c r="B21" s="39"/>
      <c r="C21" s="39"/>
      <c r="D21" s="39"/>
      <c r="E21" s="55"/>
      <c r="F21" s="43"/>
      <c r="G21" s="55" t="s">
        <v>52</v>
      </c>
      <c r="H21" s="36">
        <f>SUM(H16:H19)</f>
        <v>72</v>
      </c>
      <c r="I21" s="36"/>
      <c r="J21" s="79"/>
      <c r="K21" s="58">
        <f>H21</f>
        <v>72</v>
      </c>
      <c r="L21" s="42"/>
    </row>
    <row r="22" spans="1:12" ht="15.95" customHeight="1" x14ac:dyDescent="0.25">
      <c r="A22" s="77"/>
      <c r="B22" s="39"/>
      <c r="C22" s="39"/>
      <c r="D22" s="39"/>
      <c r="E22" s="39"/>
      <c r="F22" s="39"/>
      <c r="G22" s="39"/>
      <c r="H22" s="39"/>
      <c r="I22" s="36"/>
      <c r="J22" s="79"/>
      <c r="K22" s="59"/>
      <c r="L22" s="42"/>
    </row>
    <row r="23" spans="1:12" x14ac:dyDescent="0.25">
      <c r="A23" s="77"/>
      <c r="B23" s="39"/>
      <c r="C23" s="39"/>
      <c r="D23" s="39"/>
      <c r="E23" s="39"/>
      <c r="F23" s="39"/>
      <c r="G23" s="39"/>
      <c r="H23" s="39"/>
      <c r="I23" s="36"/>
      <c r="J23" s="79"/>
      <c r="K23" s="59"/>
      <c r="L23" s="42"/>
    </row>
    <row r="24" spans="1:12" ht="15.95" customHeight="1" x14ac:dyDescent="0.25">
      <c r="A24" s="77"/>
      <c r="B24" s="39"/>
      <c r="C24" s="39"/>
      <c r="D24" s="39"/>
      <c r="E24" s="39"/>
      <c r="F24" s="39"/>
      <c r="G24" s="39"/>
      <c r="H24" s="39"/>
      <c r="I24" s="36"/>
      <c r="J24" s="79"/>
      <c r="K24" s="58"/>
      <c r="L24" s="42"/>
    </row>
    <row r="25" spans="1:12" ht="15.95" customHeight="1" x14ac:dyDescent="0.25">
      <c r="A25" s="77"/>
      <c r="B25" s="39"/>
      <c r="C25" s="39"/>
      <c r="D25" s="39"/>
      <c r="E25" s="39"/>
      <c r="F25" s="39"/>
      <c r="G25" s="39"/>
      <c r="H25" s="39"/>
      <c r="I25" s="36"/>
      <c r="J25" s="79"/>
      <c r="K25" s="58"/>
      <c r="L25" s="42"/>
    </row>
    <row r="26" spans="1:12" ht="15.95" customHeight="1" x14ac:dyDescent="0.25">
      <c r="A26" s="77"/>
      <c r="B26" s="39"/>
      <c r="C26" s="39"/>
      <c r="D26" s="39"/>
      <c r="E26" s="39"/>
      <c r="F26" s="39"/>
      <c r="G26" s="39"/>
      <c r="H26" s="39"/>
      <c r="I26" s="36"/>
      <c r="J26" s="79"/>
      <c r="K26" s="58"/>
      <c r="L26" s="42"/>
    </row>
    <row r="27" spans="1:12" x14ac:dyDescent="0.25">
      <c r="A27" s="77"/>
      <c r="B27" s="39"/>
      <c r="C27" s="39"/>
      <c r="D27" s="39"/>
      <c r="E27" s="39"/>
      <c r="F27" s="39"/>
      <c r="G27" s="39"/>
      <c r="H27" s="39"/>
      <c r="I27" s="36"/>
      <c r="J27" s="79"/>
      <c r="K27" s="58"/>
      <c r="L27" s="42"/>
    </row>
    <row r="28" spans="1:12" ht="15.95" customHeight="1" x14ac:dyDescent="0.25">
      <c r="A28" s="77"/>
      <c r="B28" s="39"/>
      <c r="C28" s="39"/>
      <c r="D28" s="39"/>
      <c r="E28" s="39"/>
      <c r="F28" s="39"/>
      <c r="G28" s="39"/>
      <c r="H28" s="39"/>
      <c r="I28" s="36"/>
      <c r="J28" s="79"/>
      <c r="K28" s="58"/>
      <c r="L28" s="42"/>
    </row>
    <row r="29" spans="1:12" ht="15.95" customHeight="1" x14ac:dyDescent="0.25">
      <c r="A29" s="77"/>
      <c r="B29" s="39"/>
      <c r="C29" s="39"/>
      <c r="D29" s="39"/>
      <c r="E29" s="39"/>
      <c r="F29" s="39"/>
      <c r="G29" s="39"/>
      <c r="H29" s="39"/>
      <c r="I29" s="36"/>
      <c r="J29" s="79"/>
      <c r="K29" s="58"/>
      <c r="L29" s="41"/>
    </row>
    <row r="30" spans="1:12" ht="15.95" customHeight="1" x14ac:dyDescent="0.25">
      <c r="A30" s="77"/>
      <c r="B30" s="39"/>
      <c r="C30" s="39"/>
      <c r="D30" s="39"/>
      <c r="E30" s="39"/>
      <c r="F30" s="39"/>
      <c r="G30" s="39"/>
      <c r="H30" s="39"/>
      <c r="I30" s="36"/>
      <c r="J30" s="79"/>
      <c r="K30" s="58"/>
      <c r="L30" s="41"/>
    </row>
    <row r="31" spans="1:12" x14ac:dyDescent="0.25">
      <c r="A31" s="77"/>
      <c r="B31" s="39"/>
      <c r="C31" s="39"/>
      <c r="D31" s="39"/>
      <c r="E31" s="39"/>
      <c r="F31" s="39"/>
      <c r="G31" s="39"/>
      <c r="H31" s="39"/>
      <c r="I31" s="36"/>
      <c r="J31" s="7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72</v>
      </c>
      <c r="L38" s="51">
        <f>K38</f>
        <v>72</v>
      </c>
    </row>
  </sheetData>
  <mergeCells count="9">
    <mergeCell ref="A7:J7"/>
    <mergeCell ref="A38:J38"/>
    <mergeCell ref="F14:G15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0" orientation="portrait" r:id="rId1"/>
  <colBreaks count="1" manualBreakCount="1">
    <brk id="1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38"/>
  <sheetViews>
    <sheetView view="pageBreakPreview" zoomScale="80" zoomScaleNormal="100" zoomScaleSheetLayoutView="80" workbookViewId="0">
      <selection activeCell="K26" sqref="K26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v>45168</v>
      </c>
      <c r="H1" s="12" t="s">
        <v>40</v>
      </c>
      <c r="I1" s="252" t="s">
        <v>258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'513E10201'!I2:J2+1</f>
        <v>12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257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34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35"/>
      <c r="F9" s="35"/>
      <c r="G9" s="35"/>
      <c r="H9" s="35"/>
      <c r="I9" s="36"/>
      <c r="J9" s="69"/>
      <c r="K9" s="57"/>
      <c r="L9" s="41"/>
    </row>
    <row r="10" spans="1:12" ht="15.95" customHeight="1" x14ac:dyDescent="0.25">
      <c r="A10" s="52"/>
      <c r="B10" s="39"/>
      <c r="C10" s="92"/>
      <c r="D10" s="39"/>
      <c r="E10" s="92"/>
      <c r="F10" s="92" t="s">
        <v>163</v>
      </c>
      <c r="G10" s="89" t="s">
        <v>66</v>
      </c>
      <c r="H10" s="92" t="s">
        <v>164</v>
      </c>
      <c r="I10" s="89"/>
      <c r="J10" s="69"/>
      <c r="K10" s="57"/>
      <c r="L10" s="41"/>
    </row>
    <row r="11" spans="1:12" ht="15" customHeight="1" x14ac:dyDescent="0.25">
      <c r="A11" s="70"/>
      <c r="B11" s="39"/>
      <c r="C11" s="40"/>
      <c r="D11" s="39"/>
      <c r="E11" s="35"/>
      <c r="F11" s="92" t="s">
        <v>59</v>
      </c>
      <c r="G11" s="61" t="s">
        <v>59</v>
      </c>
      <c r="H11" s="92" t="s">
        <v>34</v>
      </c>
      <c r="I11" s="61"/>
      <c r="J11" s="69"/>
      <c r="K11" s="57"/>
      <c r="L11" s="41"/>
    </row>
    <row r="12" spans="1:12" ht="15.95" customHeight="1" x14ac:dyDescent="0.25">
      <c r="A12" s="38"/>
      <c r="B12" s="39"/>
      <c r="C12" s="40"/>
      <c r="D12" s="39"/>
      <c r="E12" s="55" t="s">
        <v>254</v>
      </c>
      <c r="F12" s="172">
        <f>9/12</f>
        <v>0.75</v>
      </c>
      <c r="G12" s="92">
        <v>14</v>
      </c>
      <c r="H12" s="91">
        <f>F12*G12</f>
        <v>10.5</v>
      </c>
      <c r="I12" s="97"/>
      <c r="J12" s="69"/>
      <c r="K12" s="58"/>
      <c r="L12" s="42"/>
    </row>
    <row r="13" spans="1:12" ht="16.5" customHeight="1" x14ac:dyDescent="0.25">
      <c r="A13" s="38"/>
      <c r="B13" s="62"/>
      <c r="C13" s="105"/>
      <c r="D13" s="172"/>
      <c r="E13" s="92"/>
      <c r="F13" s="91"/>
      <c r="G13" s="92"/>
      <c r="H13" s="91"/>
      <c r="I13" s="106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92"/>
      <c r="F14" s="92"/>
      <c r="G14" s="105"/>
      <c r="H14" s="89"/>
      <c r="I14" s="106"/>
      <c r="J14" s="69"/>
      <c r="K14" s="59"/>
      <c r="L14" s="42"/>
    </row>
    <row r="15" spans="1:12" ht="15.95" customHeight="1" x14ac:dyDescent="0.25">
      <c r="A15" s="52"/>
      <c r="B15" s="39"/>
      <c r="C15" s="40"/>
      <c r="D15" s="39"/>
      <c r="E15" s="105"/>
      <c r="F15" s="92"/>
      <c r="G15" s="105"/>
      <c r="H15" s="89"/>
      <c r="I15" s="106"/>
      <c r="J15" s="69"/>
      <c r="K15" s="59"/>
      <c r="L15" s="42"/>
    </row>
    <row r="16" spans="1:12" x14ac:dyDescent="0.25">
      <c r="A16" s="70"/>
      <c r="B16" s="39"/>
      <c r="C16" s="39"/>
      <c r="D16" s="39"/>
      <c r="E16" s="105"/>
      <c r="F16" s="92"/>
      <c r="G16" s="105"/>
      <c r="H16" s="92"/>
      <c r="I16" s="10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105"/>
      <c r="F17" s="104"/>
      <c r="G17" s="105"/>
      <c r="H17" s="89"/>
      <c r="I17" s="10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105"/>
      <c r="F18" s="92"/>
      <c r="G18" s="106"/>
      <c r="H18" s="106"/>
      <c r="I18" s="10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105"/>
      <c r="F19" s="92"/>
      <c r="G19" s="106"/>
      <c r="H19" s="106"/>
      <c r="I19" s="106"/>
      <c r="J19" s="69"/>
      <c r="K19" s="59"/>
      <c r="L19" s="42"/>
    </row>
    <row r="20" spans="1:12" x14ac:dyDescent="0.25">
      <c r="A20" s="38"/>
      <c r="B20" s="39"/>
      <c r="C20" s="39"/>
      <c r="D20" s="39"/>
      <c r="E20" s="104"/>
      <c r="F20" s="104"/>
      <c r="G20" s="106"/>
      <c r="H20" s="106"/>
      <c r="I20" s="10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105"/>
      <c r="F21" s="104"/>
      <c r="G21" s="106"/>
      <c r="H21" s="106"/>
      <c r="I21" s="106"/>
      <c r="J21" s="69"/>
      <c r="L21" s="42"/>
    </row>
    <row r="22" spans="1:12" ht="15.95" customHeight="1" x14ac:dyDescent="0.25">
      <c r="A22" s="38"/>
      <c r="B22" s="39"/>
      <c r="C22" s="39"/>
      <c r="D22" s="39"/>
      <c r="E22" s="104"/>
      <c r="F22" s="104"/>
      <c r="G22" s="104"/>
      <c r="H22" s="104"/>
      <c r="I22" s="89"/>
      <c r="J22" s="69"/>
      <c r="K22" s="59"/>
      <c r="L22" s="42"/>
    </row>
    <row r="23" spans="1:12" x14ac:dyDescent="0.25">
      <c r="A23" s="38"/>
      <c r="B23" s="39"/>
      <c r="C23" s="39"/>
      <c r="D23" s="39"/>
      <c r="E23" s="104"/>
      <c r="F23" s="104"/>
      <c r="G23" s="105" t="s">
        <v>162</v>
      </c>
      <c r="H23" s="89">
        <f>H12</f>
        <v>10.5</v>
      </c>
      <c r="I23" s="89" t="s">
        <v>34</v>
      </c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104"/>
      <c r="F24" s="104"/>
      <c r="G24" s="105"/>
      <c r="H24" s="89"/>
      <c r="I24" s="89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104"/>
      <c r="F25" s="104"/>
      <c r="G25" s="99"/>
      <c r="H25" s="104"/>
      <c r="I25" s="89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104"/>
      <c r="F26" s="104"/>
      <c r="G26" s="107" t="s">
        <v>50</v>
      </c>
      <c r="H26" s="170">
        <f>H23</f>
        <v>10.5</v>
      </c>
      <c r="I26" s="170" t="s">
        <v>34</v>
      </c>
      <c r="J26" s="69"/>
      <c r="K26" s="108">
        <f>H26</f>
        <v>10.5</v>
      </c>
      <c r="L26" s="42"/>
    </row>
    <row r="27" spans="1:12" x14ac:dyDescent="0.25">
      <c r="A27" s="38"/>
      <c r="B27" s="39"/>
      <c r="C27" s="39"/>
      <c r="D27" s="39"/>
      <c r="E27" s="104"/>
      <c r="F27" s="104"/>
      <c r="G27" s="104"/>
      <c r="H27" s="104"/>
      <c r="I27" s="89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10.5</v>
      </c>
      <c r="L38" s="51">
        <f>K38</f>
        <v>10.5</v>
      </c>
    </row>
  </sheetData>
  <mergeCells count="8">
    <mergeCell ref="A7:J7"/>
    <mergeCell ref="A38:J38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L38"/>
  <sheetViews>
    <sheetView view="pageBreakPreview" zoomScale="80" zoomScaleNormal="100" zoomScaleSheetLayoutView="80" workbookViewId="0">
      <selection activeCell="I26" sqref="I26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f>'202E11201'!G1</f>
        <v>45161</v>
      </c>
      <c r="H1" s="12" t="s">
        <v>40</v>
      </c>
      <c r="I1" s="252" t="s">
        <v>102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'516E13900'!I2:J2+1</f>
        <v>13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96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32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35"/>
      <c r="F9" s="35"/>
      <c r="G9" s="35"/>
      <c r="H9" s="35"/>
      <c r="I9" s="36"/>
      <c r="J9" s="69"/>
      <c r="K9" s="57"/>
      <c r="L9" s="41"/>
    </row>
    <row r="10" spans="1:12" ht="15.95" customHeight="1" x14ac:dyDescent="0.25">
      <c r="A10" s="52"/>
      <c r="B10" s="39"/>
      <c r="C10" s="40"/>
      <c r="D10" s="39"/>
      <c r="E10" s="105"/>
      <c r="F10" s="92"/>
      <c r="G10" s="92"/>
      <c r="H10" s="90" t="s">
        <v>106</v>
      </c>
      <c r="I10" s="89"/>
      <c r="J10" s="69"/>
      <c r="K10" s="57"/>
      <c r="L10" s="41"/>
    </row>
    <row r="11" spans="1:12" x14ac:dyDescent="0.25">
      <c r="A11" s="70"/>
      <c r="B11" s="39"/>
      <c r="C11" s="39"/>
      <c r="D11" s="39"/>
      <c r="E11" s="105"/>
      <c r="F11" s="92"/>
      <c r="G11" s="104"/>
      <c r="H11" s="90" t="s">
        <v>103</v>
      </c>
      <c r="I11" s="61"/>
      <c r="J11" s="69"/>
      <c r="K11" s="57"/>
      <c r="L11" s="41"/>
    </row>
    <row r="12" spans="1:12" ht="15.95" customHeight="1" x14ac:dyDescent="0.25">
      <c r="A12" s="38"/>
      <c r="B12" s="35"/>
      <c r="C12" s="35"/>
      <c r="D12" s="35"/>
      <c r="E12" s="105" t="s">
        <v>107</v>
      </c>
      <c r="F12" s="92"/>
      <c r="G12" s="105" t="s">
        <v>75</v>
      </c>
      <c r="H12" s="89">
        <v>1</v>
      </c>
      <c r="I12" s="97" t="s">
        <v>32</v>
      </c>
      <c r="J12" s="69"/>
      <c r="K12" s="58"/>
      <c r="L12" s="42"/>
    </row>
    <row r="13" spans="1:12" ht="16.5" customHeight="1" x14ac:dyDescent="0.25">
      <c r="A13" s="38"/>
      <c r="B13" s="62"/>
      <c r="C13" s="62"/>
      <c r="D13" s="39"/>
      <c r="E13" s="105" t="s">
        <v>108</v>
      </c>
      <c r="F13" s="104"/>
      <c r="G13" s="105" t="s">
        <v>76</v>
      </c>
      <c r="H13" s="89">
        <v>6</v>
      </c>
      <c r="I13" s="106" t="s">
        <v>32</v>
      </c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92"/>
      <c r="F14" s="92"/>
      <c r="G14" s="105"/>
      <c r="H14" s="89"/>
      <c r="I14" s="106"/>
      <c r="J14" s="69"/>
      <c r="K14" s="59"/>
      <c r="L14" s="42"/>
    </row>
    <row r="15" spans="1:12" ht="15.95" customHeight="1" x14ac:dyDescent="0.25">
      <c r="A15" s="52"/>
      <c r="B15" s="39"/>
      <c r="C15" s="40"/>
      <c r="D15" s="39"/>
      <c r="E15" s="105"/>
      <c r="F15" s="92"/>
      <c r="G15" s="105"/>
      <c r="H15" s="89"/>
      <c r="I15" s="106"/>
      <c r="J15" s="69"/>
      <c r="K15" s="59"/>
      <c r="L15" s="42"/>
    </row>
    <row r="16" spans="1:12" x14ac:dyDescent="0.25">
      <c r="A16" s="70"/>
      <c r="B16" s="39"/>
      <c r="C16" s="39"/>
      <c r="D16" s="39"/>
      <c r="E16" s="105"/>
      <c r="F16" s="92"/>
      <c r="G16" s="105"/>
      <c r="H16" s="92"/>
      <c r="I16" s="10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105"/>
      <c r="F17" s="104"/>
      <c r="G17" s="105"/>
      <c r="H17" s="89"/>
      <c r="I17" s="10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105"/>
      <c r="F18" s="92"/>
      <c r="G18" s="106"/>
      <c r="H18" s="106"/>
      <c r="I18" s="10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105"/>
      <c r="F19" s="92"/>
      <c r="G19" s="106"/>
      <c r="H19" s="106"/>
      <c r="I19" s="106"/>
      <c r="J19" s="69"/>
      <c r="K19" s="59"/>
      <c r="L19" s="42"/>
    </row>
    <row r="20" spans="1:12" x14ac:dyDescent="0.25">
      <c r="A20" s="38"/>
      <c r="B20" s="39"/>
      <c r="C20" s="39"/>
      <c r="D20" s="39"/>
      <c r="E20" s="104"/>
      <c r="F20" s="104"/>
      <c r="G20" s="106"/>
      <c r="H20" s="106"/>
      <c r="I20" s="10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105"/>
      <c r="F21" s="104"/>
      <c r="G21" s="106"/>
      <c r="H21" s="106"/>
      <c r="I21" s="106"/>
      <c r="J21" s="69"/>
      <c r="L21" s="42"/>
    </row>
    <row r="22" spans="1:12" ht="15.95" customHeight="1" x14ac:dyDescent="0.25">
      <c r="A22" s="38"/>
      <c r="B22" s="39"/>
      <c r="C22" s="39"/>
      <c r="D22" s="39"/>
      <c r="E22" s="104"/>
      <c r="F22" s="104"/>
      <c r="G22" s="104"/>
      <c r="H22" s="104"/>
      <c r="I22" s="89"/>
      <c r="J22" s="69"/>
      <c r="K22" s="59"/>
      <c r="L22" s="42"/>
    </row>
    <row r="23" spans="1:12" x14ac:dyDescent="0.25">
      <c r="A23" s="38"/>
      <c r="B23" s="39"/>
      <c r="C23" s="39"/>
      <c r="D23" s="39"/>
      <c r="E23" s="104"/>
      <c r="F23" s="104"/>
      <c r="G23" s="105" t="s">
        <v>104</v>
      </c>
      <c r="H23" s="89">
        <f>H12+H13</f>
        <v>7</v>
      </c>
      <c r="I23" s="89" t="s">
        <v>32</v>
      </c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104"/>
      <c r="F24" s="104"/>
      <c r="G24" s="105"/>
      <c r="H24" s="89"/>
      <c r="I24" s="89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104"/>
      <c r="F25" s="104"/>
      <c r="G25" s="106"/>
      <c r="H25" s="104"/>
      <c r="I25" s="89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104"/>
      <c r="F26" s="104"/>
      <c r="G26" s="107" t="s">
        <v>52</v>
      </c>
      <c r="H26" s="89">
        <f>ROUNDUP(SUM(H23:H24),0)</f>
        <v>7</v>
      </c>
      <c r="I26" s="89"/>
      <c r="J26" s="69"/>
      <c r="K26" s="108">
        <f>H26</f>
        <v>7</v>
      </c>
      <c r="L26" s="42"/>
    </row>
    <row r="27" spans="1:12" x14ac:dyDescent="0.25">
      <c r="A27" s="38"/>
      <c r="B27" s="39"/>
      <c r="C27" s="39"/>
      <c r="D27" s="39"/>
      <c r="E27" s="104"/>
      <c r="F27" s="104"/>
      <c r="G27" s="104"/>
      <c r="H27" s="104"/>
      <c r="I27" s="89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7</v>
      </c>
      <c r="L38" s="51">
        <f>K38</f>
        <v>7</v>
      </c>
    </row>
  </sheetData>
  <mergeCells count="8">
    <mergeCell ref="A38:J38"/>
    <mergeCell ref="A7:J7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L38"/>
  <sheetViews>
    <sheetView view="pageBreakPreview" zoomScale="80" zoomScaleNormal="100" zoomScaleSheetLayoutView="80" workbookViewId="0">
      <selection activeCell="I14" sqref="I14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67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'516E46700'!I2:J2+1</f>
        <v>14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77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93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35"/>
      <c r="F9" s="35"/>
      <c r="G9" s="35"/>
      <c r="H9" s="35"/>
      <c r="I9" s="36"/>
      <c r="J9" s="69"/>
      <c r="K9" s="57"/>
      <c r="L9" s="41"/>
    </row>
    <row r="10" spans="1:12" ht="15.95" customHeight="1" x14ac:dyDescent="0.25">
      <c r="A10" s="52"/>
      <c r="B10" s="39"/>
      <c r="C10" s="40"/>
      <c r="D10" s="39"/>
      <c r="E10" s="55"/>
      <c r="F10" s="35"/>
      <c r="G10" s="35"/>
      <c r="H10" s="35"/>
      <c r="I10" s="36"/>
      <c r="J10" s="69"/>
      <c r="K10" s="57"/>
      <c r="L10" s="41"/>
    </row>
    <row r="11" spans="1:12" x14ac:dyDescent="0.25">
      <c r="A11" s="70"/>
      <c r="B11" s="39"/>
      <c r="C11" s="39"/>
      <c r="D11" s="39"/>
      <c r="E11" s="55"/>
      <c r="F11" s="35"/>
      <c r="G11" s="39"/>
      <c r="H11" s="39"/>
      <c r="I11" s="61"/>
      <c r="J11" s="69"/>
      <c r="K11" s="57"/>
      <c r="L11" s="41"/>
    </row>
    <row r="12" spans="1:12" ht="15.95" customHeight="1" x14ac:dyDescent="0.25">
      <c r="A12" s="38"/>
      <c r="B12" s="35"/>
      <c r="C12" s="35"/>
      <c r="D12" s="35"/>
      <c r="E12" s="55"/>
      <c r="F12" s="35"/>
      <c r="G12" s="39"/>
      <c r="H12" s="63"/>
      <c r="I12" s="35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62"/>
      <c r="G13" s="39"/>
      <c r="H13" s="62"/>
      <c r="I13" s="43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35"/>
      <c r="F14" s="35"/>
      <c r="G14" s="39"/>
      <c r="H14" s="35"/>
      <c r="I14" s="36"/>
      <c r="J14" s="69"/>
      <c r="K14" s="59"/>
      <c r="L14" s="42"/>
    </row>
    <row r="15" spans="1:12" ht="15.95" customHeight="1" x14ac:dyDescent="0.25">
      <c r="A15" s="52"/>
      <c r="B15" s="39"/>
      <c r="C15" s="40"/>
      <c r="D15" s="39"/>
      <c r="E15" s="55"/>
      <c r="F15" s="35"/>
      <c r="G15" s="35"/>
      <c r="H15" s="35"/>
      <c r="I15" s="36"/>
      <c r="J15" s="69"/>
      <c r="K15" s="59"/>
      <c r="L15" s="42"/>
    </row>
    <row r="16" spans="1:12" x14ac:dyDescent="0.25">
      <c r="A16" s="70"/>
      <c r="B16" s="39"/>
      <c r="C16" s="39"/>
      <c r="D16" s="39"/>
      <c r="E16" s="55"/>
      <c r="F16" s="35"/>
      <c r="G16" s="39"/>
      <c r="H16" s="39"/>
      <c r="I16" s="3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39"/>
      <c r="F17" s="39"/>
      <c r="G17" s="39"/>
      <c r="H17" s="39"/>
      <c r="I17" s="3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55"/>
      <c r="F18" s="35"/>
      <c r="G18" s="39"/>
      <c r="H18" s="39"/>
      <c r="I18" s="3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55"/>
      <c r="F19" s="35"/>
      <c r="G19" s="39"/>
      <c r="H19" s="39"/>
      <c r="I19" s="36"/>
      <c r="J19" s="69"/>
      <c r="K19" s="59"/>
      <c r="L19" s="42"/>
    </row>
    <row r="20" spans="1:12" x14ac:dyDescent="0.25">
      <c r="A20" s="38"/>
      <c r="B20" s="39"/>
      <c r="C20" s="39"/>
      <c r="D20" s="39"/>
      <c r="E20" s="39"/>
      <c r="F20" s="39"/>
      <c r="G20" s="39"/>
      <c r="H20" s="39"/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55" t="s">
        <v>52</v>
      </c>
      <c r="H21" s="35" t="s">
        <v>93</v>
      </c>
      <c r="I21" s="36"/>
      <c r="J21" s="69"/>
      <c r="K21" s="58" t="str">
        <f>H21</f>
        <v>LS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 t="s">
        <v>93</v>
      </c>
      <c r="L38" s="51" t="str">
        <f>K38</f>
        <v>LS</v>
      </c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S40"/>
  <sheetViews>
    <sheetView view="pageBreakPreview" zoomScale="80" zoomScaleNormal="100" zoomScaleSheetLayoutView="80" workbookViewId="0">
      <selection activeCell="H19" sqref="H19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9.7109375" customWidth="1"/>
    <col min="10" max="10" width="6.140625" customWidth="1"/>
    <col min="11" max="11" width="10.5703125" customWidth="1"/>
    <col min="12" max="12" width="10.85546875" customWidth="1"/>
  </cols>
  <sheetData>
    <row r="1" spans="1:19" ht="18.75" x14ac:dyDescent="0.4">
      <c r="A1" s="9" t="s">
        <v>6</v>
      </c>
      <c r="B1" s="10"/>
      <c r="C1" s="11"/>
      <c r="D1" s="12" t="s">
        <v>38</v>
      </c>
      <c r="E1" s="13" t="str">
        <f>'202E11201'!E1</f>
        <v>ATM</v>
      </c>
      <c r="F1" s="12" t="s">
        <v>39</v>
      </c>
      <c r="G1" s="14">
        <f>'202E11201'!G1</f>
        <v>45161</v>
      </c>
      <c r="H1" s="12" t="s">
        <v>40</v>
      </c>
      <c r="I1" s="252" t="s">
        <v>60</v>
      </c>
      <c r="J1" s="253"/>
      <c r="K1" s="11"/>
      <c r="L1" s="15"/>
    </row>
    <row r="2" spans="1:19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'516E47001'!I2:J2+1</f>
        <v>15</v>
      </c>
      <c r="J2" s="255"/>
      <c r="L2" s="22"/>
    </row>
    <row r="3" spans="1:19" ht="9.75" customHeight="1" x14ac:dyDescent="0.25">
      <c r="A3" s="23"/>
      <c r="L3" s="22"/>
    </row>
    <row r="4" spans="1:19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9" ht="20.100000000000001" customHeight="1" x14ac:dyDescent="0.25">
      <c r="A5" s="24" t="s">
        <v>47</v>
      </c>
      <c r="B5" s="25"/>
      <c r="C5" s="251" t="s">
        <v>61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34</v>
      </c>
    </row>
    <row r="6" spans="1:19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9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9" ht="15.95" customHeight="1" x14ac:dyDescent="0.25">
      <c r="A8" s="64"/>
      <c r="B8" s="33"/>
      <c r="C8" s="65"/>
      <c r="D8" s="66"/>
      <c r="E8" s="33"/>
      <c r="F8" s="33"/>
      <c r="G8" s="33"/>
      <c r="H8" s="33" t="s">
        <v>86</v>
      </c>
      <c r="I8" s="67" t="s">
        <v>87</v>
      </c>
      <c r="J8" s="110"/>
      <c r="K8" s="113"/>
      <c r="L8" s="37"/>
    </row>
    <row r="9" spans="1:19" ht="15.95" customHeight="1" x14ac:dyDescent="0.25">
      <c r="A9" s="52"/>
      <c r="B9" s="39"/>
      <c r="C9" s="40"/>
      <c r="D9" s="39"/>
      <c r="E9" s="35"/>
      <c r="F9" s="35"/>
      <c r="G9" s="35"/>
      <c r="H9" s="35" t="s">
        <v>51</v>
      </c>
      <c r="I9" s="36" t="s">
        <v>173</v>
      </c>
      <c r="J9" s="111"/>
      <c r="K9" s="41"/>
      <c r="L9" s="41"/>
    </row>
    <row r="10" spans="1:19" ht="15.95" customHeight="1" x14ac:dyDescent="0.25">
      <c r="A10" s="52"/>
      <c r="B10" s="39"/>
      <c r="C10" s="40"/>
      <c r="D10" s="39"/>
      <c r="E10" s="55"/>
      <c r="F10" s="35"/>
      <c r="G10" s="55" t="s">
        <v>78</v>
      </c>
      <c r="H10" s="35">
        <f>1.7+4.2+2.6+1.2+2.4+5</f>
        <v>17.100000000000001</v>
      </c>
      <c r="I10" s="34">
        <f>ROUNDUP(H10*1.15,0)</f>
        <v>20</v>
      </c>
      <c r="J10" s="111"/>
      <c r="K10" s="41"/>
      <c r="L10" s="41"/>
    </row>
    <row r="11" spans="1:19" x14ac:dyDescent="0.25">
      <c r="A11" s="70"/>
      <c r="B11" s="39"/>
      <c r="C11" s="39"/>
      <c r="D11" s="39"/>
      <c r="E11" s="55"/>
      <c r="F11" s="35"/>
      <c r="G11" s="55" t="s">
        <v>79</v>
      </c>
      <c r="H11" s="35">
        <f>3.3+7+0.3+1.6+1+1.5+2.5+20.8+17.3+0.6+16.5+10.5+29.3+3.7+2.9+5.6+1+7.3+7.3+4.3+2.3+1.4+2.6+11.3+4.8+1+3.5+5.4+2.5+4.5+4+5</f>
        <v>192.60000000000008</v>
      </c>
      <c r="I11" s="34">
        <f>ROUNDUP(H11*1.15,0)</f>
        <v>222</v>
      </c>
      <c r="J11" s="111"/>
      <c r="K11" s="41"/>
      <c r="L11" s="41"/>
    </row>
    <row r="12" spans="1:19" ht="15.95" customHeight="1" x14ac:dyDescent="0.25">
      <c r="A12" s="38"/>
      <c r="B12" s="35"/>
      <c r="C12" s="35"/>
      <c r="D12" s="35"/>
      <c r="E12" s="55"/>
      <c r="F12" s="35"/>
      <c r="G12" s="55" t="s">
        <v>80</v>
      </c>
      <c r="H12" s="35">
        <f>24+8.9+13.8+6.4+6.2+2.3+1.4+0.6+7.1+24.3+1+0.3+5.8+2.8+6.3+7.7</f>
        <v>118.89999999999999</v>
      </c>
      <c r="I12" s="34">
        <f>ROUNDUP(H12*1.15,0)+1</f>
        <v>138</v>
      </c>
      <c r="J12" s="111"/>
      <c r="K12" s="114"/>
      <c r="L12" s="42"/>
    </row>
    <row r="13" spans="1:19" ht="16.5" customHeight="1" x14ac:dyDescent="0.25">
      <c r="A13" s="38"/>
      <c r="B13" s="62"/>
      <c r="C13" s="62"/>
      <c r="D13" s="62"/>
      <c r="E13" s="55"/>
      <c r="F13" s="62"/>
      <c r="G13" s="55" t="s">
        <v>81</v>
      </c>
      <c r="H13" s="35">
        <f>13.3+3.3+27.1+2.5+6.3+11.9+7+1.8+24.5+7.5+1.2+2.8+7.5+2.9+4.3+4.6+21.8+1.2+8.7+1.4+7.3+4.9+16.7+1.9+1+2+6.3+2.4+5.1+3.8+6</f>
        <v>219.00000000000003</v>
      </c>
      <c r="I13" s="34">
        <f>ROUNDUP(H13*1.15,0)+1</f>
        <v>253</v>
      </c>
      <c r="J13" s="111"/>
      <c r="K13" s="42"/>
      <c r="L13" s="42"/>
    </row>
    <row r="14" spans="1:19" ht="15.95" customHeight="1" x14ac:dyDescent="0.25">
      <c r="A14" s="52"/>
      <c r="B14" s="39"/>
      <c r="C14" s="40"/>
      <c r="D14" s="40"/>
      <c r="E14" s="35"/>
      <c r="F14" s="35"/>
      <c r="G14" s="55" t="s">
        <v>82</v>
      </c>
      <c r="H14" s="35">
        <f>2.7+1.9+12.3+7.4+1.8+10.3+10.3+1.5+1.4+0.2+4.7+13.4+4+1.7+1.4+1.3+4.1+3.8+1</f>
        <v>85.2</v>
      </c>
      <c r="I14" s="34">
        <f t="shared" ref="I14:I19" si="0">ROUNDUP(H14*1.15,0)</f>
        <v>98</v>
      </c>
      <c r="J14" s="111"/>
      <c r="K14" s="42"/>
      <c r="L14" s="42"/>
      <c r="Q14" s="269"/>
      <c r="R14" s="269"/>
      <c r="S14" s="269"/>
    </row>
    <row r="15" spans="1:19" ht="15.95" customHeight="1" x14ac:dyDescent="0.25">
      <c r="A15" s="52"/>
      <c r="B15" s="39"/>
      <c r="C15" s="40"/>
      <c r="D15" s="40"/>
      <c r="E15" s="35"/>
      <c r="F15" s="35"/>
      <c r="G15" s="55" t="s">
        <v>158</v>
      </c>
      <c r="H15" s="35">
        <v>24</v>
      </c>
      <c r="I15" s="34">
        <f t="shared" si="0"/>
        <v>28</v>
      </c>
      <c r="J15" s="111"/>
      <c r="K15" s="42"/>
      <c r="L15" s="42"/>
      <c r="Q15" s="73"/>
      <c r="R15" s="73"/>
      <c r="S15" s="73"/>
    </row>
    <row r="16" spans="1:19" ht="15.95" customHeight="1" x14ac:dyDescent="0.25">
      <c r="A16" s="52"/>
      <c r="B16" s="39"/>
      <c r="C16" s="40"/>
      <c r="D16" s="40"/>
      <c r="E16" s="35"/>
      <c r="F16" s="35"/>
      <c r="G16" s="55" t="s">
        <v>159</v>
      </c>
      <c r="H16" s="35">
        <v>32</v>
      </c>
      <c r="I16" s="34">
        <f t="shared" si="0"/>
        <v>37</v>
      </c>
      <c r="J16" s="111"/>
      <c r="K16" s="42"/>
      <c r="L16" s="42"/>
      <c r="Q16" s="73"/>
      <c r="R16" s="73"/>
      <c r="S16" s="73"/>
    </row>
    <row r="17" spans="1:19" ht="15.95" customHeight="1" x14ac:dyDescent="0.25">
      <c r="A17" s="52"/>
      <c r="B17" s="39"/>
      <c r="C17" s="40"/>
      <c r="D17" s="39"/>
      <c r="E17" s="55"/>
      <c r="F17" s="35"/>
      <c r="G17" s="55" t="s">
        <v>83</v>
      </c>
      <c r="H17" s="34">
        <f>5.3+0.7+1.6+1.9+9+3.3+2.6+7+1.9+7+1.6+7+2.9+18.5+5.8+0.3+8.3+4.5+3.1+2.9+1.5+1.2+2.7+6+9+0.6+5.3+1.4+1+1.9+19.3+4.8+0.3+9+2.8</f>
        <v>162.00000000000006</v>
      </c>
      <c r="I17" s="34">
        <f t="shared" si="0"/>
        <v>187</v>
      </c>
      <c r="J17" s="111"/>
      <c r="K17" s="42"/>
      <c r="L17" s="42"/>
      <c r="Q17" s="73"/>
      <c r="R17" s="73"/>
      <c r="S17" s="73"/>
    </row>
    <row r="18" spans="1:19" x14ac:dyDescent="0.25">
      <c r="A18" s="70"/>
      <c r="B18" s="39"/>
      <c r="C18" s="39"/>
      <c r="D18" s="39"/>
      <c r="E18" s="55"/>
      <c r="F18" s="35"/>
      <c r="G18" s="55" t="s">
        <v>84</v>
      </c>
      <c r="H18" s="35">
        <v>59.8</v>
      </c>
      <c r="I18" s="34">
        <f t="shared" si="0"/>
        <v>69</v>
      </c>
      <c r="J18" s="111"/>
      <c r="K18" s="42"/>
      <c r="L18" s="42"/>
      <c r="Q18" s="269"/>
      <c r="R18" s="269"/>
      <c r="S18" s="269"/>
    </row>
    <row r="19" spans="1:19" ht="15.75" customHeight="1" x14ac:dyDescent="0.25">
      <c r="A19" s="38"/>
      <c r="B19" s="39"/>
      <c r="C19" s="39"/>
      <c r="D19" s="39"/>
      <c r="E19" s="39"/>
      <c r="F19" s="39"/>
      <c r="G19" s="55" t="s">
        <v>85</v>
      </c>
      <c r="H19" s="35">
        <v>57.6</v>
      </c>
      <c r="I19" s="34">
        <f t="shared" si="0"/>
        <v>67</v>
      </c>
      <c r="J19" s="111"/>
      <c r="K19" s="114"/>
      <c r="L19" s="42"/>
      <c r="Q19" s="73"/>
    </row>
    <row r="20" spans="1:19" ht="15.95" customHeight="1" x14ac:dyDescent="0.25">
      <c r="A20" s="38"/>
      <c r="B20" s="39"/>
      <c r="C20" s="39"/>
      <c r="D20" s="39"/>
      <c r="E20" s="55"/>
      <c r="F20" s="35"/>
      <c r="G20" s="39"/>
      <c r="H20" s="39"/>
      <c r="I20" s="36"/>
      <c r="J20" s="111"/>
      <c r="K20" s="42"/>
      <c r="L20" s="42"/>
      <c r="Q20" s="269"/>
      <c r="R20" s="269"/>
      <c r="S20" s="269"/>
    </row>
    <row r="21" spans="1:19" ht="15.95" customHeight="1" x14ac:dyDescent="0.25">
      <c r="A21" s="38"/>
      <c r="B21" s="39"/>
      <c r="C21" s="39"/>
      <c r="D21" s="39"/>
      <c r="E21" s="55"/>
      <c r="F21" s="35"/>
      <c r="G21" s="39"/>
      <c r="H21" s="55" t="s">
        <v>143</v>
      </c>
      <c r="I21" s="36">
        <f>I10+I11</f>
        <v>242</v>
      </c>
      <c r="J21" s="111"/>
      <c r="K21" s="42"/>
      <c r="L21" s="42"/>
      <c r="Q21" s="269"/>
      <c r="R21" s="269"/>
      <c r="S21" s="269"/>
    </row>
    <row r="22" spans="1:19" x14ac:dyDescent="0.25">
      <c r="A22" s="38"/>
      <c r="B22" s="39"/>
      <c r="C22" s="39"/>
      <c r="D22" s="39"/>
      <c r="E22" s="39"/>
      <c r="F22" s="39"/>
      <c r="G22" s="39"/>
      <c r="H22" s="55" t="s">
        <v>144</v>
      </c>
      <c r="I22" s="36">
        <f>SUM(I12:I17)</f>
        <v>741</v>
      </c>
      <c r="J22" s="111"/>
      <c r="K22" s="42"/>
      <c r="L22" s="42"/>
      <c r="Q22" s="268"/>
      <c r="R22" s="268"/>
      <c r="S22" s="268"/>
    </row>
    <row r="23" spans="1:19" ht="15.95" customHeight="1" x14ac:dyDescent="0.25">
      <c r="A23" s="38"/>
      <c r="B23" s="39"/>
      <c r="C23" s="39"/>
      <c r="D23" s="39"/>
      <c r="E23" s="55"/>
      <c r="F23" s="39"/>
      <c r="H23" s="26" t="s">
        <v>145</v>
      </c>
      <c r="I23" s="168">
        <f>I18+I19</f>
        <v>136</v>
      </c>
      <c r="J23" s="111"/>
      <c r="K23" s="162"/>
      <c r="L23" s="42"/>
    </row>
    <row r="24" spans="1:19" ht="15.95" customHeight="1" x14ac:dyDescent="0.25">
      <c r="A24" s="38"/>
      <c r="B24" s="39"/>
      <c r="C24" s="39"/>
      <c r="D24" s="39"/>
      <c r="E24" s="39"/>
      <c r="F24" s="39"/>
      <c r="G24" s="55" t="s">
        <v>52</v>
      </c>
      <c r="H24" s="35"/>
      <c r="I24" s="34">
        <f>ROUNDUP(SUM(I10:I19),0)</f>
        <v>1119</v>
      </c>
      <c r="J24" s="111"/>
      <c r="K24" s="114">
        <f>I24</f>
        <v>1119</v>
      </c>
      <c r="L24" s="42"/>
    </row>
    <row r="25" spans="1:19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111"/>
      <c r="K25" s="42"/>
      <c r="L25" s="42"/>
    </row>
    <row r="26" spans="1:19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111"/>
      <c r="K26" s="114"/>
      <c r="L26" s="42"/>
    </row>
    <row r="27" spans="1:19" ht="15.95" customHeight="1" x14ac:dyDescent="0.25">
      <c r="A27" s="38"/>
      <c r="B27" s="39"/>
      <c r="C27" s="39"/>
      <c r="D27" s="96" t="s">
        <v>172</v>
      </c>
      <c r="E27" s="39"/>
      <c r="F27" s="39"/>
      <c r="G27" s="39"/>
      <c r="H27" s="39"/>
      <c r="I27" s="36"/>
      <c r="J27" s="111"/>
      <c r="K27" s="114"/>
      <c r="L27" s="42"/>
    </row>
    <row r="28" spans="1:19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111"/>
      <c r="K28" s="114"/>
      <c r="L28" s="42"/>
    </row>
    <row r="29" spans="1:19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111"/>
      <c r="K29" s="114"/>
      <c r="L29" s="42"/>
    </row>
    <row r="30" spans="1:19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111"/>
      <c r="K30" s="114"/>
      <c r="L30" s="42"/>
    </row>
    <row r="31" spans="1:19" ht="15.95" customHeight="1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111"/>
      <c r="K31" s="114"/>
      <c r="L31" s="41"/>
    </row>
    <row r="32" spans="1:19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111"/>
      <c r="K32" s="114"/>
      <c r="L32" s="41"/>
    </row>
    <row r="33" spans="1:12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111"/>
      <c r="K33" s="114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111"/>
      <c r="K34" s="114"/>
      <c r="L34" s="41"/>
    </row>
    <row r="35" spans="1:12" ht="15.95" customHeight="1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111"/>
      <c r="K35" s="114"/>
      <c r="L35" s="41"/>
    </row>
    <row r="36" spans="1:12" ht="15.95" customHeight="1" x14ac:dyDescent="0.25">
      <c r="A36" s="38"/>
      <c r="B36" s="39"/>
      <c r="C36" s="39"/>
      <c r="D36" s="39"/>
      <c r="E36" s="39"/>
      <c r="F36" s="39"/>
      <c r="G36" s="39"/>
      <c r="H36" s="39"/>
      <c r="I36" s="36"/>
      <c r="J36" s="111"/>
      <c r="K36" s="114"/>
      <c r="L36" s="41"/>
    </row>
    <row r="37" spans="1:12" x14ac:dyDescent="0.25">
      <c r="A37" s="38"/>
      <c r="B37" s="39"/>
      <c r="C37" s="39"/>
      <c r="D37" s="39"/>
      <c r="E37" s="39"/>
      <c r="F37" s="39"/>
      <c r="G37" s="39"/>
      <c r="H37" s="39"/>
      <c r="I37" s="36"/>
      <c r="J37" s="111"/>
      <c r="K37" s="114"/>
      <c r="L37" s="41"/>
    </row>
    <row r="38" spans="1:12" ht="15.95" customHeight="1" x14ac:dyDescent="0.25">
      <c r="A38" s="38"/>
      <c r="B38" s="35"/>
      <c r="C38" s="35"/>
      <c r="D38" s="35"/>
      <c r="E38" s="35"/>
      <c r="F38" s="35"/>
      <c r="G38" s="35"/>
      <c r="H38" s="63"/>
      <c r="I38" s="36"/>
      <c r="J38" s="111"/>
      <c r="K38" s="114"/>
      <c r="L38" s="41"/>
    </row>
    <row r="39" spans="1:12" ht="15.75" thickBot="1" x14ac:dyDescent="0.3">
      <c r="A39" s="71"/>
      <c r="B39" s="45"/>
      <c r="C39" s="45"/>
      <c r="D39" s="45"/>
      <c r="E39" s="46"/>
      <c r="F39" s="46"/>
      <c r="G39" s="47"/>
      <c r="H39" s="45"/>
      <c r="I39" s="48"/>
      <c r="J39" s="112"/>
      <c r="K39" s="115"/>
      <c r="L39" s="44"/>
    </row>
    <row r="40" spans="1:12" ht="15.75" thickBot="1" x14ac:dyDescent="0.3">
      <c r="A40" s="245" t="s">
        <v>50</v>
      </c>
      <c r="B40" s="246"/>
      <c r="C40" s="246"/>
      <c r="D40" s="246"/>
      <c r="E40" s="246"/>
      <c r="F40" s="246"/>
      <c r="G40" s="246"/>
      <c r="H40" s="246"/>
      <c r="I40" s="246"/>
      <c r="J40" s="247"/>
      <c r="K40" s="50">
        <f>SUM(K8:K39)</f>
        <v>1119</v>
      </c>
      <c r="L40" s="51">
        <f>K40</f>
        <v>1119</v>
      </c>
    </row>
  </sheetData>
  <mergeCells count="13">
    <mergeCell ref="A40:J40"/>
    <mergeCell ref="A7:J7"/>
    <mergeCell ref="Q14:S14"/>
    <mergeCell ref="Q18:S18"/>
    <mergeCell ref="Q20:S20"/>
    <mergeCell ref="Q21:S21"/>
    <mergeCell ref="Q22:S22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4" orientation="portrait" r:id="rId1"/>
  <colBreaks count="1" manualBreakCount="1">
    <brk id="12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L38"/>
  <sheetViews>
    <sheetView view="pageBreakPreview" zoomScale="80" zoomScaleNormal="100" zoomScaleSheetLayoutView="80" workbookViewId="0">
      <selection activeCell="I13" sqref="I13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62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'519E11101'!I2:J2+1</f>
        <v>16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63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57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81"/>
      <c r="G8" s="81"/>
      <c r="H8" s="81"/>
      <c r="I8" s="84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53" t="s">
        <v>86</v>
      </c>
      <c r="F9" s="80" t="s">
        <v>87</v>
      </c>
      <c r="G9" s="80" t="s">
        <v>87</v>
      </c>
      <c r="H9" s="39"/>
      <c r="I9" s="39"/>
      <c r="J9" s="79"/>
      <c r="K9" s="57"/>
      <c r="L9" s="41"/>
    </row>
    <row r="10" spans="1:12" ht="15.95" customHeight="1" x14ac:dyDescent="0.25">
      <c r="A10" s="52"/>
      <c r="B10" s="39"/>
      <c r="C10" s="40"/>
      <c r="D10" s="53"/>
      <c r="E10" s="35" t="s">
        <v>51</v>
      </c>
      <c r="F10" s="36" t="s">
        <v>173</v>
      </c>
      <c r="G10" s="36" t="s">
        <v>173</v>
      </c>
      <c r="H10" s="80"/>
      <c r="I10" s="80"/>
      <c r="J10" s="69"/>
      <c r="K10" s="57"/>
      <c r="L10" s="41"/>
    </row>
    <row r="11" spans="1:12" x14ac:dyDescent="0.25">
      <c r="A11" s="70"/>
      <c r="B11" s="39"/>
      <c r="C11" s="39"/>
      <c r="D11" s="35"/>
      <c r="E11" s="35" t="s">
        <v>34</v>
      </c>
      <c r="F11" s="36" t="s">
        <v>34</v>
      </c>
      <c r="G11" s="35" t="s">
        <v>57</v>
      </c>
      <c r="H11" s="36"/>
      <c r="I11" s="36"/>
      <c r="J11" s="69"/>
      <c r="K11" s="57"/>
      <c r="L11" s="41"/>
    </row>
    <row r="12" spans="1:12" ht="15.95" customHeight="1" x14ac:dyDescent="0.25">
      <c r="A12" s="38"/>
      <c r="B12" s="35"/>
      <c r="C12" s="35"/>
      <c r="D12" s="55" t="s">
        <v>88</v>
      </c>
      <c r="E12" s="35">
        <v>1118.9000000000001</v>
      </c>
      <c r="F12" s="34">
        <f>ROUNDUP(E12*1.5,0)</f>
        <v>1679</v>
      </c>
      <c r="G12" s="34">
        <f>F12/9</f>
        <v>186.55555555555554</v>
      </c>
      <c r="H12" s="34"/>
      <c r="I12" s="34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62"/>
      <c r="G13" s="62"/>
      <c r="H13" s="62"/>
      <c r="I13" s="43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35"/>
      <c r="F14" s="35"/>
      <c r="G14" s="35"/>
      <c r="H14" s="35"/>
      <c r="I14" s="36"/>
      <c r="J14" s="69"/>
      <c r="K14" s="59"/>
      <c r="L14" s="42"/>
    </row>
    <row r="15" spans="1:12" ht="15.95" customHeight="1" x14ac:dyDescent="0.25">
      <c r="A15" s="52"/>
      <c r="B15" s="39"/>
      <c r="C15" s="40"/>
      <c r="D15" s="96" t="s">
        <v>172</v>
      </c>
      <c r="E15" s="55"/>
      <c r="F15" s="35"/>
      <c r="G15" s="35"/>
      <c r="H15" s="35"/>
      <c r="I15" s="36"/>
      <c r="J15" s="69"/>
      <c r="K15" s="59"/>
      <c r="L15" s="42"/>
    </row>
    <row r="16" spans="1:12" x14ac:dyDescent="0.25">
      <c r="A16" s="70"/>
      <c r="B16" s="39"/>
      <c r="C16" s="39"/>
      <c r="D16" s="39"/>
      <c r="E16" s="55"/>
      <c r="F16" s="35"/>
      <c r="G16" s="39"/>
      <c r="H16" s="39"/>
      <c r="I16" s="3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39"/>
      <c r="F17" s="39"/>
      <c r="G17" s="39"/>
      <c r="H17" s="39"/>
      <c r="I17" s="3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55"/>
      <c r="F18" s="35"/>
      <c r="G18" s="39"/>
      <c r="H18" s="39"/>
      <c r="I18" s="3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55"/>
      <c r="F19" s="35"/>
      <c r="G19" s="55" t="s">
        <v>109</v>
      </c>
      <c r="H19" s="34">
        <f>G12</f>
        <v>186.55555555555554</v>
      </c>
      <c r="I19" s="36" t="s">
        <v>57</v>
      </c>
      <c r="J19" s="69"/>
      <c r="K19" s="59"/>
      <c r="L19" s="42"/>
    </row>
    <row r="20" spans="1:12" x14ac:dyDescent="0.25">
      <c r="A20" s="38"/>
      <c r="B20" s="39"/>
      <c r="C20" s="39"/>
      <c r="D20" s="39"/>
      <c r="E20" s="39"/>
      <c r="F20" s="39"/>
      <c r="G20" s="39"/>
      <c r="H20" s="39"/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161" t="s">
        <v>50</v>
      </c>
      <c r="H21" s="174">
        <f>ROUNDUP(SUM(H17:H19),0)</f>
        <v>187</v>
      </c>
      <c r="I21" s="36" t="s">
        <v>57</v>
      </c>
      <c r="J21" s="69"/>
      <c r="K21" s="58">
        <f>H21</f>
        <v>187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187</v>
      </c>
      <c r="L38" s="51">
        <f>K38</f>
        <v>187</v>
      </c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38"/>
  <sheetViews>
    <sheetView view="pageBreakPreview" zoomScale="80" zoomScaleNormal="100" zoomScaleSheetLayoutView="80" workbookViewId="0">
      <selection activeCell="G14" sqref="G14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v>45174</v>
      </c>
      <c r="H1" s="12" t="s">
        <v>40</v>
      </c>
      <c r="I1" s="252" t="s">
        <v>235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v>45174</v>
      </c>
      <c r="H2" s="21" t="s">
        <v>43</v>
      </c>
      <c r="I2" s="254">
        <f>'519E12300'!I2:J2+1</f>
        <v>17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234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59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81"/>
      <c r="G8" s="81"/>
      <c r="H8" s="81"/>
      <c r="I8" s="84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53"/>
      <c r="F9" s="80"/>
      <c r="G9" s="80"/>
      <c r="H9" s="39"/>
      <c r="I9" s="39"/>
      <c r="J9" s="79"/>
      <c r="K9" s="57"/>
      <c r="L9" s="41"/>
    </row>
    <row r="10" spans="1:12" ht="15.95" customHeight="1" x14ac:dyDescent="0.25">
      <c r="A10" s="52"/>
      <c r="B10" s="39"/>
      <c r="C10" s="40"/>
      <c r="D10" s="53"/>
      <c r="E10" s="35"/>
      <c r="F10" s="36"/>
      <c r="G10" s="36" t="s">
        <v>66</v>
      </c>
      <c r="H10" s="80"/>
      <c r="I10" s="80"/>
      <c r="J10" s="69"/>
      <c r="K10" s="57"/>
      <c r="L10" s="41"/>
    </row>
    <row r="11" spans="1:12" x14ac:dyDescent="0.25">
      <c r="A11" s="70"/>
      <c r="B11" s="39"/>
      <c r="C11" s="39"/>
      <c r="D11" s="35"/>
      <c r="E11" s="35"/>
      <c r="F11" s="36" t="s">
        <v>224</v>
      </c>
      <c r="G11" s="35" t="s">
        <v>59</v>
      </c>
      <c r="H11" s="36"/>
      <c r="I11" s="36"/>
      <c r="J11" s="69"/>
      <c r="K11" s="57"/>
      <c r="L11" s="41"/>
    </row>
    <row r="12" spans="1:12" ht="15.95" customHeight="1" x14ac:dyDescent="0.25">
      <c r="A12" s="38"/>
      <c r="B12" s="35"/>
      <c r="C12" s="35"/>
      <c r="D12" s="55"/>
      <c r="E12" s="35"/>
      <c r="F12" s="185" t="s">
        <v>236</v>
      </c>
      <c r="G12" s="35">
        <v>12.5</v>
      </c>
      <c r="H12" s="34"/>
      <c r="I12" s="34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185" t="s">
        <v>237</v>
      </c>
      <c r="G13" s="62">
        <v>25</v>
      </c>
      <c r="H13" s="62"/>
      <c r="I13" s="43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35"/>
      <c r="F14" s="185" t="s">
        <v>259</v>
      </c>
      <c r="G14" s="35">
        <v>12.5</v>
      </c>
      <c r="H14" s="35"/>
      <c r="I14" s="36"/>
      <c r="J14" s="69"/>
      <c r="K14" s="59"/>
      <c r="L14" s="42"/>
    </row>
    <row r="15" spans="1:12" ht="15.95" customHeight="1" x14ac:dyDescent="0.25">
      <c r="A15" s="52"/>
      <c r="B15" s="39"/>
      <c r="C15" s="40"/>
      <c r="D15" s="96"/>
      <c r="E15" s="55"/>
      <c r="F15" s="35"/>
      <c r="G15" s="35"/>
      <c r="H15" s="35"/>
      <c r="I15" s="36"/>
      <c r="J15" s="69"/>
      <c r="K15" s="59"/>
      <c r="L15" s="42"/>
    </row>
    <row r="16" spans="1:12" x14ac:dyDescent="0.25">
      <c r="A16" s="70"/>
      <c r="B16" s="39"/>
      <c r="C16" s="39"/>
      <c r="D16" s="39"/>
      <c r="E16" s="55"/>
      <c r="F16" s="35"/>
      <c r="G16" s="39"/>
      <c r="H16" s="39"/>
      <c r="I16" s="3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39"/>
      <c r="F17" s="39"/>
      <c r="G17" s="39"/>
      <c r="H17" s="39"/>
      <c r="I17" s="3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55"/>
      <c r="F18" s="35"/>
      <c r="G18" s="39"/>
      <c r="H18" s="39"/>
      <c r="I18" s="3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55"/>
      <c r="F19" s="35"/>
      <c r="G19" s="55" t="s">
        <v>227</v>
      </c>
      <c r="H19" s="34">
        <f>SUM(G12:G16)</f>
        <v>50</v>
      </c>
      <c r="I19" s="36" t="s">
        <v>32</v>
      </c>
      <c r="J19" s="69"/>
      <c r="K19" s="59"/>
      <c r="L19" s="42"/>
    </row>
    <row r="20" spans="1:12" x14ac:dyDescent="0.25">
      <c r="A20" s="38"/>
      <c r="B20" s="39"/>
      <c r="C20" s="39"/>
      <c r="D20" s="39"/>
      <c r="E20" s="39"/>
      <c r="F20" s="39"/>
      <c r="G20" s="39"/>
      <c r="H20" s="39"/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161" t="s">
        <v>50</v>
      </c>
      <c r="H21" s="174">
        <f>H19</f>
        <v>50</v>
      </c>
      <c r="I21" s="36" t="s">
        <v>32</v>
      </c>
      <c r="J21" s="69"/>
      <c r="K21" s="58">
        <f>H21</f>
        <v>50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233">
        <f>SUM(K8:K37)</f>
        <v>50</v>
      </c>
      <c r="L38" s="234">
        <f>K38</f>
        <v>50</v>
      </c>
    </row>
  </sheetData>
  <mergeCells count="8">
    <mergeCell ref="A7:J7"/>
    <mergeCell ref="A38:J38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38"/>
  <sheetViews>
    <sheetView view="pageBreakPreview" zoomScale="80" zoomScaleNormal="100" zoomScaleSheetLayoutView="80" workbookViewId="0">
      <selection activeCell="I3" sqref="I3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v>45174</v>
      </c>
      <c r="H1" s="12" t="s">
        <v>40</v>
      </c>
      <c r="I1" s="252" t="s">
        <v>222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v>45174</v>
      </c>
      <c r="H2" s="21" t="s">
        <v>43</v>
      </c>
      <c r="I2" s="254">
        <f>'606E15050'!I2:J2+1</f>
        <v>18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223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32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81"/>
      <c r="G8" s="81"/>
      <c r="H8" s="81"/>
      <c r="I8" s="84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53"/>
      <c r="F9" s="80"/>
      <c r="G9" s="80"/>
      <c r="H9" s="39"/>
      <c r="I9" s="39"/>
      <c r="J9" s="79"/>
      <c r="K9" s="57"/>
      <c r="L9" s="41"/>
    </row>
    <row r="10" spans="1:12" ht="15.95" customHeight="1" x14ac:dyDescent="0.25">
      <c r="A10" s="52"/>
      <c r="B10" s="39"/>
      <c r="C10" s="40"/>
      <c r="D10" s="53"/>
      <c r="E10" s="35"/>
      <c r="F10" s="36"/>
      <c r="G10" s="36"/>
      <c r="H10" s="80"/>
      <c r="I10" s="80"/>
      <c r="J10" s="69"/>
      <c r="K10" s="57"/>
      <c r="L10" s="41"/>
    </row>
    <row r="11" spans="1:12" x14ac:dyDescent="0.25">
      <c r="A11" s="70"/>
      <c r="B11" s="39"/>
      <c r="C11" s="39"/>
      <c r="D11" s="35"/>
      <c r="E11" s="35"/>
      <c r="F11" s="36" t="s">
        <v>224</v>
      </c>
      <c r="G11" s="35" t="s">
        <v>225</v>
      </c>
      <c r="H11" s="36"/>
      <c r="I11" s="36"/>
      <c r="J11" s="69"/>
      <c r="K11" s="57"/>
      <c r="L11" s="41"/>
    </row>
    <row r="12" spans="1:12" ht="15.95" customHeight="1" x14ac:dyDescent="0.25">
      <c r="A12" s="38"/>
      <c r="B12" s="35"/>
      <c r="C12" s="35"/>
      <c r="D12" s="55"/>
      <c r="E12" s="35"/>
      <c r="F12" s="185" t="s">
        <v>226</v>
      </c>
      <c r="G12" s="35">
        <v>2</v>
      </c>
      <c r="H12" s="34"/>
      <c r="I12" s="34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62"/>
      <c r="G13" s="62"/>
      <c r="H13" s="62"/>
      <c r="I13" s="43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35"/>
      <c r="F14" s="35"/>
      <c r="G14" s="35"/>
      <c r="H14" s="35"/>
      <c r="I14" s="36"/>
      <c r="J14" s="69"/>
      <c r="K14" s="59"/>
      <c r="L14" s="42"/>
    </row>
    <row r="15" spans="1:12" ht="15.95" customHeight="1" x14ac:dyDescent="0.25">
      <c r="A15" s="52"/>
      <c r="B15" s="39"/>
      <c r="C15" s="40"/>
      <c r="D15" s="96"/>
      <c r="E15" s="55"/>
      <c r="F15" s="35"/>
      <c r="G15" s="35"/>
      <c r="H15" s="35"/>
      <c r="I15" s="36"/>
      <c r="J15" s="69"/>
      <c r="K15" s="59"/>
      <c r="L15" s="42"/>
    </row>
    <row r="16" spans="1:12" x14ac:dyDescent="0.25">
      <c r="A16" s="70"/>
      <c r="B16" s="39"/>
      <c r="C16" s="39"/>
      <c r="D16" s="39"/>
      <c r="E16" s="55"/>
      <c r="F16" s="35"/>
      <c r="G16" s="39"/>
      <c r="H16" s="39"/>
      <c r="I16" s="3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39"/>
      <c r="F17" s="39"/>
      <c r="G17" s="39"/>
      <c r="H17" s="39"/>
      <c r="I17" s="3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55"/>
      <c r="F18" s="35"/>
      <c r="G18" s="39"/>
      <c r="H18" s="39"/>
      <c r="I18" s="3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55"/>
      <c r="F19" s="35"/>
      <c r="G19" s="55" t="s">
        <v>227</v>
      </c>
      <c r="H19" s="34">
        <f>G12</f>
        <v>2</v>
      </c>
      <c r="I19" s="36" t="s">
        <v>32</v>
      </c>
      <c r="J19" s="69"/>
      <c r="K19" s="59"/>
      <c r="L19" s="42"/>
    </row>
    <row r="20" spans="1:12" x14ac:dyDescent="0.25">
      <c r="A20" s="38"/>
      <c r="B20" s="39"/>
      <c r="C20" s="39"/>
      <c r="D20" s="39"/>
      <c r="E20" s="39"/>
      <c r="F20" s="39"/>
      <c r="G20" s="39"/>
      <c r="H20" s="39"/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161" t="s">
        <v>50</v>
      </c>
      <c r="H21" s="174">
        <f>ROUNDUP(SUM(H17:H19),0)</f>
        <v>2</v>
      </c>
      <c r="I21" s="36" t="s">
        <v>32</v>
      </c>
      <c r="J21" s="69"/>
      <c r="K21" s="58">
        <f>H21</f>
        <v>2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2</v>
      </c>
      <c r="L38" s="51">
        <f>K38</f>
        <v>2</v>
      </c>
    </row>
  </sheetData>
  <mergeCells count="8">
    <mergeCell ref="A7:J7"/>
    <mergeCell ref="A38:J38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S39"/>
  <sheetViews>
    <sheetView view="pageBreakPreview" zoomScale="80" zoomScaleNormal="100" zoomScaleSheetLayoutView="80" workbookViewId="0">
      <selection activeCell="AU19" sqref="AU19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12.14062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  <col min="23" max="23" width="5" bestFit="1" customWidth="1"/>
    <col min="41" max="41" width="2.85546875" style="26"/>
    <col min="43" max="43" width="6.42578125" style="235" bestFit="1" customWidth="1"/>
  </cols>
  <sheetData>
    <row r="1" spans="1:45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v>45161</v>
      </c>
      <c r="H1" s="12" t="s">
        <v>40</v>
      </c>
      <c r="I1" s="252" t="s">
        <v>92</v>
      </c>
      <c r="J1" s="253"/>
      <c r="K1" s="11"/>
      <c r="L1" s="15"/>
    </row>
    <row r="2" spans="1:45" ht="18.75" x14ac:dyDescent="0.4">
      <c r="A2" s="16" t="s">
        <v>41</v>
      </c>
      <c r="B2" s="17"/>
      <c r="D2" s="18" t="s">
        <v>42</v>
      </c>
      <c r="E2" s="19" t="s">
        <v>53</v>
      </c>
      <c r="F2" s="18" t="s">
        <v>39</v>
      </c>
      <c r="G2" s="20">
        <v>45169</v>
      </c>
      <c r="H2" s="21" t="s">
        <v>43</v>
      </c>
      <c r="I2" s="254">
        <v>1</v>
      </c>
      <c r="J2" s="255"/>
      <c r="L2" s="22"/>
    </row>
    <row r="3" spans="1:45" ht="9.75" customHeight="1" x14ac:dyDescent="0.25">
      <c r="A3" s="23"/>
      <c r="L3" s="22"/>
    </row>
    <row r="4" spans="1:45" ht="20.100000000000001" customHeight="1" x14ac:dyDescent="0.25">
      <c r="A4" s="24" t="s">
        <v>44</v>
      </c>
      <c r="B4" s="25"/>
      <c r="C4" s="256">
        <v>117872</v>
      </c>
      <c r="D4" s="256"/>
      <c r="E4" s="26" t="s">
        <v>45</v>
      </c>
      <c r="F4" s="257" t="s">
        <v>157</v>
      </c>
      <c r="G4" s="257"/>
      <c r="H4" s="26" t="s">
        <v>46</v>
      </c>
      <c r="I4" s="258" t="s">
        <v>150</v>
      </c>
      <c r="J4" s="258"/>
      <c r="K4" s="258"/>
      <c r="L4" s="259"/>
    </row>
    <row r="5" spans="1:45" ht="20.100000000000001" customHeight="1" x14ac:dyDescent="0.25">
      <c r="A5" s="24" t="s">
        <v>47</v>
      </c>
      <c r="B5" s="25"/>
      <c r="C5" s="251" t="s">
        <v>91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93</v>
      </c>
    </row>
    <row r="6" spans="1:45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45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45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  <c r="AO8" s="25" t="s">
        <v>260</v>
      </c>
    </row>
    <row r="9" spans="1:45" ht="15.95" customHeight="1" x14ac:dyDescent="0.25">
      <c r="A9" s="52"/>
      <c r="B9" s="39"/>
      <c r="C9" s="98"/>
      <c r="D9" s="91"/>
      <c r="E9" s="96"/>
      <c r="F9" s="96"/>
      <c r="G9" s="35"/>
      <c r="H9" s="35"/>
      <c r="I9" s="36"/>
      <c r="J9" s="69"/>
      <c r="K9" s="57"/>
      <c r="L9" s="41"/>
      <c r="V9" s="98" t="s">
        <v>94</v>
      </c>
      <c r="W9" s="91">
        <f>((1.25*(6.375/12))/2)*((362.83+25+25)*2)/27</f>
        <v>10.153515624999999</v>
      </c>
      <c r="X9" s="96" t="s">
        <v>74</v>
      </c>
      <c r="Y9" s="96" t="s">
        <v>212</v>
      </c>
      <c r="Z9" s="35"/>
      <c r="AO9" s="26" t="s">
        <v>164</v>
      </c>
      <c r="AQ9" s="235">
        <f>(1*15+2*10+0.5*13*9)/144</f>
        <v>0.64930555555555558</v>
      </c>
      <c r="AS9" t="s">
        <v>34</v>
      </c>
    </row>
    <row r="10" spans="1:45" ht="15.95" customHeight="1" x14ac:dyDescent="0.25">
      <c r="A10" s="52"/>
      <c r="B10" s="90"/>
      <c r="C10" s="91" t="s">
        <v>216</v>
      </c>
      <c r="D10" s="192">
        <v>25000</v>
      </c>
      <c r="E10" s="96"/>
      <c r="F10" s="96"/>
      <c r="G10" s="35"/>
      <c r="H10" s="35"/>
      <c r="I10" s="36"/>
      <c r="J10" s="69"/>
      <c r="K10" s="57"/>
      <c r="L10" s="41"/>
      <c r="V10" s="98" t="s">
        <v>94</v>
      </c>
      <c r="W10" s="91">
        <f>(((14.5/12)+3.5/12*0.5)*4*3)/27</f>
        <v>0.60185185185185186</v>
      </c>
      <c r="X10" s="96" t="s">
        <v>74</v>
      </c>
      <c r="Y10" s="96" t="s">
        <v>213</v>
      </c>
      <c r="Z10" s="35"/>
      <c r="AO10" s="26" t="s">
        <v>66</v>
      </c>
      <c r="AQ10" s="235">
        <v>7.5</v>
      </c>
      <c r="AS10" t="s">
        <v>59</v>
      </c>
    </row>
    <row r="11" spans="1:45" x14ac:dyDescent="0.25">
      <c r="A11" s="52"/>
      <c r="B11" s="90"/>
      <c r="C11" s="98"/>
      <c r="D11" s="91"/>
      <c r="E11" s="96"/>
      <c r="F11" s="35"/>
      <c r="G11" s="35"/>
      <c r="H11" s="35"/>
      <c r="I11" s="36"/>
      <c r="J11" s="69"/>
      <c r="K11" s="57"/>
      <c r="L11" s="41"/>
      <c r="V11" s="98" t="s">
        <v>214</v>
      </c>
      <c r="W11" s="91">
        <f>W9+W10</f>
        <v>10.75536747685185</v>
      </c>
      <c r="X11" s="96" t="s">
        <v>74</v>
      </c>
      <c r="Y11" s="35"/>
      <c r="Z11" s="35"/>
      <c r="AO11" s="26" t="s">
        <v>261</v>
      </c>
      <c r="AQ11" s="235">
        <v>4</v>
      </c>
      <c r="AS11" t="s">
        <v>32</v>
      </c>
    </row>
    <row r="12" spans="1:45" ht="15.95" customHeight="1" x14ac:dyDescent="0.25">
      <c r="A12" s="52"/>
      <c r="B12" s="90"/>
      <c r="C12" s="89"/>
      <c r="D12" s="93"/>
      <c r="E12" s="35"/>
      <c r="F12" s="35"/>
      <c r="G12" s="35"/>
      <c r="H12" s="35"/>
      <c r="I12" s="36"/>
      <c r="J12" s="69"/>
      <c r="K12" s="58"/>
      <c r="L12" s="42"/>
      <c r="V12" s="89"/>
      <c r="W12" s="93"/>
      <c r="X12" s="35" t="s">
        <v>95</v>
      </c>
      <c r="Y12" s="35"/>
      <c r="Z12" s="35"/>
      <c r="AO12" s="26" t="s">
        <v>50</v>
      </c>
      <c r="AQ12" s="235">
        <f>AQ9*AQ10/27*AQ11</f>
        <v>0.72145061728395066</v>
      </c>
      <c r="AS12" t="s">
        <v>74</v>
      </c>
    </row>
    <row r="13" spans="1:45" ht="16.5" customHeight="1" x14ac:dyDescent="0.25">
      <c r="A13" s="52"/>
      <c r="B13" s="90"/>
      <c r="C13" s="91"/>
      <c r="D13" s="91"/>
      <c r="E13" s="92"/>
      <c r="F13" s="94"/>
      <c r="G13" s="35"/>
      <c r="H13" s="35"/>
      <c r="I13" s="36"/>
      <c r="J13" s="69"/>
      <c r="K13" s="59"/>
      <c r="L13" s="42"/>
    </row>
    <row r="14" spans="1:45" ht="15.95" customHeight="1" x14ac:dyDescent="0.25">
      <c r="A14" s="52"/>
      <c r="B14" s="90"/>
      <c r="C14" s="91"/>
      <c r="D14" s="207"/>
      <c r="E14" s="92"/>
      <c r="F14" s="35"/>
      <c r="G14" s="35"/>
      <c r="H14" s="35"/>
      <c r="I14" s="36"/>
      <c r="J14" s="69"/>
      <c r="K14" s="59"/>
      <c r="L14" s="42"/>
      <c r="AO14" s="25" t="s">
        <v>262</v>
      </c>
    </row>
    <row r="15" spans="1:45" ht="15.95" customHeight="1" x14ac:dyDescent="0.25">
      <c r="A15" s="52"/>
      <c r="B15" s="90"/>
      <c r="C15" s="91"/>
      <c r="D15" s="91"/>
      <c r="E15" s="92"/>
      <c r="F15" s="35"/>
      <c r="G15" s="35"/>
      <c r="H15" s="35"/>
      <c r="I15" s="36"/>
      <c r="J15" s="69"/>
      <c r="K15" s="59"/>
      <c r="L15" s="42"/>
      <c r="AO15" s="26" t="s">
        <v>164</v>
      </c>
      <c r="AQ15" s="235">
        <f>(0.5*13*9+2*9-0.5*(9-6.375)*15)/144</f>
        <v>0.39453125</v>
      </c>
      <c r="AS15" t="s">
        <v>34</v>
      </c>
    </row>
    <row r="16" spans="1:45" x14ac:dyDescent="0.25">
      <c r="A16" s="52"/>
      <c r="B16" s="90"/>
      <c r="C16" s="91"/>
      <c r="D16" s="91"/>
      <c r="E16" s="92"/>
      <c r="F16" s="35"/>
      <c r="G16" s="35"/>
      <c r="H16" s="35"/>
      <c r="I16" s="36"/>
      <c r="J16" s="69"/>
      <c r="K16" s="59"/>
      <c r="L16" s="42"/>
      <c r="AO16" s="26" t="s">
        <v>66</v>
      </c>
      <c r="AQ16" s="235">
        <f>362.81+361.05-4*7.5</f>
        <v>693.86</v>
      </c>
      <c r="AS16" t="s">
        <v>59</v>
      </c>
    </row>
    <row r="17" spans="1:45" ht="15.75" customHeight="1" x14ac:dyDescent="0.25">
      <c r="A17" s="52"/>
      <c r="B17" s="90"/>
      <c r="C17" s="91"/>
      <c r="D17" s="91"/>
      <c r="E17" s="92"/>
      <c r="F17" s="35"/>
      <c r="G17" s="35"/>
      <c r="H17" s="35"/>
      <c r="I17" s="36"/>
      <c r="J17" s="69"/>
      <c r="K17" s="58"/>
      <c r="L17" s="42"/>
      <c r="AO17" s="26" t="s">
        <v>50</v>
      </c>
      <c r="AQ17" s="235">
        <f>AQ15*AQ16/27</f>
        <v>10.138868634259259</v>
      </c>
      <c r="AS17" t="s">
        <v>74</v>
      </c>
    </row>
    <row r="18" spans="1:45" ht="15.95" customHeight="1" x14ac:dyDescent="0.25">
      <c r="A18" s="52"/>
      <c r="B18" s="39"/>
      <c r="C18" s="40"/>
      <c r="D18" s="40"/>
      <c r="E18" s="35"/>
      <c r="F18" s="35"/>
      <c r="G18" s="35"/>
      <c r="H18" s="35"/>
      <c r="I18" s="36"/>
      <c r="J18" s="69"/>
      <c r="K18" s="59"/>
      <c r="L18" s="42"/>
    </row>
    <row r="19" spans="1:45" ht="15.95" customHeight="1" x14ac:dyDescent="0.25">
      <c r="A19" s="52"/>
      <c r="B19" s="39"/>
      <c r="C19" s="40"/>
      <c r="D19" s="40"/>
      <c r="E19" s="35"/>
      <c r="F19" s="35"/>
      <c r="G19" s="35"/>
      <c r="H19" s="35"/>
      <c r="I19" s="36"/>
      <c r="J19" s="69"/>
      <c r="K19" s="59"/>
      <c r="L19" s="42"/>
      <c r="AO19" s="25" t="s">
        <v>263</v>
      </c>
    </row>
    <row r="20" spans="1:45" x14ac:dyDescent="0.25">
      <c r="A20" s="52"/>
      <c r="B20" s="39"/>
      <c r="C20" s="40"/>
      <c r="D20" s="40"/>
      <c r="E20" s="35"/>
      <c r="F20" s="35"/>
      <c r="G20" s="35"/>
      <c r="H20" s="35"/>
      <c r="I20" s="36"/>
      <c r="J20" s="69"/>
      <c r="K20" s="59"/>
      <c r="L20" s="42"/>
      <c r="AO20" s="26" t="s">
        <v>164</v>
      </c>
      <c r="AQ20" s="235">
        <f>AVERAGE(3.073,3.186)*4+0.739/2*10</f>
        <v>16.213000000000001</v>
      </c>
      <c r="AS20" t="s">
        <v>122</v>
      </c>
    </row>
    <row r="21" spans="1:45" ht="15.95" customHeight="1" x14ac:dyDescent="0.25">
      <c r="A21" s="52"/>
      <c r="B21" s="39"/>
      <c r="C21" s="40"/>
      <c r="D21" s="40"/>
      <c r="E21" s="35"/>
      <c r="F21" s="35"/>
      <c r="G21" s="35"/>
      <c r="H21" s="35"/>
      <c r="I21" s="36"/>
      <c r="J21" s="69"/>
      <c r="K21" s="58"/>
      <c r="L21" s="42"/>
      <c r="AO21" s="26" t="s">
        <v>164</v>
      </c>
      <c r="AQ21" s="235">
        <f>AQ20/27</f>
        <v>0.6004814814814815</v>
      </c>
      <c r="AS21" t="s">
        <v>74</v>
      </c>
    </row>
    <row r="22" spans="1:45" ht="15.95" customHeight="1" x14ac:dyDescent="0.25">
      <c r="A22" s="52"/>
      <c r="B22" s="39"/>
      <c r="C22" s="40"/>
      <c r="D22" s="40"/>
      <c r="E22" s="35"/>
      <c r="F22" s="35"/>
      <c r="G22" s="35"/>
      <c r="H22" s="35"/>
      <c r="I22" s="36"/>
      <c r="J22" s="69"/>
      <c r="K22" s="59"/>
      <c r="L22" s="42"/>
    </row>
    <row r="23" spans="1:45" ht="15.95" customHeight="1" x14ac:dyDescent="0.25">
      <c r="A23" s="52"/>
      <c r="B23" s="39"/>
      <c r="C23" s="40"/>
      <c r="D23" s="40"/>
      <c r="E23" s="35"/>
      <c r="F23" s="35"/>
      <c r="G23" s="35"/>
      <c r="H23" s="35"/>
      <c r="I23" s="36"/>
      <c r="J23" s="69"/>
      <c r="K23" s="59"/>
      <c r="L23" s="42"/>
      <c r="AO23" s="25" t="s">
        <v>264</v>
      </c>
    </row>
    <row r="24" spans="1:45" x14ac:dyDescent="0.25">
      <c r="A24" s="52"/>
      <c r="B24" s="39"/>
      <c r="C24" s="40"/>
      <c r="D24" s="40"/>
      <c r="E24" s="35"/>
      <c r="F24" s="35"/>
      <c r="G24" s="35"/>
      <c r="H24" s="35"/>
      <c r="I24" s="36"/>
      <c r="J24" s="69"/>
      <c r="K24" s="59"/>
      <c r="L24" s="42"/>
      <c r="AO24" s="26" t="s">
        <v>164</v>
      </c>
      <c r="AQ24" s="235">
        <f>AVERAGE(3.073,3.186)*4+0.739/2*7.61</f>
        <v>15.329895</v>
      </c>
      <c r="AS24" t="s">
        <v>122</v>
      </c>
    </row>
    <row r="25" spans="1:45" ht="15.95" customHeight="1" x14ac:dyDescent="0.25">
      <c r="A25" s="52"/>
      <c r="B25" s="39"/>
      <c r="C25" s="40"/>
      <c r="D25" s="40"/>
      <c r="E25" s="35"/>
      <c r="F25" s="35"/>
      <c r="G25" s="35"/>
      <c r="H25" s="35"/>
      <c r="I25" s="36"/>
      <c r="J25" s="69"/>
      <c r="K25" s="58"/>
      <c r="L25" s="42"/>
      <c r="AO25" s="26" t="s">
        <v>50</v>
      </c>
      <c r="AQ25" s="235">
        <f>AQ24/27</f>
        <v>0.56777388888888891</v>
      </c>
      <c r="AS25" t="s">
        <v>74</v>
      </c>
    </row>
    <row r="26" spans="1:45" ht="15.95" customHeight="1" x14ac:dyDescent="0.25">
      <c r="A26" s="52"/>
      <c r="B26" s="39"/>
      <c r="C26" s="40"/>
      <c r="D26" s="40"/>
      <c r="E26" s="35"/>
      <c r="F26" s="35"/>
      <c r="G26" s="35"/>
      <c r="H26" s="35"/>
      <c r="I26" s="36"/>
      <c r="J26" s="69"/>
      <c r="K26" s="58"/>
      <c r="L26" s="42"/>
    </row>
    <row r="27" spans="1:45" ht="15.95" customHeight="1" x14ac:dyDescent="0.25">
      <c r="A27" s="52"/>
      <c r="B27" s="39"/>
      <c r="C27" s="40"/>
      <c r="D27" s="40"/>
      <c r="E27" s="35"/>
      <c r="F27" s="35"/>
      <c r="G27" s="35"/>
      <c r="H27" s="35"/>
      <c r="I27" s="36"/>
      <c r="J27" s="69"/>
      <c r="K27" s="58"/>
      <c r="L27" s="42"/>
      <c r="AO27" s="25" t="s">
        <v>265</v>
      </c>
    </row>
    <row r="28" spans="1:45" x14ac:dyDescent="0.25">
      <c r="A28" s="52"/>
      <c r="B28" s="39"/>
      <c r="C28" s="40"/>
      <c r="D28" s="40"/>
      <c r="E28" s="35"/>
      <c r="F28" s="35"/>
      <c r="G28" s="35"/>
      <c r="H28" s="35"/>
      <c r="I28" s="36"/>
      <c r="J28" s="69"/>
      <c r="K28" s="58"/>
      <c r="L28" s="42"/>
      <c r="AO28" s="26" t="s">
        <v>164</v>
      </c>
      <c r="AQ28" s="235">
        <f>AVERAGE(3.073,3.186)*4+0.739/2*(6+8.875/12)</f>
        <v>15.008276041666667</v>
      </c>
      <c r="AS28" t="s">
        <v>122</v>
      </c>
    </row>
    <row r="29" spans="1:45" ht="15.95" customHeight="1" x14ac:dyDescent="0.25">
      <c r="A29" s="52"/>
      <c r="B29" s="39"/>
      <c r="C29" s="40"/>
      <c r="D29" s="40"/>
      <c r="E29" s="35"/>
      <c r="F29" s="35"/>
      <c r="G29" s="35"/>
      <c r="H29" s="35"/>
      <c r="I29" s="36"/>
      <c r="J29" s="69"/>
      <c r="K29" s="58"/>
      <c r="L29" s="42"/>
      <c r="AO29" s="26" t="s">
        <v>50</v>
      </c>
      <c r="AQ29" s="235">
        <f>AQ28/27</f>
        <v>0.55586207561728396</v>
      </c>
      <c r="AS29" t="s">
        <v>74</v>
      </c>
    </row>
    <row r="30" spans="1:45" ht="15.95" customHeight="1" x14ac:dyDescent="0.25">
      <c r="A30" s="52"/>
      <c r="B30" s="39"/>
      <c r="C30" s="40"/>
      <c r="D30" s="40"/>
      <c r="E30" s="35"/>
      <c r="F30" s="35"/>
      <c r="G30" s="35"/>
      <c r="H30" s="35"/>
      <c r="I30" s="36"/>
      <c r="J30" s="69"/>
      <c r="K30" s="58"/>
      <c r="L30" s="41"/>
    </row>
    <row r="31" spans="1:45" ht="15.95" customHeight="1" x14ac:dyDescent="0.25">
      <c r="A31" s="52"/>
      <c r="B31" s="39"/>
      <c r="C31" s="40"/>
      <c r="D31" s="40"/>
      <c r="E31" s="35"/>
      <c r="F31" s="35"/>
      <c r="G31" s="35"/>
      <c r="H31" s="35"/>
      <c r="I31" s="36"/>
      <c r="J31" s="69"/>
      <c r="K31" s="58"/>
      <c r="L31" s="41"/>
      <c r="AO31" s="25" t="s">
        <v>266</v>
      </c>
    </row>
    <row r="32" spans="1:45" x14ac:dyDescent="0.25">
      <c r="A32" s="52"/>
      <c r="B32" s="39"/>
      <c r="C32" s="40"/>
      <c r="D32" s="40"/>
      <c r="E32" s="35"/>
      <c r="F32" s="35"/>
      <c r="G32" s="35"/>
      <c r="H32" s="35"/>
      <c r="I32" s="36"/>
      <c r="J32" s="69"/>
      <c r="K32" s="58"/>
      <c r="L32" s="41"/>
      <c r="AO32" s="26" t="s">
        <v>164</v>
      </c>
      <c r="AQ32" s="235">
        <f>AVERAGE(3.073,3.229)*6+3.229*(22+2.375/12-6)+2.332*1.5*(22+2.375/12)</f>
        <v>148.85738541666666</v>
      </c>
      <c r="AS32" t="s">
        <v>122</v>
      </c>
    </row>
    <row r="33" spans="1:45" ht="15.95" customHeight="1" x14ac:dyDescent="0.25">
      <c r="A33" s="52"/>
      <c r="B33" s="39"/>
      <c r="C33" s="40"/>
      <c r="D33" s="40"/>
      <c r="E33" s="35"/>
      <c r="F33" s="35"/>
      <c r="G33" s="35"/>
      <c r="H33" s="35"/>
      <c r="I33" s="36"/>
      <c r="J33" s="69"/>
      <c r="K33" s="58"/>
      <c r="L33" s="41"/>
      <c r="AO33" s="26" t="s">
        <v>50</v>
      </c>
      <c r="AQ33" s="235">
        <f>AQ32/27</f>
        <v>5.5132364969135796</v>
      </c>
      <c r="AS33" t="s">
        <v>74</v>
      </c>
    </row>
    <row r="34" spans="1:45" ht="15.95" customHeight="1" thickBot="1" x14ac:dyDescent="0.3">
      <c r="A34" s="52"/>
      <c r="B34" s="39"/>
      <c r="C34" s="40"/>
      <c r="D34" s="40"/>
      <c r="E34" s="35"/>
      <c r="F34" s="35"/>
      <c r="G34" s="35"/>
      <c r="H34" s="35"/>
      <c r="I34" s="36"/>
      <c r="J34" s="69"/>
      <c r="K34" s="58"/>
      <c r="L34" s="41"/>
    </row>
    <row r="35" spans="1:45" ht="15.95" customHeight="1" thickBot="1" x14ac:dyDescent="0.3">
      <c r="A35" s="52"/>
      <c r="B35" s="39"/>
      <c r="C35" s="40"/>
      <c r="D35" s="40"/>
      <c r="E35" s="35"/>
      <c r="F35" s="35"/>
      <c r="G35" s="35"/>
      <c r="H35" s="35"/>
      <c r="I35" s="36"/>
      <c r="J35" s="69"/>
      <c r="K35" s="58"/>
      <c r="L35" s="41"/>
      <c r="AK35" s="239"/>
      <c r="AL35" s="240"/>
      <c r="AM35" s="240"/>
      <c r="AN35" s="237"/>
      <c r="AO35" s="236" t="s">
        <v>267</v>
      </c>
      <c r="AP35" s="237"/>
      <c r="AQ35" s="241">
        <f>AQ12+AQ17+AQ21+AQ25+AQ29+AQ33</f>
        <v>18.097673194444443</v>
      </c>
      <c r="AR35" s="237"/>
      <c r="AS35" s="238" t="s">
        <v>74</v>
      </c>
    </row>
    <row r="36" spans="1:45" x14ac:dyDescent="0.25">
      <c r="A36" s="52"/>
      <c r="B36" s="39"/>
      <c r="C36" s="40"/>
      <c r="D36" s="40"/>
      <c r="E36" s="35"/>
      <c r="F36" s="35"/>
      <c r="G36" s="35"/>
      <c r="H36" s="35"/>
      <c r="I36" s="36"/>
      <c r="J36" s="69"/>
      <c r="K36" s="58"/>
      <c r="L36" s="41"/>
    </row>
    <row r="37" spans="1:45" ht="15.95" customHeight="1" x14ac:dyDescent="0.25">
      <c r="A37" s="38"/>
      <c r="B37" s="53"/>
      <c r="C37" s="53"/>
      <c r="D37" s="53"/>
      <c r="E37" s="53"/>
      <c r="F37" s="53"/>
      <c r="G37" s="53"/>
      <c r="H37" s="54"/>
      <c r="I37" s="80"/>
      <c r="J37" s="69"/>
      <c r="K37" s="58"/>
      <c r="L37" s="41"/>
    </row>
    <row r="38" spans="1:45" ht="15.75" thickBot="1" x14ac:dyDescent="0.3">
      <c r="A38" s="71"/>
      <c r="B38" s="45"/>
      <c r="C38" s="45"/>
      <c r="D38" s="45"/>
      <c r="E38" s="46"/>
      <c r="F38" s="46"/>
      <c r="G38" s="47"/>
      <c r="H38" s="45"/>
      <c r="I38" s="48"/>
      <c r="J38" s="49"/>
      <c r="K38" s="60"/>
      <c r="L38" s="44"/>
    </row>
    <row r="39" spans="1:45" ht="15.75" thickBot="1" x14ac:dyDescent="0.3">
      <c r="A39" s="245" t="s">
        <v>50</v>
      </c>
      <c r="B39" s="246"/>
      <c r="C39" s="246"/>
      <c r="D39" s="246"/>
      <c r="E39" s="246"/>
      <c r="F39" s="246"/>
      <c r="G39" s="246"/>
      <c r="H39" s="246"/>
      <c r="I39" s="246"/>
      <c r="J39" s="247"/>
      <c r="K39" s="50" t="s">
        <v>93</v>
      </c>
      <c r="L39" s="51" t="s">
        <v>93</v>
      </c>
    </row>
  </sheetData>
  <mergeCells count="8">
    <mergeCell ref="A39:J39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L38"/>
  <sheetViews>
    <sheetView view="pageBreakPreview" zoomScale="80" zoomScaleNormal="100" zoomScaleSheetLayoutView="80" workbookViewId="0">
      <selection activeCell="J8" sqref="J8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v>45174</v>
      </c>
      <c r="H1" s="12" t="s">
        <v>40</v>
      </c>
      <c r="I1" s="252" t="s">
        <v>228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v>45174</v>
      </c>
      <c r="H2" s="21" t="s">
        <v>43</v>
      </c>
      <c r="I2" s="254">
        <f>'606E35002'!I2:J2+1</f>
        <v>19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229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32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81"/>
      <c r="G8" s="81"/>
      <c r="H8" s="81"/>
      <c r="I8" s="84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53"/>
      <c r="F9" s="80"/>
      <c r="G9" s="80"/>
      <c r="H9" s="39"/>
      <c r="I9" s="39"/>
      <c r="J9" s="79"/>
      <c r="K9" s="57"/>
      <c r="L9" s="41"/>
    </row>
    <row r="10" spans="1:12" ht="15.95" customHeight="1" x14ac:dyDescent="0.25">
      <c r="A10" s="52"/>
      <c r="B10" s="39"/>
      <c r="C10" s="40"/>
      <c r="D10" s="53"/>
      <c r="E10" s="35"/>
      <c r="F10" s="36"/>
      <c r="G10" s="36"/>
      <c r="H10" s="80"/>
      <c r="I10" s="80"/>
      <c r="J10" s="69"/>
      <c r="K10" s="57"/>
      <c r="L10" s="41"/>
    </row>
    <row r="11" spans="1:12" x14ac:dyDescent="0.25">
      <c r="A11" s="70"/>
      <c r="B11" s="39"/>
      <c r="C11" s="39"/>
      <c r="D11" s="35"/>
      <c r="E11" s="35"/>
      <c r="F11" s="36" t="s">
        <v>224</v>
      </c>
      <c r="G11" s="35" t="s">
        <v>225</v>
      </c>
      <c r="H11" s="36"/>
      <c r="I11" s="36"/>
      <c r="J11" s="69"/>
      <c r="K11" s="57"/>
      <c r="L11" s="41"/>
    </row>
    <row r="12" spans="1:12" ht="15.95" customHeight="1" x14ac:dyDescent="0.25">
      <c r="A12" s="38"/>
      <c r="B12" s="35"/>
      <c r="C12" s="35"/>
      <c r="D12" s="55"/>
      <c r="E12" s="35"/>
      <c r="F12" s="185" t="s">
        <v>230</v>
      </c>
      <c r="G12" s="35">
        <v>1</v>
      </c>
      <c r="H12" s="34"/>
      <c r="I12" s="34"/>
      <c r="J12" s="69"/>
      <c r="K12" s="58"/>
      <c r="L12" s="42"/>
    </row>
    <row r="13" spans="1:12" ht="16.5" customHeight="1" x14ac:dyDescent="0.25">
      <c r="A13" s="38"/>
      <c r="B13" s="62"/>
      <c r="C13" s="62"/>
      <c r="D13" s="62"/>
      <c r="E13" s="55"/>
      <c r="F13" s="62"/>
      <c r="G13" s="62"/>
      <c r="H13" s="62"/>
      <c r="I13" s="43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35"/>
      <c r="F14" s="35"/>
      <c r="G14" s="35"/>
      <c r="H14" s="35"/>
      <c r="I14" s="36"/>
      <c r="J14" s="69"/>
      <c r="K14" s="59"/>
      <c r="L14" s="42"/>
    </row>
    <row r="15" spans="1:12" ht="15.95" customHeight="1" x14ac:dyDescent="0.25">
      <c r="A15" s="52"/>
      <c r="B15" s="39"/>
      <c r="C15" s="40"/>
      <c r="D15" s="96"/>
      <c r="E15" s="55"/>
      <c r="F15" s="35"/>
      <c r="G15" s="35"/>
      <c r="H15" s="35"/>
      <c r="I15" s="36"/>
      <c r="J15" s="69"/>
      <c r="K15" s="59"/>
      <c r="L15" s="42"/>
    </row>
    <row r="16" spans="1:12" x14ac:dyDescent="0.25">
      <c r="A16" s="70"/>
      <c r="B16" s="39"/>
      <c r="C16" s="39"/>
      <c r="D16" s="39"/>
      <c r="E16" s="55"/>
      <c r="F16" s="35"/>
      <c r="G16" s="39"/>
      <c r="H16" s="39"/>
      <c r="I16" s="3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39"/>
      <c r="F17" s="39"/>
      <c r="G17" s="39"/>
      <c r="H17" s="39"/>
      <c r="I17" s="3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55"/>
      <c r="F18" s="35"/>
      <c r="G18" s="39"/>
      <c r="H18" s="39"/>
      <c r="I18" s="3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55"/>
      <c r="F19" s="35"/>
      <c r="G19" s="55" t="s">
        <v>227</v>
      </c>
      <c r="H19" s="34">
        <f>G12</f>
        <v>1</v>
      </c>
      <c r="I19" s="36" t="s">
        <v>32</v>
      </c>
      <c r="J19" s="69"/>
      <c r="K19" s="59"/>
      <c r="L19" s="42"/>
    </row>
    <row r="20" spans="1:12" x14ac:dyDescent="0.25">
      <c r="A20" s="38"/>
      <c r="B20" s="39"/>
      <c r="C20" s="39"/>
      <c r="D20" s="39"/>
      <c r="E20" s="39"/>
      <c r="F20" s="39"/>
      <c r="G20" s="39"/>
      <c r="H20" s="39"/>
      <c r="I20" s="3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55"/>
      <c r="F21" s="39"/>
      <c r="G21" s="161" t="s">
        <v>50</v>
      </c>
      <c r="H21" s="174">
        <f>ROUNDUP(SUM(H17:H19),0)</f>
        <v>1</v>
      </c>
      <c r="I21" s="36" t="s">
        <v>32</v>
      </c>
      <c r="J21" s="69"/>
      <c r="K21" s="58">
        <f>H21</f>
        <v>1</v>
      </c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9"/>
      <c r="L22" s="42"/>
    </row>
    <row r="23" spans="1:12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39"/>
      <c r="H26" s="39"/>
      <c r="I26" s="36"/>
      <c r="J26" s="69"/>
      <c r="K26" s="58"/>
      <c r="L26" s="42"/>
    </row>
    <row r="27" spans="1:12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</v>
      </c>
      <c r="L38" s="51">
        <f>K38</f>
        <v>1</v>
      </c>
    </row>
  </sheetData>
  <mergeCells count="8">
    <mergeCell ref="A7:J7"/>
    <mergeCell ref="A38:J38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L38"/>
  <sheetViews>
    <sheetView view="pageBreakPreview" zoomScale="80" zoomScaleNormal="100" zoomScaleSheetLayoutView="80" workbookViewId="0">
      <selection activeCell="L8" sqref="L8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">
        <v>101</v>
      </c>
      <c r="F1" s="12" t="s">
        <v>39</v>
      </c>
      <c r="G1" s="14">
        <v>45168</v>
      </c>
      <c r="H1" s="12" t="s">
        <v>40</v>
      </c>
      <c r="I1" s="252" t="s">
        <v>160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'513E10201'!I2:J2+1</f>
        <v>12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161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34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</row>
    <row r="9" spans="1:12" ht="15.95" customHeight="1" x14ac:dyDescent="0.25">
      <c r="A9" s="52"/>
      <c r="B9" s="39"/>
      <c r="C9" s="40"/>
      <c r="D9" s="39"/>
      <c r="E9" s="35"/>
      <c r="F9" s="35"/>
      <c r="G9" s="35"/>
      <c r="H9" s="35"/>
      <c r="I9" s="36"/>
      <c r="J9" s="69"/>
      <c r="K9" s="57"/>
      <c r="L9" s="41"/>
    </row>
    <row r="10" spans="1:12" ht="15.95" customHeight="1" x14ac:dyDescent="0.25">
      <c r="A10" s="52"/>
      <c r="B10" s="39"/>
      <c r="C10" s="92"/>
      <c r="D10" s="92" t="s">
        <v>163</v>
      </c>
      <c r="E10" s="89" t="s">
        <v>66</v>
      </c>
      <c r="F10" s="92" t="s">
        <v>166</v>
      </c>
      <c r="G10" s="89" t="s">
        <v>165</v>
      </c>
      <c r="H10" s="92" t="s">
        <v>164</v>
      </c>
      <c r="I10" s="89"/>
      <c r="J10" s="69"/>
      <c r="K10" s="57"/>
      <c r="L10" s="41"/>
    </row>
    <row r="11" spans="1:12" x14ac:dyDescent="0.25">
      <c r="A11" s="70"/>
      <c r="B11" s="39"/>
      <c r="C11" s="104"/>
      <c r="D11" s="92" t="s">
        <v>59</v>
      </c>
      <c r="E11" s="61" t="s">
        <v>59</v>
      </c>
      <c r="F11" s="92" t="s">
        <v>34</v>
      </c>
      <c r="G11" s="61" t="s">
        <v>131</v>
      </c>
      <c r="H11" s="92" t="s">
        <v>34</v>
      </c>
      <c r="I11" s="61"/>
      <c r="J11" s="69"/>
      <c r="K11" s="57"/>
      <c r="L11" s="41"/>
    </row>
    <row r="12" spans="1:12" ht="15.95" customHeight="1" x14ac:dyDescent="0.25">
      <c r="A12" s="38"/>
      <c r="B12" s="35"/>
      <c r="C12" s="105" t="s">
        <v>167</v>
      </c>
      <c r="D12" s="172">
        <f>6/12</f>
        <v>0.5</v>
      </c>
      <c r="E12" s="92">
        <v>7.5</v>
      </c>
      <c r="F12" s="91">
        <f>D12*E12</f>
        <v>3.75</v>
      </c>
      <c r="G12" s="92">
        <v>4</v>
      </c>
      <c r="H12" s="91">
        <f>F12*G12</f>
        <v>15</v>
      </c>
      <c r="I12" s="97"/>
      <c r="J12" s="69"/>
      <c r="K12" s="58"/>
      <c r="L12" s="42"/>
    </row>
    <row r="13" spans="1:12" ht="16.5" customHeight="1" x14ac:dyDescent="0.25">
      <c r="A13" s="38"/>
      <c r="B13" s="62"/>
      <c r="C13" s="105"/>
      <c r="D13" s="172"/>
      <c r="E13" s="92"/>
      <c r="F13" s="91"/>
      <c r="G13" s="92"/>
      <c r="H13" s="91"/>
      <c r="I13" s="106"/>
      <c r="J13" s="69"/>
      <c r="K13" s="59"/>
      <c r="L13" s="42"/>
    </row>
    <row r="14" spans="1:12" ht="15.95" customHeight="1" x14ac:dyDescent="0.25">
      <c r="A14" s="52"/>
      <c r="B14" s="39"/>
      <c r="C14" s="40"/>
      <c r="D14" s="40"/>
      <c r="E14" s="92"/>
      <c r="F14" s="92"/>
      <c r="G14" s="105"/>
      <c r="H14" s="89"/>
      <c r="I14" s="106"/>
      <c r="J14" s="69"/>
      <c r="K14" s="59"/>
      <c r="L14" s="42"/>
    </row>
    <row r="15" spans="1:12" ht="15.95" customHeight="1" x14ac:dyDescent="0.25">
      <c r="A15" s="52"/>
      <c r="B15" s="39"/>
      <c r="C15" s="40"/>
      <c r="D15" s="39"/>
      <c r="E15" s="105"/>
      <c r="F15" s="92"/>
      <c r="G15" s="105"/>
      <c r="H15" s="89"/>
      <c r="I15" s="106"/>
      <c r="J15" s="69"/>
      <c r="K15" s="59"/>
      <c r="L15" s="42"/>
    </row>
    <row r="16" spans="1:12" x14ac:dyDescent="0.25">
      <c r="A16" s="70"/>
      <c r="B16" s="39"/>
      <c r="C16" s="39"/>
      <c r="D16" s="39"/>
      <c r="E16" s="105"/>
      <c r="F16" s="92"/>
      <c r="G16" s="105"/>
      <c r="H16" s="92"/>
      <c r="I16" s="106"/>
      <c r="J16" s="69"/>
      <c r="K16" s="59"/>
      <c r="L16" s="42"/>
    </row>
    <row r="17" spans="1:12" ht="15.75" customHeight="1" x14ac:dyDescent="0.25">
      <c r="A17" s="38"/>
      <c r="B17" s="39"/>
      <c r="C17" s="39"/>
      <c r="D17" s="39"/>
      <c r="E17" s="105"/>
      <c r="F17" s="104"/>
      <c r="G17" s="105"/>
      <c r="H17" s="89"/>
      <c r="I17" s="106"/>
      <c r="J17" s="69"/>
      <c r="K17" s="58"/>
      <c r="L17" s="42"/>
    </row>
    <row r="18" spans="1:12" ht="15.95" customHeight="1" x14ac:dyDescent="0.25">
      <c r="A18" s="38"/>
      <c r="B18" s="39"/>
      <c r="C18" s="39"/>
      <c r="D18" s="39"/>
      <c r="E18" s="105"/>
      <c r="F18" s="92"/>
      <c r="G18" s="106"/>
      <c r="H18" s="106"/>
      <c r="I18" s="106"/>
      <c r="J18" s="69"/>
      <c r="K18" s="59"/>
      <c r="L18" s="42"/>
    </row>
    <row r="19" spans="1:12" ht="15.95" customHeight="1" x14ac:dyDescent="0.25">
      <c r="A19" s="38"/>
      <c r="B19" s="39"/>
      <c r="C19" s="39"/>
      <c r="D19" s="39"/>
      <c r="E19" s="105"/>
      <c r="F19" s="92"/>
      <c r="G19" s="106"/>
      <c r="H19" s="106"/>
      <c r="I19" s="106"/>
      <c r="J19" s="69"/>
      <c r="K19" s="59"/>
      <c r="L19" s="42"/>
    </row>
    <row r="20" spans="1:12" x14ac:dyDescent="0.25">
      <c r="A20" s="38"/>
      <c r="B20" s="39"/>
      <c r="C20" s="39"/>
      <c r="D20" s="39"/>
      <c r="E20" s="104"/>
      <c r="F20" s="104"/>
      <c r="G20" s="106"/>
      <c r="H20" s="106"/>
      <c r="I20" s="106"/>
      <c r="J20" s="69"/>
      <c r="K20" s="59"/>
      <c r="L20" s="42"/>
    </row>
    <row r="21" spans="1:12" ht="15.95" customHeight="1" x14ac:dyDescent="0.25">
      <c r="A21" s="38"/>
      <c r="B21" s="39"/>
      <c r="C21" s="39"/>
      <c r="D21" s="39"/>
      <c r="E21" s="105"/>
      <c r="F21" s="104"/>
      <c r="G21" s="106"/>
      <c r="H21" s="106"/>
      <c r="I21" s="106"/>
      <c r="J21" s="69"/>
      <c r="L21" s="42"/>
    </row>
    <row r="22" spans="1:12" ht="15.95" customHeight="1" x14ac:dyDescent="0.25">
      <c r="A22" s="38"/>
      <c r="B22" s="39"/>
      <c r="C22" s="39"/>
      <c r="D22" s="39"/>
      <c r="E22" s="104"/>
      <c r="F22" s="104"/>
      <c r="G22" s="104"/>
      <c r="H22" s="104"/>
      <c r="I22" s="89"/>
      <c r="J22" s="69"/>
      <c r="K22" s="59"/>
      <c r="L22" s="42"/>
    </row>
    <row r="23" spans="1:12" x14ac:dyDescent="0.25">
      <c r="A23" s="38"/>
      <c r="B23" s="39"/>
      <c r="C23" s="39"/>
      <c r="D23" s="39"/>
      <c r="E23" s="104"/>
      <c r="F23" s="104"/>
      <c r="G23" s="105" t="s">
        <v>162</v>
      </c>
      <c r="H23" s="89">
        <f>H12+H13</f>
        <v>15</v>
      </c>
      <c r="I23" s="89" t="s">
        <v>34</v>
      </c>
      <c r="J23" s="69"/>
      <c r="K23" s="59"/>
      <c r="L23" s="42"/>
    </row>
    <row r="24" spans="1:12" ht="15.95" customHeight="1" x14ac:dyDescent="0.25">
      <c r="A24" s="38"/>
      <c r="B24" s="39"/>
      <c r="C24" s="39"/>
      <c r="D24" s="39"/>
      <c r="E24" s="104"/>
      <c r="F24" s="104"/>
      <c r="G24" s="105"/>
      <c r="H24" s="89"/>
      <c r="I24" s="89"/>
      <c r="J24" s="69"/>
      <c r="K24" s="58"/>
      <c r="L24" s="42"/>
    </row>
    <row r="25" spans="1:12" ht="15.95" customHeight="1" x14ac:dyDescent="0.25">
      <c r="A25" s="38"/>
      <c r="B25" s="39"/>
      <c r="C25" s="39"/>
      <c r="D25" s="39"/>
      <c r="E25" s="104"/>
      <c r="F25" s="104"/>
      <c r="G25" s="99"/>
      <c r="H25" s="104"/>
      <c r="I25" s="89"/>
      <c r="J25" s="69"/>
      <c r="K25" s="58"/>
      <c r="L25" s="42"/>
    </row>
    <row r="26" spans="1:12" ht="15.95" customHeight="1" x14ac:dyDescent="0.25">
      <c r="A26" s="38"/>
      <c r="B26" s="39"/>
      <c r="C26" s="39"/>
      <c r="D26" s="39"/>
      <c r="E26" s="104"/>
      <c r="F26" s="104"/>
      <c r="G26" s="107" t="s">
        <v>50</v>
      </c>
      <c r="H26" s="170">
        <f>H23</f>
        <v>15</v>
      </c>
      <c r="I26" s="170" t="s">
        <v>34</v>
      </c>
      <c r="J26" s="69"/>
      <c r="K26" s="108">
        <f>H26</f>
        <v>15</v>
      </c>
      <c r="L26" s="42"/>
    </row>
    <row r="27" spans="1:12" x14ac:dyDescent="0.25">
      <c r="A27" s="38"/>
      <c r="B27" s="39"/>
      <c r="C27" s="39"/>
      <c r="D27" s="39"/>
      <c r="E27" s="104"/>
      <c r="F27" s="104"/>
      <c r="G27" s="104"/>
      <c r="H27" s="104"/>
      <c r="I27" s="89"/>
      <c r="J27" s="69"/>
      <c r="K27" s="58"/>
      <c r="L27" s="42"/>
    </row>
    <row r="28" spans="1:12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</row>
    <row r="31" spans="1:12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</row>
    <row r="32" spans="1:12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15</v>
      </c>
      <c r="L38" s="51">
        <f>K38</f>
        <v>15</v>
      </c>
    </row>
  </sheetData>
  <mergeCells count="8">
    <mergeCell ref="A7:J7"/>
    <mergeCell ref="A38:J38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3:K65"/>
  <sheetViews>
    <sheetView workbookViewId="0"/>
  </sheetViews>
  <sheetFormatPr defaultRowHeight="15" x14ac:dyDescent="0.25"/>
  <cols>
    <col min="2" max="2" width="27.28515625" bestFit="1" customWidth="1"/>
    <col min="3" max="3" width="10.28515625" bestFit="1" customWidth="1"/>
    <col min="6" max="6" width="51" customWidth="1"/>
    <col min="7" max="7" width="10.28515625" bestFit="1" customWidth="1"/>
    <col min="10" max="10" width="51" customWidth="1"/>
    <col min="11" max="11" width="15.5703125" bestFit="1" customWidth="1"/>
  </cols>
  <sheetData>
    <row r="3" spans="2:11" ht="15.75" thickBot="1" x14ac:dyDescent="0.3">
      <c r="B3" s="277" t="s">
        <v>3</v>
      </c>
      <c r="C3" s="277"/>
      <c r="F3" s="277" t="s">
        <v>17</v>
      </c>
      <c r="G3" s="277"/>
      <c r="J3" s="277" t="s">
        <v>22</v>
      </c>
      <c r="K3" s="277"/>
    </row>
    <row r="4" spans="2:11" ht="15.75" thickBot="1" x14ac:dyDescent="0.3">
      <c r="B4" t="s">
        <v>4</v>
      </c>
      <c r="C4" s="5" t="s">
        <v>5</v>
      </c>
      <c r="F4" t="s">
        <v>4</v>
      </c>
      <c r="G4" s="5" t="s">
        <v>13</v>
      </c>
      <c r="J4" t="s">
        <v>4</v>
      </c>
      <c r="K4" s="5" t="s">
        <v>23</v>
      </c>
    </row>
    <row r="5" spans="2:11" ht="15.75" thickBot="1" x14ac:dyDescent="0.3">
      <c r="B5" t="s">
        <v>11</v>
      </c>
      <c r="C5" s="1">
        <f>36+51+36+2</f>
        <v>125</v>
      </c>
      <c r="F5" t="s">
        <v>11</v>
      </c>
      <c r="G5" s="1">
        <v>9.5</v>
      </c>
      <c r="J5" t="s">
        <v>11</v>
      </c>
      <c r="K5" s="3">
        <f>G5/COS(8*PI()/180)</f>
        <v>9.5933619389268721</v>
      </c>
    </row>
    <row r="6" spans="2:11" ht="15.75" thickBot="1" x14ac:dyDescent="0.3">
      <c r="B6" t="s">
        <v>7</v>
      </c>
      <c r="C6" s="1">
        <v>33.1</v>
      </c>
      <c r="F6" t="s">
        <v>14</v>
      </c>
      <c r="G6" s="1">
        <v>3</v>
      </c>
      <c r="J6" t="s">
        <v>14</v>
      </c>
      <c r="K6" s="1">
        <v>4</v>
      </c>
    </row>
    <row r="7" spans="2:11" ht="15.75" thickBot="1" x14ac:dyDescent="0.3">
      <c r="B7" t="s">
        <v>8</v>
      </c>
      <c r="C7" s="1">
        <v>0.57999999999999996</v>
      </c>
      <c r="F7" t="s">
        <v>15</v>
      </c>
      <c r="G7" s="1">
        <v>3</v>
      </c>
      <c r="J7" t="s">
        <v>15</v>
      </c>
      <c r="K7" s="1">
        <v>4</v>
      </c>
    </row>
    <row r="8" spans="2:11" ht="15.75" thickBot="1" x14ac:dyDescent="0.3">
      <c r="B8" t="s">
        <v>9</v>
      </c>
      <c r="C8" s="1">
        <v>11.51</v>
      </c>
      <c r="F8" t="s">
        <v>16</v>
      </c>
      <c r="G8" s="1">
        <f>5/16</f>
        <v>0.3125</v>
      </c>
      <c r="J8" t="s">
        <v>16</v>
      </c>
      <c r="K8" s="1">
        <f>5/16</f>
        <v>0.3125</v>
      </c>
    </row>
    <row r="9" spans="2:11" ht="15.75" thickBot="1" x14ac:dyDescent="0.3">
      <c r="B9" t="s">
        <v>10</v>
      </c>
      <c r="C9" s="1">
        <v>0.85499999999999998</v>
      </c>
      <c r="F9" t="s">
        <v>6</v>
      </c>
      <c r="G9" s="1">
        <f>7*10+9+19</f>
        <v>98</v>
      </c>
      <c r="J9" t="s">
        <v>6</v>
      </c>
      <c r="K9" s="1">
        <f>2*7</f>
        <v>14</v>
      </c>
    </row>
    <row r="10" spans="2:11" ht="15.75" thickBot="1" x14ac:dyDescent="0.3">
      <c r="B10" t="s">
        <v>6</v>
      </c>
      <c r="C10" s="1">
        <v>9</v>
      </c>
    </row>
    <row r="11" spans="2:11" ht="15.75" thickBot="1" x14ac:dyDescent="0.3">
      <c r="F11" t="s">
        <v>12</v>
      </c>
      <c r="G11" s="2">
        <f>((G6*2+G7*2)/12*G5)*G9</f>
        <v>931</v>
      </c>
      <c r="J11" t="s">
        <v>12</v>
      </c>
      <c r="K11" s="4">
        <f>((K6*2+K7*2)/12*K5)*K9</f>
        <v>179.07608952663495</v>
      </c>
    </row>
    <row r="12" spans="2:11" ht="15.75" thickBot="1" x14ac:dyDescent="0.3">
      <c r="B12" t="s">
        <v>12</v>
      </c>
      <c r="C12" s="2">
        <f>(((C6-C9)*2+(C8-C7)*2+C8)/12*C5)*C10</f>
        <v>9174.3750000000018</v>
      </c>
    </row>
    <row r="14" spans="2:11" ht="15.75" thickBot="1" x14ac:dyDescent="0.3">
      <c r="F14" s="277" t="s">
        <v>18</v>
      </c>
      <c r="G14" s="277"/>
      <c r="J14" s="277" t="s">
        <v>24</v>
      </c>
      <c r="K14" s="277"/>
    </row>
    <row r="15" spans="2:11" ht="15.75" thickBot="1" x14ac:dyDescent="0.3">
      <c r="F15" t="s">
        <v>4</v>
      </c>
      <c r="G15" s="1" t="s">
        <v>13</v>
      </c>
      <c r="J15" t="s">
        <v>4</v>
      </c>
      <c r="K15" s="5" t="s">
        <v>23</v>
      </c>
    </row>
    <row r="16" spans="2:11" ht="15.75" thickBot="1" x14ac:dyDescent="0.3">
      <c r="F16" t="s">
        <v>11</v>
      </c>
      <c r="G16" s="3">
        <f>SQRT(G5^2+((C6-2*C9-2*1)/12)^2)</f>
        <v>9.8106277760962435</v>
      </c>
      <c r="J16" t="s">
        <v>11</v>
      </c>
      <c r="K16" s="3">
        <f>SQRT((K5/3)^2+((C6-C9-1)/12)^2)+SQRT((K5/3/2)^2+((C6-C9-1-3)/12)^2)</f>
        <v>6.9692078085580178</v>
      </c>
    </row>
    <row r="17" spans="6:11" ht="15.75" thickBot="1" x14ac:dyDescent="0.3">
      <c r="F17" t="s">
        <v>14</v>
      </c>
      <c r="G17" s="1">
        <v>3</v>
      </c>
      <c r="J17" t="s">
        <v>14</v>
      </c>
      <c r="K17" s="1">
        <v>4</v>
      </c>
    </row>
    <row r="18" spans="6:11" ht="15.75" thickBot="1" x14ac:dyDescent="0.3">
      <c r="F18" t="s">
        <v>15</v>
      </c>
      <c r="G18" s="1">
        <v>3</v>
      </c>
      <c r="J18" t="s">
        <v>15</v>
      </c>
      <c r="K18" s="1">
        <v>4</v>
      </c>
    </row>
    <row r="19" spans="6:11" ht="15.75" thickBot="1" x14ac:dyDescent="0.3">
      <c r="F19" t="s">
        <v>16</v>
      </c>
      <c r="G19" s="1">
        <f>5/16</f>
        <v>0.3125</v>
      </c>
      <c r="J19" t="s">
        <v>16</v>
      </c>
      <c r="K19" s="1">
        <f>5/16</f>
        <v>0.3125</v>
      </c>
    </row>
    <row r="20" spans="6:11" ht="15.75" thickBot="1" x14ac:dyDescent="0.3">
      <c r="F20" t="s">
        <v>6</v>
      </c>
      <c r="G20" s="1">
        <f>2*6*10</f>
        <v>120</v>
      </c>
      <c r="J20" t="s">
        <v>6</v>
      </c>
      <c r="K20" s="1">
        <f>2*2*6</f>
        <v>24</v>
      </c>
    </row>
    <row r="21" spans="6:11" ht="15.75" thickBot="1" x14ac:dyDescent="0.3"/>
    <row r="22" spans="6:11" ht="15.75" thickBot="1" x14ac:dyDescent="0.3">
      <c r="F22" t="s">
        <v>12</v>
      </c>
      <c r="G22" s="4">
        <f>((G17*2+G18*2)/12*G16)*G20</f>
        <v>1177.2753331315491</v>
      </c>
      <c r="J22" t="s">
        <v>12</v>
      </c>
      <c r="K22" s="4">
        <f>((K17*2+K18*2)/12*K16)*K20</f>
        <v>223.01464987385657</v>
      </c>
    </row>
    <row r="24" spans="6:11" ht="15.75" thickBot="1" x14ac:dyDescent="0.3">
      <c r="F24" s="277" t="s">
        <v>31</v>
      </c>
      <c r="G24" s="277"/>
      <c r="J24" s="277" t="s">
        <v>25</v>
      </c>
      <c r="K24" s="277"/>
    </row>
    <row r="25" spans="6:11" ht="15.75" thickBot="1" x14ac:dyDescent="0.3">
      <c r="F25" s="277" t="s">
        <v>19</v>
      </c>
      <c r="G25" s="277"/>
      <c r="J25" t="s">
        <v>4</v>
      </c>
      <c r="K25" s="5" t="s">
        <v>23</v>
      </c>
    </row>
    <row r="26" spans="6:11" ht="15.75" thickBot="1" x14ac:dyDescent="0.3">
      <c r="F26" t="s">
        <v>4</v>
      </c>
      <c r="G26" s="5" t="s">
        <v>13</v>
      </c>
      <c r="J26" t="s">
        <v>11</v>
      </c>
      <c r="K26" s="3">
        <f>SQRT((K5/3)^2+((C6-C9-1)/12)^2)+SQRT((K5/3/2-3/12)^2+((C6-C9-1-3-3)/12)^2)</f>
        <v>6.6228107518229953</v>
      </c>
    </row>
    <row r="27" spans="6:11" ht="15.75" thickBot="1" x14ac:dyDescent="0.3">
      <c r="F27" t="s">
        <v>11</v>
      </c>
      <c r="G27" s="3">
        <f>(C6-2*C9-2*1-G6-G38)/12</f>
        <v>1.1991666666666667</v>
      </c>
      <c r="J27" t="s">
        <v>14</v>
      </c>
      <c r="K27" s="1">
        <v>4</v>
      </c>
    </row>
    <row r="28" spans="6:11" ht="15.75" thickBot="1" x14ac:dyDescent="0.3">
      <c r="F28" t="s">
        <v>14</v>
      </c>
      <c r="G28" s="1">
        <v>3</v>
      </c>
      <c r="J28" t="s">
        <v>15</v>
      </c>
      <c r="K28" s="5">
        <v>4</v>
      </c>
    </row>
    <row r="29" spans="6:11" ht="15.75" thickBot="1" x14ac:dyDescent="0.3">
      <c r="F29" t="s">
        <v>15</v>
      </c>
      <c r="G29" s="1">
        <v>3</v>
      </c>
      <c r="J29" t="s">
        <v>16</v>
      </c>
      <c r="K29" s="1">
        <f>5/16</f>
        <v>0.3125</v>
      </c>
    </row>
    <row r="30" spans="6:11" ht="15.75" thickBot="1" x14ac:dyDescent="0.3">
      <c r="F30" t="s">
        <v>16</v>
      </c>
      <c r="G30" s="1">
        <f>5/16</f>
        <v>0.3125</v>
      </c>
      <c r="J30" t="s">
        <v>6</v>
      </c>
      <c r="K30" s="1">
        <f>2*2*1</f>
        <v>4</v>
      </c>
    </row>
    <row r="31" spans="6:11" ht="15.75" thickBot="1" x14ac:dyDescent="0.3">
      <c r="F31" t="s">
        <v>6</v>
      </c>
      <c r="G31" s="1">
        <f>4*10</f>
        <v>40</v>
      </c>
    </row>
    <row r="32" spans="6:11" ht="15.75" thickBot="1" x14ac:dyDescent="0.3">
      <c r="J32" t="s">
        <v>12</v>
      </c>
      <c r="K32" s="4">
        <f>((K27*2+K28*2)/12*K26)*K30</f>
        <v>35.321657343055975</v>
      </c>
    </row>
    <row r="33" spans="6:11" ht="15.75" thickBot="1" x14ac:dyDescent="0.3">
      <c r="F33" t="s">
        <v>12</v>
      </c>
      <c r="G33" s="4">
        <f>((G28*2+G29)/12*G27)*G31</f>
        <v>35.975000000000001</v>
      </c>
    </row>
    <row r="34" spans="6:11" ht="15.75" thickBot="1" x14ac:dyDescent="0.3">
      <c r="J34" s="277" t="s">
        <v>26</v>
      </c>
      <c r="K34" s="277"/>
    </row>
    <row r="35" spans="6:11" ht="15.75" thickBot="1" x14ac:dyDescent="0.3">
      <c r="F35" s="277" t="s">
        <v>20</v>
      </c>
      <c r="G35" s="277"/>
      <c r="J35" t="s">
        <v>4</v>
      </c>
      <c r="K35" s="5" t="s">
        <v>27</v>
      </c>
    </row>
    <row r="36" spans="6:11" ht="15.75" thickBot="1" x14ac:dyDescent="0.3">
      <c r="F36" t="s">
        <v>4</v>
      </c>
      <c r="G36" s="5" t="s">
        <v>21</v>
      </c>
      <c r="J36" t="s">
        <v>11</v>
      </c>
      <c r="K36" s="3">
        <v>1.25</v>
      </c>
    </row>
    <row r="37" spans="6:11" ht="15.75" thickBot="1" x14ac:dyDescent="0.3">
      <c r="F37" t="s">
        <v>11</v>
      </c>
      <c r="G37" s="1">
        <v>9.5</v>
      </c>
      <c r="J37" t="s">
        <v>28</v>
      </c>
      <c r="K37" s="1">
        <v>2</v>
      </c>
    </row>
    <row r="38" spans="6:11" ht="15.75" thickBot="1" x14ac:dyDescent="0.3">
      <c r="F38" t="s">
        <v>7</v>
      </c>
      <c r="G38" s="1">
        <v>12</v>
      </c>
      <c r="J38" t="s">
        <v>16</v>
      </c>
      <c r="K38" s="1">
        <f>3/8</f>
        <v>0.375</v>
      </c>
    </row>
    <row r="39" spans="6:11" ht="15.75" thickBot="1" x14ac:dyDescent="0.3">
      <c r="F39" t="s">
        <v>8</v>
      </c>
      <c r="G39" s="1">
        <v>0.28199999999999997</v>
      </c>
      <c r="J39" t="s">
        <v>6</v>
      </c>
      <c r="K39" s="1">
        <f>2*3*6+2*2*1</f>
        <v>40</v>
      </c>
    </row>
    <row r="40" spans="6:11" ht="15.75" thickBot="1" x14ac:dyDescent="0.3">
      <c r="F40" t="s">
        <v>9</v>
      </c>
      <c r="G40" s="1">
        <v>2.9420000000000002</v>
      </c>
    </row>
    <row r="41" spans="6:11" ht="15.75" thickBot="1" x14ac:dyDescent="0.3">
      <c r="F41" t="s">
        <v>10</v>
      </c>
      <c r="G41" s="1">
        <v>0.501</v>
      </c>
      <c r="J41" t="s">
        <v>12</v>
      </c>
      <c r="K41" s="4">
        <f>(K36*K37+(K36*K37-2*$K$27^2/144)+K38/12*K36*2+K38/12*K37*2)*K39</f>
        <v>199.23611111111111</v>
      </c>
    </row>
    <row r="42" spans="6:11" ht="15.75" thickBot="1" x14ac:dyDescent="0.3">
      <c r="F42" t="s">
        <v>6</v>
      </c>
      <c r="G42" s="1">
        <v>10</v>
      </c>
    </row>
    <row r="43" spans="6:11" ht="15.75" thickBot="1" x14ac:dyDescent="0.3">
      <c r="J43" s="277" t="s">
        <v>33</v>
      </c>
      <c r="K43" s="277"/>
    </row>
    <row r="44" spans="6:11" ht="15.75" thickBot="1" x14ac:dyDescent="0.3">
      <c r="F44" t="s">
        <v>12</v>
      </c>
      <c r="G44" s="4">
        <f>(G38*2+G40)/12*G37*G42+G40/12*(G37-2*(2.5+2*3/12))*G42</f>
        <v>221.87166666666667</v>
      </c>
      <c r="J44" t="s">
        <v>4</v>
      </c>
      <c r="K44" s="5" t="s">
        <v>27</v>
      </c>
    </row>
    <row r="45" spans="6:11" ht="15.75" thickBot="1" x14ac:dyDescent="0.3">
      <c r="J45" t="s">
        <v>11</v>
      </c>
      <c r="K45" s="3">
        <v>1.25</v>
      </c>
    </row>
    <row r="46" spans="6:11" ht="15.75" thickBot="1" x14ac:dyDescent="0.3">
      <c r="F46" s="277" t="s">
        <v>35</v>
      </c>
      <c r="G46" s="277"/>
      <c r="J46" t="s">
        <v>28</v>
      </c>
      <c r="K46" s="1">
        <v>2</v>
      </c>
    </row>
    <row r="47" spans="6:11" ht="15.75" thickBot="1" x14ac:dyDescent="0.3">
      <c r="F47" t="s">
        <v>4</v>
      </c>
      <c r="G47" s="5" t="s">
        <v>13</v>
      </c>
      <c r="J47" t="s">
        <v>16</v>
      </c>
      <c r="K47" s="1">
        <f>3/8</f>
        <v>0.375</v>
      </c>
    </row>
    <row r="48" spans="6:11" ht="15.75" thickBot="1" x14ac:dyDescent="0.3">
      <c r="F48" t="s">
        <v>11</v>
      </c>
      <c r="G48" s="1">
        <f>2+8/12+3.25</f>
        <v>5.9166666666666661</v>
      </c>
      <c r="J48" t="s">
        <v>6</v>
      </c>
      <c r="K48" s="1">
        <f>2*1</f>
        <v>2</v>
      </c>
    </row>
    <row r="49" spans="6:11" ht="15.75" thickBot="1" x14ac:dyDescent="0.3">
      <c r="F49" t="s">
        <v>14</v>
      </c>
      <c r="G49" s="1">
        <v>3</v>
      </c>
    </row>
    <row r="50" spans="6:11" ht="15.75" thickBot="1" x14ac:dyDescent="0.3">
      <c r="F50" t="s">
        <v>15</v>
      </c>
      <c r="G50" s="1">
        <v>3</v>
      </c>
      <c r="J50" t="s">
        <v>12</v>
      </c>
      <c r="K50" s="4">
        <f>(K45*K46+(K45*K46-2*$K$27^2/144)-6*3/144+K47/12*K45*2+K47/12*K46*2)*K48</f>
        <v>9.7118055555555554</v>
      </c>
    </row>
    <row r="51" spans="6:11" ht="15.75" thickBot="1" x14ac:dyDescent="0.3">
      <c r="F51" t="s">
        <v>16</v>
      </c>
      <c r="G51" s="1">
        <f>5/16</f>
        <v>0.3125</v>
      </c>
    </row>
    <row r="52" spans="6:11" ht="15.75" thickBot="1" x14ac:dyDescent="0.3">
      <c r="F52" t="s">
        <v>6</v>
      </c>
      <c r="G52" s="1">
        <v>10</v>
      </c>
    </row>
    <row r="53" spans="6:11" ht="15.75" thickBot="1" x14ac:dyDescent="0.3">
      <c r="J53" s="6" t="s">
        <v>29</v>
      </c>
      <c r="K53" s="8">
        <f>C12+G11+G22+G33+G44+G54+G65+K11+K22+K32+K41+K50</f>
        <v>12374.094838083443</v>
      </c>
    </row>
    <row r="54" spans="6:11" ht="15.75" thickBot="1" x14ac:dyDescent="0.3">
      <c r="F54" t="s">
        <v>12</v>
      </c>
      <c r="G54" s="2">
        <f>((G49*2+G50*2)/12*G48)*G52</f>
        <v>59.166666666666657</v>
      </c>
      <c r="J54" s="6" t="s">
        <v>37</v>
      </c>
      <c r="K54" s="8">
        <f>0.05*K53</f>
        <v>618.70474190417224</v>
      </c>
    </row>
    <row r="55" spans="6:11" ht="15.75" thickBot="1" x14ac:dyDescent="0.3">
      <c r="J55" s="6" t="s">
        <v>29</v>
      </c>
      <c r="K55" s="7">
        <f>ROUNDUP(SUM(K53:K54),-2)</f>
        <v>13000</v>
      </c>
    </row>
    <row r="57" spans="6:11" ht="15.75" thickBot="1" x14ac:dyDescent="0.3">
      <c r="F57" s="277" t="s">
        <v>36</v>
      </c>
      <c r="G57" s="277"/>
    </row>
    <row r="58" spans="6:11" ht="15.75" thickBot="1" x14ac:dyDescent="0.3">
      <c r="F58" t="s">
        <v>4</v>
      </c>
      <c r="G58" s="1" t="s">
        <v>13</v>
      </c>
    </row>
    <row r="59" spans="6:11" ht="15.75" thickBot="1" x14ac:dyDescent="0.3">
      <c r="F59" t="s">
        <v>11</v>
      </c>
      <c r="G59" s="3">
        <f>SQRT(G48^2+((C6-2*C9-2*1)/12)^2)</f>
        <v>6.4035429104172907</v>
      </c>
    </row>
    <row r="60" spans="6:11" ht="15.75" thickBot="1" x14ac:dyDescent="0.3">
      <c r="F60" t="s">
        <v>14</v>
      </c>
      <c r="G60" s="1">
        <v>3</v>
      </c>
    </row>
    <row r="61" spans="6:11" ht="15.75" thickBot="1" x14ac:dyDescent="0.3">
      <c r="F61" t="s">
        <v>15</v>
      </c>
      <c r="G61" s="1">
        <v>3</v>
      </c>
    </row>
    <row r="62" spans="6:11" ht="15.75" thickBot="1" x14ac:dyDescent="0.3">
      <c r="F62" t="s">
        <v>16</v>
      </c>
      <c r="G62" s="1">
        <f>5/16</f>
        <v>0.3125</v>
      </c>
    </row>
    <row r="63" spans="6:11" ht="15.75" thickBot="1" x14ac:dyDescent="0.3">
      <c r="F63" t="s">
        <v>6</v>
      </c>
      <c r="G63" s="1">
        <f>2*G52</f>
        <v>20</v>
      </c>
    </row>
    <row r="64" spans="6:11" ht="15.75" thickBot="1" x14ac:dyDescent="0.3"/>
    <row r="65" spans="6:7" ht="15.75" thickBot="1" x14ac:dyDescent="0.3">
      <c r="F65" t="s">
        <v>12</v>
      </c>
      <c r="G65" s="4">
        <f>((G60*2+G61*2)/12*G59)*G63</f>
        <v>128.07085820834581</v>
      </c>
    </row>
  </sheetData>
  <mergeCells count="13">
    <mergeCell ref="J3:K3"/>
    <mergeCell ref="J14:K14"/>
    <mergeCell ref="J24:K24"/>
    <mergeCell ref="J34:K34"/>
    <mergeCell ref="J43:K43"/>
    <mergeCell ref="F46:G46"/>
    <mergeCell ref="F57:G57"/>
    <mergeCell ref="B3:C3"/>
    <mergeCell ref="F3:G3"/>
    <mergeCell ref="F14:G14"/>
    <mergeCell ref="F25:G25"/>
    <mergeCell ref="F35:G35"/>
    <mergeCell ref="F24:G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0"/>
  <sheetViews>
    <sheetView view="pageBreakPreview" zoomScale="80" zoomScaleNormal="100" zoomScaleSheetLayoutView="80" workbookViewId="0">
      <selection activeCell="G11" sqref="G11"/>
    </sheetView>
  </sheetViews>
  <sheetFormatPr defaultColWidth="2.85546875" defaultRowHeight="15" x14ac:dyDescent="0.25"/>
  <cols>
    <col min="1" max="1" width="2.85546875" style="99"/>
    <col min="2" max="2" width="9" style="99" customWidth="1"/>
    <col min="3" max="3" width="7.7109375" style="99" customWidth="1"/>
    <col min="4" max="4" width="9.7109375" style="99" customWidth="1"/>
    <col min="5" max="5" width="9" style="99" customWidth="1"/>
    <col min="6" max="6" width="11.140625" style="99" customWidth="1"/>
    <col min="7" max="7" width="9.5703125" style="99" customWidth="1"/>
    <col min="8" max="8" width="10.42578125" style="99" customWidth="1"/>
    <col min="9" max="9" width="8.5703125" style="99" customWidth="1"/>
    <col min="10" max="10" width="6.140625" style="99" customWidth="1"/>
    <col min="11" max="11" width="10.5703125" style="99" customWidth="1"/>
    <col min="12" max="12" width="10.85546875" style="99" customWidth="1"/>
    <col min="13" max="16384" width="2.85546875" style="99"/>
  </cols>
  <sheetData>
    <row r="1" spans="1:12" ht="18.75" x14ac:dyDescent="0.25">
      <c r="A1" s="9" t="s">
        <v>6</v>
      </c>
      <c r="B1" s="116"/>
      <c r="C1" s="117"/>
      <c r="D1" s="12" t="s">
        <v>38</v>
      </c>
      <c r="E1" s="118" t="str">
        <f>'202E11201'!E1</f>
        <v>ATM</v>
      </c>
      <c r="F1" s="12" t="s">
        <v>39</v>
      </c>
      <c r="G1" s="119">
        <f>'202E11201'!G1</f>
        <v>45161</v>
      </c>
      <c r="H1" s="12" t="s">
        <v>40</v>
      </c>
      <c r="I1" s="266" t="s">
        <v>54</v>
      </c>
      <c r="J1" s="267"/>
      <c r="K1" s="117"/>
      <c r="L1" s="120"/>
    </row>
    <row r="2" spans="1:12" ht="18.75" x14ac:dyDescent="0.25">
      <c r="A2" s="16" t="s">
        <v>41</v>
      </c>
      <c r="B2" s="121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'202E11201'!I2:J2+1</f>
        <v>2</v>
      </c>
      <c r="J2" s="255"/>
      <c r="L2" s="122"/>
    </row>
    <row r="3" spans="1:12" ht="9.75" customHeight="1" x14ac:dyDescent="0.25">
      <c r="A3" s="123"/>
      <c r="L3" s="122"/>
    </row>
    <row r="4" spans="1:12" ht="20.100000000000001" customHeight="1" x14ac:dyDescent="0.25">
      <c r="A4" s="24" t="s">
        <v>44</v>
      </c>
      <c r="B4" s="25"/>
      <c r="C4" s="256">
        <v>117872</v>
      </c>
      <c r="D4" s="256"/>
      <c r="E4" s="26" t="s">
        <v>45</v>
      </c>
      <c r="F4" s="257" t="s">
        <v>157</v>
      </c>
      <c r="G4" s="257"/>
      <c r="H4" s="26" t="s">
        <v>46</v>
      </c>
      <c r="I4" s="258" t="s">
        <v>150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100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55</v>
      </c>
    </row>
    <row r="6" spans="1:12" ht="15.75" thickBo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1:12" ht="15.75" thickBot="1" x14ac:dyDescent="0.3">
      <c r="A7" s="263" t="s">
        <v>2</v>
      </c>
      <c r="B7" s="264"/>
      <c r="C7" s="264"/>
      <c r="D7" s="264"/>
      <c r="E7" s="264"/>
      <c r="F7" s="264"/>
      <c r="G7" s="264"/>
      <c r="H7" s="264"/>
      <c r="I7" s="264"/>
      <c r="J7" s="265"/>
      <c r="K7" s="128" t="s">
        <v>49</v>
      </c>
      <c r="L7" s="129" t="s">
        <v>50</v>
      </c>
    </row>
    <row r="8" spans="1:12" ht="15.95" customHeight="1" x14ac:dyDescent="0.25">
      <c r="A8" s="130"/>
      <c r="B8" s="131"/>
      <c r="C8" s="132"/>
      <c r="D8" s="133"/>
      <c r="E8" s="131"/>
      <c r="F8" s="131"/>
      <c r="G8" s="131"/>
      <c r="H8" s="131"/>
      <c r="I8" s="134"/>
      <c r="J8" s="153"/>
      <c r="K8" s="156"/>
      <c r="L8" s="135"/>
    </row>
    <row r="9" spans="1:12" ht="15.95" customHeight="1" x14ac:dyDescent="0.25">
      <c r="A9" s="136"/>
      <c r="C9" s="91"/>
      <c r="E9" s="194"/>
      <c r="F9" s="194"/>
      <c r="G9" s="92" t="s">
        <v>217</v>
      </c>
      <c r="H9" s="193"/>
      <c r="I9" s="89"/>
      <c r="J9" s="154"/>
      <c r="K9" s="137"/>
      <c r="L9" s="137"/>
    </row>
    <row r="10" spans="1:12" ht="15.95" customHeight="1" x14ac:dyDescent="0.25">
      <c r="A10" s="136"/>
      <c r="B10" s="104"/>
      <c r="C10" s="91"/>
      <c r="D10" s="91"/>
      <c r="E10" s="194"/>
      <c r="F10" s="194"/>
      <c r="G10" s="92" t="s">
        <v>218</v>
      </c>
      <c r="H10" s="193"/>
      <c r="I10" s="89"/>
      <c r="J10" s="154"/>
      <c r="K10" s="137"/>
      <c r="L10" s="137"/>
    </row>
    <row r="11" spans="1:12" ht="15.95" customHeight="1" x14ac:dyDescent="0.25">
      <c r="A11" s="136"/>
      <c r="C11" s="89"/>
      <c r="D11" s="91"/>
      <c r="E11" s="194"/>
      <c r="F11" s="91" t="s">
        <v>119</v>
      </c>
      <c r="G11" s="195">
        <f>[1]CADIG!$F$26</f>
        <v>11743.604380573332</v>
      </c>
      <c r="H11" s="193"/>
      <c r="I11" s="89"/>
      <c r="J11" s="154"/>
      <c r="K11" s="137"/>
      <c r="L11" s="137"/>
    </row>
    <row r="12" spans="1:12" x14ac:dyDescent="0.25">
      <c r="A12" s="136"/>
      <c r="C12" s="89"/>
      <c r="D12" s="91"/>
      <c r="E12" s="194"/>
      <c r="F12" s="91" t="s">
        <v>168</v>
      </c>
      <c r="G12" s="195">
        <f>[2]CADIG!$F$11</f>
        <v>104</v>
      </c>
      <c r="H12" s="193"/>
      <c r="I12" s="89"/>
      <c r="J12" s="154"/>
      <c r="K12" s="137"/>
      <c r="L12" s="137"/>
    </row>
    <row r="13" spans="1:12" ht="15.95" customHeight="1" x14ac:dyDescent="0.25">
      <c r="A13" s="136"/>
      <c r="C13" s="89"/>
      <c r="D13" s="91"/>
      <c r="E13" s="194"/>
      <c r="F13" s="91"/>
      <c r="G13" s="92"/>
      <c r="H13" s="193"/>
      <c r="I13" s="89"/>
      <c r="J13" s="154"/>
      <c r="K13" s="157"/>
      <c r="L13" s="138"/>
    </row>
    <row r="14" spans="1:12" ht="16.5" customHeight="1" x14ac:dyDescent="0.25">
      <c r="A14" s="136"/>
      <c r="B14" s="90"/>
      <c r="C14" s="91"/>
      <c r="D14" s="139"/>
      <c r="E14" s="194"/>
      <c r="F14" s="194"/>
      <c r="G14" s="194"/>
      <c r="K14" s="158"/>
      <c r="L14" s="138"/>
    </row>
    <row r="15" spans="1:12" ht="15.95" customHeight="1" x14ac:dyDescent="0.25">
      <c r="A15" s="136"/>
      <c r="B15" s="90"/>
      <c r="C15" s="91"/>
      <c r="D15" s="91"/>
      <c r="E15" s="194"/>
      <c r="F15" s="194"/>
      <c r="G15" s="194"/>
      <c r="H15" s="193"/>
      <c r="I15" s="89"/>
      <c r="J15" s="154"/>
      <c r="K15" s="138"/>
      <c r="L15" s="138"/>
    </row>
    <row r="16" spans="1:12" ht="15.95" customHeight="1" x14ac:dyDescent="0.25">
      <c r="A16" s="136"/>
      <c r="B16" s="90"/>
      <c r="C16" s="91"/>
      <c r="D16" s="91"/>
      <c r="E16" s="194"/>
      <c r="F16" s="194"/>
      <c r="G16" s="194"/>
      <c r="H16" s="193"/>
      <c r="I16" s="89"/>
      <c r="J16" s="154"/>
      <c r="K16" s="138"/>
      <c r="L16" s="138"/>
    </row>
    <row r="17" spans="1:12" x14ac:dyDescent="0.25">
      <c r="A17" s="136"/>
      <c r="B17" s="90"/>
      <c r="C17" s="91"/>
      <c r="D17" s="91"/>
      <c r="E17" s="92"/>
      <c r="F17" s="89"/>
      <c r="G17" s="89"/>
      <c r="H17" s="92"/>
      <c r="I17" s="89"/>
      <c r="J17" s="154"/>
      <c r="K17" s="138"/>
      <c r="L17" s="138"/>
    </row>
    <row r="18" spans="1:12" ht="15.75" customHeight="1" x14ac:dyDescent="0.25">
      <c r="A18" s="136"/>
      <c r="B18" s="90"/>
      <c r="C18" s="91"/>
      <c r="D18" s="91"/>
      <c r="E18" s="92"/>
      <c r="F18" s="92"/>
      <c r="G18" s="92"/>
      <c r="H18" s="92"/>
      <c r="I18" s="89"/>
      <c r="J18" s="154"/>
      <c r="K18" s="157"/>
      <c r="L18" s="138"/>
    </row>
    <row r="19" spans="1:12" ht="15.95" customHeight="1" x14ac:dyDescent="0.25">
      <c r="A19" s="136"/>
      <c r="B19" s="104"/>
      <c r="C19" s="139"/>
      <c r="D19" s="139"/>
      <c r="E19" s="92"/>
      <c r="F19" s="92"/>
      <c r="G19" s="92"/>
      <c r="H19" s="92"/>
      <c r="I19" s="89"/>
      <c r="J19" s="154"/>
      <c r="K19" s="138"/>
      <c r="L19" s="138"/>
    </row>
    <row r="20" spans="1:12" ht="15.95" customHeight="1" x14ac:dyDescent="0.25">
      <c r="A20" s="136"/>
      <c r="B20" s="104"/>
      <c r="C20" s="139"/>
      <c r="D20" s="139"/>
      <c r="E20" s="92"/>
      <c r="F20" s="92"/>
      <c r="G20" s="92"/>
      <c r="H20" s="92"/>
      <c r="I20" s="89"/>
      <c r="J20" s="154"/>
      <c r="K20" s="138"/>
      <c r="L20" s="138"/>
    </row>
    <row r="21" spans="1:12" x14ac:dyDescent="0.25">
      <c r="A21" s="136"/>
      <c r="B21" s="104"/>
      <c r="C21" s="139"/>
      <c r="D21" s="139"/>
      <c r="E21" s="92"/>
      <c r="F21" s="92"/>
      <c r="G21" s="92"/>
      <c r="H21" s="92"/>
      <c r="I21" s="89"/>
      <c r="J21" s="154"/>
      <c r="K21" s="138"/>
      <c r="L21" s="138"/>
    </row>
    <row r="22" spans="1:12" ht="15.95" customHeight="1" x14ac:dyDescent="0.25">
      <c r="A22" s="136"/>
      <c r="B22" s="104"/>
      <c r="C22" s="139"/>
      <c r="D22" s="139"/>
      <c r="E22" s="92"/>
      <c r="F22" s="92"/>
      <c r="G22" s="92"/>
      <c r="H22" s="92"/>
      <c r="I22" s="89"/>
      <c r="J22" s="154"/>
      <c r="K22" s="157"/>
      <c r="L22" s="138"/>
    </row>
    <row r="23" spans="1:12" ht="15.95" customHeight="1" x14ac:dyDescent="0.25">
      <c r="A23" s="136"/>
      <c r="B23" s="104"/>
      <c r="C23" s="139"/>
      <c r="D23" s="91"/>
      <c r="E23" s="92"/>
      <c r="F23" s="105" t="s">
        <v>104</v>
      </c>
      <c r="G23" s="89"/>
      <c r="H23" s="89" t="s">
        <v>55</v>
      </c>
      <c r="I23" s="89"/>
      <c r="J23" s="154"/>
      <c r="K23" s="138"/>
      <c r="L23" s="138"/>
    </row>
    <row r="24" spans="1:12" ht="15.95" customHeight="1" x14ac:dyDescent="0.25">
      <c r="A24" s="136"/>
      <c r="B24" s="104"/>
      <c r="C24" s="139"/>
      <c r="D24" s="91"/>
      <c r="E24" s="92"/>
      <c r="F24" s="105" t="s">
        <v>105</v>
      </c>
      <c r="G24" s="89"/>
      <c r="H24" s="89" t="s">
        <v>55</v>
      </c>
      <c r="I24" s="89"/>
      <c r="J24" s="154"/>
      <c r="K24" s="138"/>
      <c r="L24" s="138"/>
    </row>
    <row r="25" spans="1:12" x14ac:dyDescent="0.25">
      <c r="A25" s="136"/>
      <c r="B25" s="104"/>
      <c r="C25" s="139"/>
      <c r="D25" s="91"/>
      <c r="E25" s="92"/>
      <c r="F25" s="98" t="s">
        <v>109</v>
      </c>
      <c r="G25" s="89">
        <f>SUM(G11:G12)</f>
        <v>11847.604380573332</v>
      </c>
      <c r="H25" s="92" t="s">
        <v>55</v>
      </c>
      <c r="I25" s="89"/>
      <c r="J25" s="154"/>
      <c r="K25" s="138"/>
      <c r="L25" s="138"/>
    </row>
    <row r="26" spans="1:12" ht="15.95" customHeight="1" x14ac:dyDescent="0.25">
      <c r="A26" s="136"/>
      <c r="B26" s="104"/>
      <c r="C26" s="139"/>
      <c r="D26" s="139"/>
      <c r="E26" s="92"/>
      <c r="F26" s="139"/>
      <c r="G26" s="92"/>
      <c r="H26" s="92"/>
      <c r="I26" s="89"/>
      <c r="J26" s="154"/>
      <c r="K26" s="157"/>
      <c r="L26" s="138"/>
    </row>
    <row r="27" spans="1:12" ht="15.95" customHeight="1" x14ac:dyDescent="0.25">
      <c r="A27" s="136"/>
      <c r="B27" s="104"/>
      <c r="C27" s="139"/>
      <c r="D27" s="139"/>
      <c r="E27" s="92"/>
      <c r="F27" s="91" t="s">
        <v>110</v>
      </c>
      <c r="G27" s="89">
        <f>SUM(G23:G25)</f>
        <v>11847.604380573332</v>
      </c>
      <c r="H27" s="140"/>
      <c r="I27" s="89"/>
      <c r="J27" s="154"/>
      <c r="K27" s="138">
        <f>G27</f>
        <v>11847.604380573332</v>
      </c>
      <c r="L27" s="138"/>
    </row>
    <row r="28" spans="1:12" ht="15.95" customHeight="1" x14ac:dyDescent="0.25">
      <c r="A28" s="136"/>
      <c r="B28" s="104"/>
      <c r="C28" s="139"/>
      <c r="D28" s="139"/>
      <c r="E28" s="92"/>
      <c r="F28" s="92"/>
      <c r="G28" s="92"/>
      <c r="H28" s="92"/>
      <c r="I28" s="89"/>
      <c r="J28" s="154"/>
      <c r="K28" s="157"/>
      <c r="L28" s="138"/>
    </row>
    <row r="29" spans="1:12" x14ac:dyDescent="0.25">
      <c r="A29" s="136"/>
      <c r="B29" s="104"/>
      <c r="C29" s="139"/>
      <c r="D29" s="139"/>
      <c r="E29" s="92"/>
      <c r="F29" s="92"/>
      <c r="G29" s="92"/>
      <c r="H29" s="92"/>
      <c r="I29" s="89"/>
      <c r="J29" s="154"/>
      <c r="K29" s="157"/>
      <c r="L29" s="138"/>
    </row>
    <row r="30" spans="1:12" ht="15.95" customHeight="1" x14ac:dyDescent="0.25">
      <c r="A30" s="136"/>
      <c r="B30" s="104"/>
      <c r="C30" s="139"/>
      <c r="D30" s="139"/>
      <c r="E30" s="92"/>
      <c r="F30" s="92"/>
      <c r="G30" s="92"/>
      <c r="H30" s="92"/>
      <c r="I30" s="89"/>
      <c r="J30" s="154"/>
      <c r="K30" s="157"/>
      <c r="L30" s="138"/>
    </row>
    <row r="31" spans="1:12" ht="15.95" customHeight="1" x14ac:dyDescent="0.25">
      <c r="A31" s="136"/>
      <c r="B31" s="104"/>
      <c r="C31" s="139"/>
      <c r="D31" s="139"/>
      <c r="E31" s="92"/>
      <c r="F31" s="92"/>
      <c r="G31" s="92"/>
      <c r="H31" s="92"/>
      <c r="I31" s="89"/>
      <c r="J31" s="154"/>
      <c r="K31" s="157"/>
      <c r="L31" s="137"/>
    </row>
    <row r="32" spans="1:12" ht="15.95" customHeight="1" x14ac:dyDescent="0.25">
      <c r="A32" s="136"/>
      <c r="B32" s="104"/>
      <c r="C32" s="139"/>
      <c r="D32" s="139"/>
      <c r="E32" s="92"/>
      <c r="F32" s="92"/>
      <c r="G32" s="92"/>
      <c r="H32" s="92"/>
      <c r="I32" s="89"/>
      <c r="J32" s="154"/>
      <c r="K32" s="157"/>
      <c r="L32" s="137"/>
    </row>
    <row r="33" spans="1:12" x14ac:dyDescent="0.25">
      <c r="A33" s="136"/>
      <c r="B33" s="104"/>
      <c r="C33" s="139"/>
      <c r="D33" s="139"/>
      <c r="E33" s="92"/>
      <c r="F33" s="92"/>
      <c r="G33" s="92"/>
      <c r="H33" s="92"/>
      <c r="I33" s="89"/>
      <c r="J33" s="154"/>
      <c r="K33" s="157"/>
      <c r="L33" s="137"/>
    </row>
    <row r="34" spans="1:12" ht="15.95" customHeight="1" x14ac:dyDescent="0.25">
      <c r="A34" s="136"/>
      <c r="B34" s="104"/>
      <c r="C34" s="139"/>
      <c r="D34" s="139"/>
      <c r="E34" s="92"/>
      <c r="F34" s="92"/>
      <c r="G34" s="92"/>
      <c r="H34" s="92"/>
      <c r="I34" s="89"/>
      <c r="J34" s="154"/>
      <c r="K34" s="157"/>
      <c r="L34" s="137"/>
    </row>
    <row r="35" spans="1:12" ht="15.95" customHeight="1" x14ac:dyDescent="0.25">
      <c r="A35" s="136"/>
      <c r="B35" s="104"/>
      <c r="C35" s="139"/>
      <c r="D35" s="139"/>
      <c r="E35" s="92"/>
      <c r="F35" s="92"/>
      <c r="G35" s="92"/>
      <c r="H35" s="92"/>
      <c r="I35" s="89"/>
      <c r="J35" s="154"/>
      <c r="K35" s="157"/>
      <c r="L35" s="137"/>
    </row>
    <row r="36" spans="1:12" ht="15.95" customHeight="1" x14ac:dyDescent="0.25">
      <c r="A36" s="136"/>
      <c r="B36" s="104"/>
      <c r="C36" s="139"/>
      <c r="D36" s="139"/>
      <c r="E36" s="92"/>
      <c r="F36" s="92"/>
      <c r="G36" s="92"/>
      <c r="H36" s="92"/>
      <c r="I36" s="89"/>
      <c r="J36" s="154"/>
      <c r="K36" s="157"/>
      <c r="L36" s="137"/>
    </row>
    <row r="37" spans="1:12" x14ac:dyDescent="0.25">
      <c r="A37" s="136"/>
      <c r="B37" s="104"/>
      <c r="C37" s="139"/>
      <c r="D37" s="139"/>
      <c r="E37" s="92"/>
      <c r="F37" s="92"/>
      <c r="G37" s="92"/>
      <c r="H37" s="92"/>
      <c r="I37" s="89"/>
      <c r="J37" s="154"/>
      <c r="K37" s="157"/>
      <c r="L37" s="137"/>
    </row>
    <row r="38" spans="1:12" ht="15.95" customHeight="1" x14ac:dyDescent="0.25">
      <c r="A38" s="141"/>
      <c r="B38" s="142"/>
      <c r="C38" s="142"/>
      <c r="D38" s="142"/>
      <c r="E38" s="142"/>
      <c r="F38" s="142"/>
      <c r="G38" s="142"/>
      <c r="H38" s="143"/>
      <c r="I38" s="144"/>
      <c r="J38" s="154"/>
      <c r="K38" s="157"/>
      <c r="L38" s="137"/>
    </row>
    <row r="39" spans="1:12" ht="15.75" thickBot="1" x14ac:dyDescent="0.3">
      <c r="A39" s="145"/>
      <c r="B39" s="146"/>
      <c r="C39" s="146"/>
      <c r="D39" s="146"/>
      <c r="E39" s="147"/>
      <c r="F39" s="147"/>
      <c r="G39" s="148"/>
      <c r="H39" s="146"/>
      <c r="I39" s="149"/>
      <c r="J39" s="155"/>
      <c r="K39" s="159"/>
      <c r="L39" s="150"/>
    </row>
    <row r="40" spans="1:12" ht="15.75" thickBot="1" x14ac:dyDescent="0.3">
      <c r="A40" s="260" t="s">
        <v>50</v>
      </c>
      <c r="B40" s="261"/>
      <c r="C40" s="261"/>
      <c r="D40" s="261"/>
      <c r="E40" s="261"/>
      <c r="F40" s="261"/>
      <c r="G40" s="261"/>
      <c r="H40" s="261"/>
      <c r="I40" s="261"/>
      <c r="J40" s="262"/>
      <c r="K40" s="151">
        <f>SUM(K8:K39)</f>
        <v>11847.604380573332</v>
      </c>
      <c r="L40" s="152"/>
    </row>
  </sheetData>
  <mergeCells count="8">
    <mergeCell ref="A40:J40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4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38"/>
  <sheetViews>
    <sheetView view="pageBreakPreview" zoomScale="80" zoomScaleNormal="100" zoomScaleSheetLayoutView="80" workbookViewId="0">
      <selection activeCell="H18" sqref="H18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9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74">
        <f>'509E10001'!G1</f>
        <v>45161</v>
      </c>
      <c r="H1" s="12" t="s">
        <v>40</v>
      </c>
      <c r="I1" s="252" t="s">
        <v>147</v>
      </c>
      <c r="J1" s="253"/>
      <c r="K1" s="11"/>
      <c r="L1" s="15"/>
    </row>
    <row r="2" spans="1:19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75">
        <f>'509E10001'!G2</f>
        <v>45169</v>
      </c>
      <c r="H2" s="21" t="s">
        <v>43</v>
      </c>
      <c r="I2" s="254">
        <f>'509E10001'!I2:J2+1</f>
        <v>3</v>
      </c>
      <c r="J2" s="255"/>
      <c r="L2" s="22"/>
    </row>
    <row r="3" spans="1:19" ht="9.75" customHeight="1" x14ac:dyDescent="0.25">
      <c r="A3" s="23"/>
      <c r="L3" s="22"/>
    </row>
    <row r="4" spans="1:19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9" ht="20.100000000000001" customHeight="1" x14ac:dyDescent="0.25">
      <c r="A5" s="24" t="s">
        <v>47</v>
      </c>
      <c r="B5" s="25"/>
      <c r="C5" s="251" t="s">
        <v>146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55</v>
      </c>
    </row>
    <row r="6" spans="1:19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9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9" ht="15.95" customHeight="1" x14ac:dyDescent="0.25">
      <c r="A8" s="64"/>
      <c r="B8" s="81"/>
      <c r="C8" s="82"/>
      <c r="D8" s="83"/>
      <c r="E8" s="81"/>
      <c r="F8" s="81"/>
      <c r="G8" s="81"/>
      <c r="H8" s="81"/>
      <c r="I8" s="84"/>
      <c r="J8" s="68"/>
      <c r="K8" s="56"/>
      <c r="L8" s="37"/>
    </row>
    <row r="9" spans="1:19" ht="15.95" customHeight="1" x14ac:dyDescent="0.25">
      <c r="A9" s="78"/>
      <c r="B9" s="39"/>
      <c r="C9" s="40"/>
      <c r="D9" s="40"/>
      <c r="E9" s="185" t="s">
        <v>68</v>
      </c>
      <c r="F9" s="35">
        <v>500</v>
      </c>
      <c r="G9" s="35" t="s">
        <v>55</v>
      </c>
      <c r="H9" s="35"/>
      <c r="I9" s="36"/>
      <c r="J9" s="79"/>
      <c r="K9" s="57"/>
      <c r="L9" s="41"/>
    </row>
    <row r="10" spans="1:19" x14ac:dyDescent="0.25">
      <c r="A10" s="76"/>
      <c r="B10" s="183"/>
      <c r="C10" s="183"/>
      <c r="D10" s="61"/>
      <c r="E10" s="62"/>
      <c r="F10" s="61"/>
      <c r="G10" s="61"/>
      <c r="H10" s="61"/>
      <c r="I10" s="61"/>
      <c r="J10" s="79"/>
      <c r="K10" s="57"/>
      <c r="L10" s="41"/>
    </row>
    <row r="11" spans="1:19" ht="15.95" customHeight="1" x14ac:dyDescent="0.25">
      <c r="A11" s="77"/>
      <c r="B11" s="35"/>
      <c r="C11" s="35"/>
      <c r="D11" s="35"/>
      <c r="E11" s="35"/>
      <c r="F11" s="35"/>
      <c r="G11" s="35"/>
      <c r="H11" s="63"/>
      <c r="I11" s="35"/>
      <c r="J11" s="79"/>
      <c r="K11" s="58"/>
      <c r="L11" s="42"/>
    </row>
    <row r="12" spans="1:19" ht="16.5" customHeight="1" x14ac:dyDescent="0.25">
      <c r="A12" s="77"/>
      <c r="B12" s="62"/>
      <c r="C12" s="62"/>
      <c r="D12" s="62"/>
      <c r="E12" s="35"/>
      <c r="F12" s="62"/>
      <c r="G12" s="62"/>
      <c r="H12" s="62"/>
      <c r="I12" s="43"/>
      <c r="J12" s="79"/>
      <c r="K12" s="59"/>
      <c r="L12" s="42"/>
    </row>
    <row r="13" spans="1:19" ht="15.95" customHeight="1" x14ac:dyDescent="0.25">
      <c r="A13" s="78"/>
      <c r="B13" s="39"/>
      <c r="C13" s="40"/>
      <c r="D13" s="40"/>
      <c r="E13" s="35"/>
      <c r="F13" s="35"/>
      <c r="G13" s="35"/>
      <c r="H13" s="35"/>
      <c r="I13" s="36"/>
      <c r="J13" s="79"/>
      <c r="K13" s="59"/>
      <c r="L13" s="42"/>
      <c r="Q13" s="269"/>
      <c r="R13" s="269"/>
      <c r="S13" s="269"/>
    </row>
    <row r="14" spans="1:19" ht="15.95" customHeight="1" x14ac:dyDescent="0.25">
      <c r="A14" s="78"/>
      <c r="B14" s="39"/>
      <c r="C14" s="40"/>
      <c r="D14" s="40"/>
      <c r="E14" s="35"/>
      <c r="F14" s="35"/>
      <c r="G14" s="35"/>
      <c r="H14" s="35"/>
      <c r="I14" s="36"/>
      <c r="J14" s="79"/>
      <c r="K14" s="59"/>
      <c r="L14" s="42"/>
      <c r="Q14" s="73"/>
      <c r="R14" s="73"/>
      <c r="S14" s="73"/>
    </row>
    <row r="15" spans="1:19" x14ac:dyDescent="0.25">
      <c r="A15" s="76"/>
      <c r="B15" s="183"/>
      <c r="C15" s="183"/>
      <c r="D15" s="61"/>
      <c r="E15" s="61"/>
      <c r="F15" s="61"/>
      <c r="G15" s="34"/>
      <c r="H15" s="34"/>
      <c r="I15" s="36"/>
      <c r="J15" s="79"/>
      <c r="K15" s="59"/>
      <c r="L15" s="42"/>
      <c r="Q15" s="269"/>
      <c r="R15" s="269"/>
      <c r="S15" s="269"/>
    </row>
    <row r="16" spans="1:19" ht="15.75" customHeight="1" x14ac:dyDescent="0.25">
      <c r="A16" s="77"/>
      <c r="B16" s="34"/>
      <c r="C16" s="35"/>
      <c r="D16" s="35"/>
      <c r="E16" s="35"/>
      <c r="F16" s="36"/>
      <c r="G16" s="35"/>
      <c r="H16" s="35"/>
      <c r="I16" s="36"/>
      <c r="J16" s="79"/>
      <c r="K16" s="58"/>
      <c r="L16" s="42"/>
      <c r="Q16" s="73"/>
    </row>
    <row r="17" spans="1:19" ht="15.95" customHeight="1" x14ac:dyDescent="0.25">
      <c r="A17" s="77"/>
      <c r="B17" s="34"/>
      <c r="C17" s="34"/>
      <c r="D17" s="43"/>
      <c r="E17" s="186"/>
      <c r="F17" s="187"/>
      <c r="G17" s="35"/>
      <c r="H17" s="34"/>
      <c r="I17" s="36"/>
      <c r="J17" s="79"/>
      <c r="K17" s="59"/>
      <c r="L17" s="42"/>
      <c r="Q17" s="269"/>
      <c r="R17" s="269"/>
      <c r="S17" s="269"/>
    </row>
    <row r="18" spans="1:19" ht="15.95" customHeight="1" x14ac:dyDescent="0.25">
      <c r="A18" s="77"/>
      <c r="B18" s="39"/>
      <c r="C18" s="40"/>
      <c r="D18" s="40"/>
      <c r="E18" s="35"/>
      <c r="F18" s="35"/>
      <c r="G18" s="35"/>
      <c r="H18" s="34"/>
      <c r="I18" s="36"/>
      <c r="J18" s="79"/>
      <c r="K18" s="59"/>
      <c r="L18" s="42"/>
      <c r="Q18" s="269"/>
      <c r="R18" s="269"/>
      <c r="S18" s="269"/>
    </row>
    <row r="19" spans="1:19" x14ac:dyDescent="0.25">
      <c r="A19" s="77"/>
      <c r="B19" s="183"/>
      <c r="C19" s="183"/>
      <c r="D19" s="61"/>
      <c r="E19" s="61"/>
      <c r="F19" s="61"/>
      <c r="G19" s="35"/>
      <c r="H19" s="188"/>
      <c r="I19" s="36"/>
      <c r="J19" s="79"/>
      <c r="K19" s="59"/>
      <c r="L19" s="42"/>
      <c r="Q19" s="268"/>
      <c r="R19" s="268"/>
      <c r="S19" s="268"/>
    </row>
    <row r="20" spans="1:19" ht="15.95" customHeight="1" x14ac:dyDescent="0.25">
      <c r="A20" s="77"/>
      <c r="B20" s="176"/>
      <c r="C20" s="35"/>
      <c r="D20" s="35"/>
      <c r="E20" s="35"/>
      <c r="F20" s="63"/>
      <c r="G20" s="189"/>
      <c r="H20" s="35"/>
      <c r="I20" s="36"/>
      <c r="J20" s="79"/>
      <c r="K20" s="58"/>
      <c r="L20" s="42"/>
    </row>
    <row r="21" spans="1:19" ht="15.95" customHeight="1" x14ac:dyDescent="0.25">
      <c r="A21" s="77"/>
      <c r="B21" s="35"/>
      <c r="C21" s="176"/>
      <c r="D21" s="43"/>
      <c r="E21" s="190"/>
      <c r="F21" s="34"/>
      <c r="G21" s="189"/>
      <c r="H21" s="188"/>
      <c r="I21" s="36"/>
      <c r="J21" s="79"/>
      <c r="K21" s="59"/>
      <c r="L21" s="42"/>
    </row>
    <row r="22" spans="1:19" ht="15.95" customHeight="1" x14ac:dyDescent="0.25">
      <c r="A22" s="77"/>
      <c r="B22" s="39"/>
      <c r="C22" s="40"/>
      <c r="D22" s="40"/>
      <c r="E22" s="35"/>
      <c r="F22" s="35"/>
      <c r="G22" s="191"/>
      <c r="H22" s="191"/>
      <c r="I22" s="36"/>
      <c r="J22" s="79"/>
      <c r="K22" s="59"/>
      <c r="L22" s="42"/>
    </row>
    <row r="23" spans="1:19" x14ac:dyDescent="0.25">
      <c r="A23" s="77"/>
      <c r="B23" s="183"/>
      <c r="C23" s="183"/>
      <c r="D23" s="61"/>
      <c r="E23" s="61"/>
      <c r="F23" s="61"/>
      <c r="G23" s="34"/>
      <c r="H23" s="34"/>
      <c r="I23" s="36"/>
      <c r="J23" s="79"/>
      <c r="K23" s="59"/>
      <c r="L23" s="42"/>
    </row>
    <row r="24" spans="1:19" ht="15.95" customHeight="1" x14ac:dyDescent="0.25">
      <c r="A24" s="77"/>
      <c r="B24" s="63"/>
      <c r="C24" s="35"/>
      <c r="D24" s="35"/>
      <c r="E24" s="35"/>
      <c r="F24" s="63"/>
      <c r="G24" s="34"/>
      <c r="H24" s="34"/>
      <c r="I24" s="36"/>
      <c r="J24" s="79"/>
      <c r="K24" s="58"/>
      <c r="L24" s="42"/>
    </row>
    <row r="25" spans="1:19" ht="15.95" customHeight="1" x14ac:dyDescent="0.25">
      <c r="A25" s="77"/>
      <c r="B25" s="34"/>
      <c r="C25" s="34"/>
      <c r="D25" s="43"/>
      <c r="E25" s="186"/>
      <c r="F25" s="187"/>
      <c r="G25" s="34"/>
      <c r="H25" s="34"/>
      <c r="I25" s="36"/>
      <c r="J25" s="79"/>
      <c r="K25" s="58"/>
      <c r="L25" s="42"/>
    </row>
    <row r="26" spans="1:19" ht="15.95" customHeight="1" x14ac:dyDescent="0.25">
      <c r="A26" s="77"/>
      <c r="B26" s="39"/>
      <c r="C26" s="40"/>
      <c r="D26" s="40"/>
      <c r="E26" s="35"/>
      <c r="F26" s="35"/>
      <c r="G26" s="34"/>
      <c r="H26" s="34"/>
      <c r="I26" s="36"/>
      <c r="J26" s="79"/>
      <c r="K26" s="58"/>
      <c r="L26" s="42"/>
    </row>
    <row r="27" spans="1:19" x14ac:dyDescent="0.25">
      <c r="A27" s="77"/>
      <c r="B27" s="183"/>
      <c r="C27" s="183"/>
      <c r="D27" s="61"/>
      <c r="E27" s="61"/>
      <c r="F27" s="61"/>
      <c r="G27" s="34"/>
      <c r="H27" s="34"/>
      <c r="I27" s="36"/>
      <c r="J27" s="79"/>
      <c r="K27" s="58"/>
      <c r="L27" s="42"/>
    </row>
    <row r="28" spans="1:19" ht="15.95" customHeight="1" x14ac:dyDescent="0.25">
      <c r="A28" s="77"/>
      <c r="B28" s="176"/>
      <c r="C28" s="35"/>
      <c r="D28" s="35"/>
      <c r="E28" s="35"/>
      <c r="F28" s="63"/>
      <c r="G28" s="35"/>
      <c r="H28" s="35"/>
      <c r="I28" s="36"/>
      <c r="J28" s="79"/>
      <c r="K28" s="58"/>
      <c r="L28" s="42"/>
    </row>
    <row r="29" spans="1:19" ht="15.95" customHeight="1" x14ac:dyDescent="0.25">
      <c r="A29" s="77"/>
      <c r="B29" s="35"/>
      <c r="C29" s="176"/>
      <c r="D29" s="34"/>
      <c r="E29" s="35"/>
      <c r="F29" s="35"/>
      <c r="G29" s="35"/>
      <c r="H29" s="34"/>
      <c r="I29" s="36"/>
      <c r="J29" s="79"/>
      <c r="K29" s="58"/>
      <c r="L29" s="41"/>
    </row>
    <row r="30" spans="1:19" ht="15.95" customHeight="1" x14ac:dyDescent="0.25">
      <c r="A30" s="77"/>
      <c r="B30" s="39"/>
      <c r="C30" s="40"/>
      <c r="D30" s="40"/>
      <c r="E30" s="35"/>
      <c r="F30" s="35"/>
      <c r="G30" s="188"/>
      <c r="H30" s="35"/>
      <c r="I30" s="36"/>
      <c r="J30" s="79"/>
      <c r="K30" s="58"/>
      <c r="L30" s="41"/>
    </row>
    <row r="31" spans="1:19" x14ac:dyDescent="0.25">
      <c r="A31" s="77"/>
      <c r="B31" s="183"/>
      <c r="C31" s="183"/>
      <c r="D31" s="61"/>
      <c r="E31" s="61"/>
      <c r="F31" s="61"/>
      <c r="G31" s="35"/>
      <c r="H31" s="35"/>
      <c r="I31" s="36"/>
      <c r="J31" s="79"/>
      <c r="K31" s="58"/>
      <c r="L31" s="41"/>
    </row>
    <row r="32" spans="1:19" ht="15.95" customHeight="1" x14ac:dyDescent="0.25">
      <c r="A32" s="77"/>
      <c r="B32" s="176"/>
      <c r="C32" s="35"/>
      <c r="D32" s="35"/>
      <c r="E32" s="35"/>
      <c r="F32" s="63"/>
      <c r="G32" s="35"/>
      <c r="H32" s="35"/>
      <c r="I32" s="36"/>
      <c r="J32" s="79"/>
      <c r="K32" s="58"/>
      <c r="L32" s="41"/>
    </row>
    <row r="33" spans="1:12" ht="15.95" customHeight="1" x14ac:dyDescent="0.25">
      <c r="A33" s="77"/>
      <c r="B33" s="34"/>
      <c r="C33" s="34"/>
      <c r="D33" s="43"/>
      <c r="E33" s="186"/>
      <c r="F33" s="187"/>
      <c r="G33" s="35"/>
      <c r="H33" s="35"/>
      <c r="I33" s="36"/>
      <c r="J33" s="79"/>
      <c r="K33" s="58"/>
      <c r="L33" s="41"/>
    </row>
    <row r="34" spans="1:12" ht="15.95" customHeight="1" x14ac:dyDescent="0.25">
      <c r="A34" s="77"/>
      <c r="B34" s="39"/>
      <c r="C34" s="40"/>
      <c r="D34" s="40"/>
      <c r="E34" s="35"/>
      <c r="F34" s="35"/>
      <c r="G34" s="188"/>
      <c r="H34" s="35"/>
      <c r="I34" s="36"/>
      <c r="J34" s="79"/>
      <c r="K34" s="58"/>
      <c r="L34" s="41"/>
    </row>
    <row r="35" spans="1:12" x14ac:dyDescent="0.25">
      <c r="A35" s="77"/>
      <c r="B35" s="183"/>
      <c r="C35" s="183"/>
      <c r="D35" s="61"/>
      <c r="E35" s="62"/>
      <c r="F35" s="61"/>
      <c r="G35" s="61"/>
      <c r="H35" s="61"/>
      <c r="I35" s="36"/>
      <c r="J35" s="79"/>
      <c r="K35" s="58"/>
      <c r="L35" s="41"/>
    </row>
    <row r="36" spans="1:12" ht="15.95" customHeight="1" x14ac:dyDescent="0.25">
      <c r="A36" s="77"/>
      <c r="B36" s="35"/>
      <c r="C36" s="35"/>
      <c r="D36" s="35"/>
      <c r="E36" s="35"/>
      <c r="F36" s="35"/>
      <c r="G36" s="35"/>
      <c r="H36" s="63"/>
      <c r="I36" s="36"/>
      <c r="J36" s="79"/>
      <c r="K36" s="58"/>
      <c r="L36" s="41"/>
    </row>
    <row r="37" spans="1:12" ht="15.75" thickBot="1" x14ac:dyDescent="0.3">
      <c r="A37" s="71"/>
      <c r="B37" s="85"/>
      <c r="C37" s="85"/>
      <c r="D37" s="85"/>
      <c r="E37" s="86"/>
      <c r="F37" s="86"/>
      <c r="G37" s="87"/>
      <c r="H37" s="85"/>
      <c r="I37" s="88"/>
      <c r="J37" s="49"/>
      <c r="K37" s="60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F9</f>
        <v>500</v>
      </c>
      <c r="L38" s="51"/>
    </row>
  </sheetData>
  <mergeCells count="13">
    <mergeCell ref="A38:J38"/>
    <mergeCell ref="Q19:S19"/>
    <mergeCell ref="I1:J1"/>
    <mergeCell ref="I2:J2"/>
    <mergeCell ref="C4:D4"/>
    <mergeCell ref="F4:G4"/>
    <mergeCell ref="I4:L4"/>
    <mergeCell ref="C5:J5"/>
    <mergeCell ref="A7:J7"/>
    <mergeCell ref="Q13:S13"/>
    <mergeCell ref="Q15:S15"/>
    <mergeCell ref="Q17:S17"/>
    <mergeCell ref="Q18:S18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40"/>
  <sheetViews>
    <sheetView view="pageBreakPreview" zoomScale="80" zoomScaleNormal="100" zoomScaleSheetLayoutView="80" workbookViewId="0">
      <selection activeCell="G12" sqref="G12"/>
    </sheetView>
  </sheetViews>
  <sheetFormatPr defaultColWidth="2.85546875" defaultRowHeight="15" x14ac:dyDescent="0.25"/>
  <cols>
    <col min="1" max="1" width="2.85546875" style="99"/>
    <col min="2" max="2" width="9" style="99" customWidth="1"/>
    <col min="3" max="3" width="7.7109375" style="99" customWidth="1"/>
    <col min="4" max="4" width="9.7109375" style="99" customWidth="1"/>
    <col min="5" max="5" width="9" style="99" customWidth="1"/>
    <col min="6" max="6" width="11.140625" style="99" customWidth="1"/>
    <col min="7" max="7" width="9.5703125" style="99" customWidth="1"/>
    <col min="8" max="8" width="10.42578125" style="99" customWidth="1"/>
    <col min="9" max="9" width="8.5703125" style="99" customWidth="1"/>
    <col min="10" max="10" width="6.140625" style="99" customWidth="1"/>
    <col min="11" max="11" width="10.5703125" style="99" customWidth="1"/>
    <col min="12" max="12" width="10.85546875" style="99" customWidth="1"/>
    <col min="13" max="16384" width="2.85546875" style="99"/>
  </cols>
  <sheetData>
    <row r="1" spans="1:12" ht="18.75" x14ac:dyDescent="0.25">
      <c r="A1" s="9" t="s">
        <v>6</v>
      </c>
      <c r="B1" s="116"/>
      <c r="C1" s="117"/>
      <c r="D1" s="12" t="s">
        <v>38</v>
      </c>
      <c r="E1" s="118" t="str">
        <f>'202E11201'!E1</f>
        <v>ATM</v>
      </c>
      <c r="F1" s="12" t="s">
        <v>39</v>
      </c>
      <c r="G1" s="119">
        <f>'202E11201'!G1</f>
        <v>45161</v>
      </c>
      <c r="H1" s="12" t="s">
        <v>40</v>
      </c>
      <c r="I1" s="266" t="s">
        <v>220</v>
      </c>
      <c r="J1" s="267"/>
      <c r="K1" s="117"/>
      <c r="L1" s="120"/>
    </row>
    <row r="2" spans="1:12" ht="18.75" x14ac:dyDescent="0.25">
      <c r="A2" s="16" t="s">
        <v>41</v>
      </c>
      <c r="B2" s="121"/>
      <c r="D2" s="18" t="s">
        <v>42</v>
      </c>
      <c r="E2" s="19" t="str">
        <f>'202E11201'!E2</f>
        <v>WER</v>
      </c>
      <c r="F2" s="18" t="s">
        <v>39</v>
      </c>
      <c r="G2" s="20">
        <f>'202E11201'!G2</f>
        <v>45169</v>
      </c>
      <c r="H2" s="21" t="s">
        <v>43</v>
      </c>
      <c r="I2" s="254">
        <f>'509E20000'!I2:J2+1</f>
        <v>4</v>
      </c>
      <c r="J2" s="255"/>
      <c r="L2" s="122"/>
    </row>
    <row r="3" spans="1:12" ht="9.75" customHeight="1" x14ac:dyDescent="0.25">
      <c r="A3" s="123"/>
      <c r="L3" s="122"/>
    </row>
    <row r="4" spans="1:12" ht="20.100000000000001" customHeight="1" x14ac:dyDescent="0.25">
      <c r="A4" s="24" t="s">
        <v>44</v>
      </c>
      <c r="B4" s="25"/>
      <c r="C4" s="256">
        <v>117872</v>
      </c>
      <c r="D4" s="256"/>
      <c r="E4" s="26" t="s">
        <v>45</v>
      </c>
      <c r="F4" s="257" t="s">
        <v>157</v>
      </c>
      <c r="G4" s="257"/>
      <c r="H4" s="26" t="s">
        <v>46</v>
      </c>
      <c r="I4" s="258" t="s">
        <v>150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219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59</v>
      </c>
    </row>
    <row r="6" spans="1:12" ht="15.75" thickBo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1:12" ht="15.75" thickBot="1" x14ac:dyDescent="0.3">
      <c r="A7" s="263" t="s">
        <v>2</v>
      </c>
      <c r="B7" s="264"/>
      <c r="C7" s="264"/>
      <c r="D7" s="264"/>
      <c r="E7" s="264"/>
      <c r="F7" s="264"/>
      <c r="G7" s="264"/>
      <c r="H7" s="264"/>
      <c r="I7" s="264"/>
      <c r="J7" s="265"/>
      <c r="K7" s="128" t="s">
        <v>49</v>
      </c>
      <c r="L7" s="129" t="s">
        <v>50</v>
      </c>
    </row>
    <row r="8" spans="1:12" ht="15.95" customHeight="1" x14ac:dyDescent="0.25">
      <c r="A8" s="130"/>
      <c r="B8" s="131"/>
      <c r="C8" s="132"/>
      <c r="D8" s="133"/>
      <c r="E8" s="131"/>
      <c r="F8" s="131"/>
      <c r="G8" s="131"/>
      <c r="H8" s="131"/>
      <c r="I8" s="134"/>
      <c r="J8" s="153"/>
      <c r="K8" s="156"/>
      <c r="L8" s="135"/>
    </row>
    <row r="9" spans="1:12" ht="15.95" customHeight="1" x14ac:dyDescent="0.25">
      <c r="A9" s="136"/>
      <c r="C9" s="91"/>
      <c r="E9" s="194"/>
      <c r="F9" s="194"/>
      <c r="G9" s="92" t="s">
        <v>221</v>
      </c>
      <c r="H9" s="193"/>
      <c r="I9" s="89"/>
      <c r="J9" s="154"/>
      <c r="K9" s="137"/>
      <c r="L9" s="137"/>
    </row>
    <row r="10" spans="1:12" ht="15.95" customHeight="1" x14ac:dyDescent="0.25">
      <c r="A10" s="136"/>
      <c r="B10" s="104"/>
      <c r="C10" s="91"/>
      <c r="D10" s="91"/>
      <c r="E10" s="194"/>
      <c r="F10" s="194"/>
      <c r="G10" s="92" t="s">
        <v>59</v>
      </c>
      <c r="H10" s="193"/>
      <c r="I10" s="89"/>
      <c r="J10" s="154"/>
      <c r="K10" s="137"/>
      <c r="L10" s="137"/>
    </row>
    <row r="11" spans="1:12" ht="15.95" customHeight="1" x14ac:dyDescent="0.25">
      <c r="A11" s="136"/>
      <c r="C11" s="89"/>
      <c r="D11" s="91"/>
      <c r="E11" s="194"/>
      <c r="F11" s="91" t="s">
        <v>119</v>
      </c>
      <c r="G11" s="195">
        <f>[3]CADIG!$F$25</f>
        <v>6700.5728599999993</v>
      </c>
      <c r="H11" s="193"/>
      <c r="I11" s="89"/>
      <c r="J11" s="154"/>
      <c r="K11" s="137"/>
      <c r="L11" s="137"/>
    </row>
    <row r="12" spans="1:12" x14ac:dyDescent="0.25">
      <c r="A12" s="136"/>
      <c r="C12" s="89"/>
      <c r="D12" s="91"/>
      <c r="E12" s="194"/>
      <c r="F12" s="91"/>
      <c r="G12" s="195"/>
      <c r="H12" s="193"/>
      <c r="I12" s="89"/>
      <c r="J12" s="154"/>
      <c r="K12" s="137"/>
      <c r="L12" s="137"/>
    </row>
    <row r="13" spans="1:12" ht="15.95" customHeight="1" x14ac:dyDescent="0.25">
      <c r="A13" s="136"/>
      <c r="C13" s="89"/>
      <c r="D13" s="91"/>
      <c r="E13" s="194"/>
      <c r="F13" s="91"/>
      <c r="G13" s="92"/>
      <c r="H13" s="193"/>
      <c r="I13" s="89"/>
      <c r="J13" s="154"/>
      <c r="K13" s="157"/>
      <c r="L13" s="138"/>
    </row>
    <row r="14" spans="1:12" ht="16.5" customHeight="1" x14ac:dyDescent="0.25">
      <c r="A14" s="136"/>
      <c r="B14" s="90"/>
      <c r="C14" s="91"/>
      <c r="D14" s="139"/>
      <c r="E14" s="194"/>
      <c r="F14" s="194"/>
      <c r="G14" s="194"/>
      <c r="K14" s="158"/>
      <c r="L14" s="138"/>
    </row>
    <row r="15" spans="1:12" ht="15.95" customHeight="1" x14ac:dyDescent="0.25">
      <c r="A15" s="136"/>
      <c r="B15" s="90"/>
      <c r="C15" s="91"/>
      <c r="D15" s="91"/>
      <c r="E15" s="194"/>
      <c r="F15" s="194"/>
      <c r="G15" s="194"/>
      <c r="H15" s="193"/>
      <c r="I15" s="89"/>
      <c r="J15" s="154"/>
      <c r="K15" s="138"/>
      <c r="L15" s="138"/>
    </row>
    <row r="16" spans="1:12" ht="15.95" customHeight="1" x14ac:dyDescent="0.25">
      <c r="A16" s="136"/>
      <c r="B16" s="90"/>
      <c r="C16" s="91"/>
      <c r="D16" s="91"/>
      <c r="E16" s="194"/>
      <c r="F16" s="194"/>
      <c r="G16" s="194"/>
      <c r="H16" s="193"/>
      <c r="I16" s="89"/>
      <c r="J16" s="154"/>
      <c r="K16" s="138"/>
      <c r="L16" s="138"/>
    </row>
    <row r="17" spans="1:12" x14ac:dyDescent="0.25">
      <c r="A17" s="136"/>
      <c r="B17" s="90"/>
      <c r="C17" s="91"/>
      <c r="D17" s="91"/>
      <c r="E17" s="92"/>
      <c r="F17" s="89"/>
      <c r="G17" s="89"/>
      <c r="H17" s="92"/>
      <c r="I17" s="89"/>
      <c r="J17" s="154"/>
      <c r="K17" s="138"/>
      <c r="L17" s="138"/>
    </row>
    <row r="18" spans="1:12" ht="15.75" customHeight="1" x14ac:dyDescent="0.25">
      <c r="A18" s="136"/>
      <c r="B18" s="90"/>
      <c r="C18" s="91"/>
      <c r="D18" s="91"/>
      <c r="E18" s="92"/>
      <c r="F18" s="92"/>
      <c r="G18" s="92"/>
      <c r="H18" s="92"/>
      <c r="I18" s="89"/>
      <c r="J18" s="154"/>
      <c r="K18" s="157"/>
      <c r="L18" s="138"/>
    </row>
    <row r="19" spans="1:12" ht="15.95" customHeight="1" x14ac:dyDescent="0.25">
      <c r="A19" s="136"/>
      <c r="B19" s="104"/>
      <c r="C19" s="139"/>
      <c r="D19" s="139"/>
      <c r="E19" s="92"/>
      <c r="F19" s="92"/>
      <c r="G19" s="92"/>
      <c r="H19" s="92"/>
      <c r="I19" s="89"/>
      <c r="J19" s="154"/>
      <c r="K19" s="138"/>
      <c r="L19" s="138"/>
    </row>
    <row r="20" spans="1:12" ht="15.95" customHeight="1" x14ac:dyDescent="0.25">
      <c r="A20" s="136"/>
      <c r="B20" s="104"/>
      <c r="C20" s="139"/>
      <c r="D20" s="139"/>
      <c r="E20" s="92"/>
      <c r="F20" s="92"/>
      <c r="G20" s="92"/>
      <c r="H20" s="92"/>
      <c r="I20" s="89"/>
      <c r="J20" s="154"/>
      <c r="K20" s="138"/>
      <c r="L20" s="138"/>
    </row>
    <row r="21" spans="1:12" x14ac:dyDescent="0.25">
      <c r="A21" s="136"/>
      <c r="B21" s="104"/>
      <c r="C21" s="139"/>
      <c r="D21" s="139"/>
      <c r="E21" s="92"/>
      <c r="F21" s="92"/>
      <c r="G21" s="92"/>
      <c r="H21" s="92"/>
      <c r="I21" s="89"/>
      <c r="J21" s="154"/>
      <c r="K21" s="138"/>
      <c r="L21" s="138"/>
    </row>
    <row r="22" spans="1:12" ht="15.95" customHeight="1" x14ac:dyDescent="0.25">
      <c r="A22" s="136"/>
      <c r="B22" s="104"/>
      <c r="C22" s="139"/>
      <c r="D22" s="139"/>
      <c r="E22" s="92"/>
      <c r="F22" s="92"/>
      <c r="G22" s="92"/>
      <c r="H22" s="92"/>
      <c r="I22" s="89"/>
      <c r="J22" s="154"/>
      <c r="K22" s="157"/>
      <c r="L22" s="138"/>
    </row>
    <row r="23" spans="1:12" ht="15.95" customHeight="1" x14ac:dyDescent="0.25">
      <c r="A23" s="136"/>
      <c r="B23" s="104"/>
      <c r="C23" s="139"/>
      <c r="D23" s="91"/>
      <c r="E23" s="92"/>
      <c r="F23" s="105" t="s">
        <v>104</v>
      </c>
      <c r="G23" s="89"/>
      <c r="H23" s="89" t="s">
        <v>59</v>
      </c>
      <c r="I23" s="89"/>
      <c r="J23" s="154"/>
      <c r="K23" s="138"/>
      <c r="L23" s="138"/>
    </row>
    <row r="24" spans="1:12" ht="15.95" customHeight="1" x14ac:dyDescent="0.25">
      <c r="A24" s="136"/>
      <c r="B24" s="104"/>
      <c r="C24" s="139"/>
      <c r="D24" s="91"/>
      <c r="E24" s="92"/>
      <c r="F24" s="105" t="s">
        <v>105</v>
      </c>
      <c r="G24" s="89"/>
      <c r="H24" s="89" t="s">
        <v>59</v>
      </c>
      <c r="I24" s="89"/>
      <c r="J24" s="154"/>
      <c r="K24" s="138"/>
      <c r="L24" s="138"/>
    </row>
    <row r="25" spans="1:12" x14ac:dyDescent="0.25">
      <c r="A25" s="136"/>
      <c r="B25" s="104"/>
      <c r="C25" s="139"/>
      <c r="D25" s="91"/>
      <c r="E25" s="92"/>
      <c r="F25" s="98" t="s">
        <v>109</v>
      </c>
      <c r="G25" s="89">
        <f>SUM(G11:G17)</f>
        <v>6700.5728599999993</v>
      </c>
      <c r="H25" s="92" t="s">
        <v>59</v>
      </c>
      <c r="I25" s="89"/>
      <c r="J25" s="154"/>
      <c r="K25" s="138"/>
      <c r="L25" s="138"/>
    </row>
    <row r="26" spans="1:12" ht="15.95" customHeight="1" x14ac:dyDescent="0.25">
      <c r="A26" s="136"/>
      <c r="B26" s="104"/>
      <c r="C26" s="139"/>
      <c r="D26" s="139"/>
      <c r="E26" s="92"/>
      <c r="F26" s="139"/>
      <c r="G26" s="92"/>
      <c r="H26" s="92"/>
      <c r="I26" s="89"/>
      <c r="J26" s="154"/>
      <c r="K26" s="157"/>
      <c r="L26" s="138"/>
    </row>
    <row r="27" spans="1:12" ht="15.95" customHeight="1" x14ac:dyDescent="0.25">
      <c r="A27" s="136"/>
      <c r="B27" s="104"/>
      <c r="C27" s="139"/>
      <c r="D27" s="139"/>
      <c r="E27" s="92"/>
      <c r="F27" s="91" t="s">
        <v>110</v>
      </c>
      <c r="G27" s="89">
        <f>SUM(G23:G25)</f>
        <v>6700.5728599999993</v>
      </c>
      <c r="H27" s="140"/>
      <c r="I27" s="89"/>
      <c r="J27" s="154"/>
      <c r="K27" s="138">
        <f>G27</f>
        <v>6700.5728599999993</v>
      </c>
      <c r="L27" s="138"/>
    </row>
    <row r="28" spans="1:12" ht="15.95" customHeight="1" x14ac:dyDescent="0.25">
      <c r="A28" s="136"/>
      <c r="B28" s="104"/>
      <c r="C28" s="139"/>
      <c r="D28" s="139"/>
      <c r="E28" s="92"/>
      <c r="F28" s="92"/>
      <c r="G28" s="92"/>
      <c r="H28" s="92"/>
      <c r="I28" s="89"/>
      <c r="J28" s="154"/>
      <c r="K28" s="157"/>
      <c r="L28" s="138"/>
    </row>
    <row r="29" spans="1:12" x14ac:dyDescent="0.25">
      <c r="A29" s="136"/>
      <c r="B29" s="104"/>
      <c r="C29" s="139"/>
      <c r="D29" s="139"/>
      <c r="E29" s="92"/>
      <c r="F29" s="92"/>
      <c r="G29" s="92"/>
      <c r="H29" s="92"/>
      <c r="I29" s="89"/>
      <c r="J29" s="154"/>
      <c r="K29" s="157"/>
      <c r="L29" s="138"/>
    </row>
    <row r="30" spans="1:12" ht="15.95" customHeight="1" x14ac:dyDescent="0.25">
      <c r="A30" s="136"/>
      <c r="B30" s="104"/>
      <c r="C30" s="139"/>
      <c r="D30" s="139"/>
      <c r="E30" s="92"/>
      <c r="F30" s="92"/>
      <c r="G30" s="92"/>
      <c r="H30" s="92"/>
      <c r="I30" s="89"/>
      <c r="J30" s="154"/>
      <c r="K30" s="157"/>
      <c r="L30" s="138"/>
    </row>
    <row r="31" spans="1:12" ht="15.95" customHeight="1" x14ac:dyDescent="0.25">
      <c r="A31" s="136"/>
      <c r="B31" s="104"/>
      <c r="C31" s="139"/>
      <c r="D31" s="139"/>
      <c r="E31" s="92"/>
      <c r="F31" s="92"/>
      <c r="G31" s="92"/>
      <c r="H31" s="92"/>
      <c r="I31" s="89"/>
      <c r="J31" s="154"/>
      <c r="K31" s="157"/>
      <c r="L31" s="137"/>
    </row>
    <row r="32" spans="1:12" ht="15.95" customHeight="1" x14ac:dyDescent="0.25">
      <c r="A32" s="136"/>
      <c r="B32" s="104"/>
      <c r="C32" s="139"/>
      <c r="D32" s="139"/>
      <c r="E32" s="92"/>
      <c r="F32" s="92"/>
      <c r="G32" s="92"/>
      <c r="H32" s="92"/>
      <c r="I32" s="89"/>
      <c r="J32" s="154"/>
      <c r="K32" s="157"/>
      <c r="L32" s="137"/>
    </row>
    <row r="33" spans="1:12" x14ac:dyDescent="0.25">
      <c r="A33" s="136"/>
      <c r="B33" s="104"/>
      <c r="C33" s="139"/>
      <c r="D33" s="139"/>
      <c r="E33" s="92"/>
      <c r="F33" s="92"/>
      <c r="G33" s="92"/>
      <c r="H33" s="92"/>
      <c r="I33" s="89"/>
      <c r="J33" s="154"/>
      <c r="K33" s="157"/>
      <c r="L33" s="137"/>
    </row>
    <row r="34" spans="1:12" ht="15.95" customHeight="1" x14ac:dyDescent="0.25">
      <c r="A34" s="136"/>
      <c r="B34" s="104"/>
      <c r="C34" s="139"/>
      <c r="D34" s="139"/>
      <c r="E34" s="92"/>
      <c r="F34" s="92"/>
      <c r="G34" s="92"/>
      <c r="H34" s="92"/>
      <c r="I34" s="89"/>
      <c r="J34" s="154"/>
      <c r="K34" s="157"/>
      <c r="L34" s="137"/>
    </row>
    <row r="35" spans="1:12" ht="15.95" customHeight="1" x14ac:dyDescent="0.25">
      <c r="A35" s="136"/>
      <c r="B35" s="104"/>
      <c r="C35" s="139"/>
      <c r="D35" s="139"/>
      <c r="E35" s="92"/>
      <c r="F35" s="92"/>
      <c r="G35" s="92"/>
      <c r="H35" s="92"/>
      <c r="I35" s="89"/>
      <c r="J35" s="154"/>
      <c r="K35" s="157"/>
      <c r="L35" s="137"/>
    </row>
    <row r="36" spans="1:12" ht="15.95" customHeight="1" x14ac:dyDescent="0.25">
      <c r="A36" s="136"/>
      <c r="B36" s="104"/>
      <c r="C36" s="139"/>
      <c r="D36" s="139"/>
      <c r="E36" s="92"/>
      <c r="F36" s="92"/>
      <c r="G36" s="92"/>
      <c r="H36" s="92"/>
      <c r="I36" s="89"/>
      <c r="J36" s="154"/>
      <c r="K36" s="157"/>
      <c r="L36" s="137"/>
    </row>
    <row r="37" spans="1:12" x14ac:dyDescent="0.25">
      <c r="A37" s="136"/>
      <c r="B37" s="104"/>
      <c r="C37" s="139"/>
      <c r="D37" s="139"/>
      <c r="E37" s="92"/>
      <c r="F37" s="92"/>
      <c r="G37" s="92"/>
      <c r="H37" s="92"/>
      <c r="I37" s="89"/>
      <c r="J37" s="154"/>
      <c r="K37" s="157"/>
      <c r="L37" s="137"/>
    </row>
    <row r="38" spans="1:12" ht="15.95" customHeight="1" x14ac:dyDescent="0.25">
      <c r="A38" s="141"/>
      <c r="B38" s="142"/>
      <c r="C38" s="142"/>
      <c r="D38" s="142"/>
      <c r="E38" s="142"/>
      <c r="F38" s="142"/>
      <c r="G38" s="142"/>
      <c r="H38" s="143"/>
      <c r="I38" s="144"/>
      <c r="J38" s="154"/>
      <c r="K38" s="157"/>
      <c r="L38" s="137"/>
    </row>
    <row r="39" spans="1:12" ht="15.75" thickBot="1" x14ac:dyDescent="0.3">
      <c r="A39" s="145"/>
      <c r="B39" s="146"/>
      <c r="C39" s="146"/>
      <c r="D39" s="146"/>
      <c r="E39" s="147"/>
      <c r="F39" s="147"/>
      <c r="G39" s="148"/>
      <c r="H39" s="146"/>
      <c r="I39" s="149"/>
      <c r="J39" s="155"/>
      <c r="K39" s="159"/>
      <c r="L39" s="150"/>
    </row>
    <row r="40" spans="1:12" ht="15.75" thickBot="1" x14ac:dyDescent="0.3">
      <c r="A40" s="260" t="s">
        <v>50</v>
      </c>
      <c r="B40" s="261"/>
      <c r="C40" s="261"/>
      <c r="D40" s="261"/>
      <c r="E40" s="261"/>
      <c r="F40" s="261"/>
      <c r="G40" s="261"/>
      <c r="H40" s="261"/>
      <c r="I40" s="261"/>
      <c r="J40" s="262"/>
      <c r="K40" s="151">
        <f>SUM(K8:K39)</f>
        <v>6700.5728599999993</v>
      </c>
      <c r="L40" s="152"/>
    </row>
  </sheetData>
  <mergeCells count="8">
    <mergeCell ref="A7:J7"/>
    <mergeCell ref="A40:J40"/>
    <mergeCell ref="I1:J1"/>
    <mergeCell ref="I2:J2"/>
    <mergeCell ref="C4:D4"/>
    <mergeCell ref="F4:G4"/>
    <mergeCell ref="I4:L4"/>
    <mergeCell ref="C5:J5"/>
  </mergeCells>
  <pageMargins left="0.7" right="0.7" top="0.75" bottom="0.75" header="0.3" footer="0.3"/>
  <pageSetup scale="84" orientation="portrait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38"/>
  <sheetViews>
    <sheetView view="pageBreakPreview" zoomScale="80" zoomScaleNormal="100" zoomScaleSheetLayoutView="80" workbookViewId="0">
      <selection activeCell="H13" sqref="H13"/>
    </sheetView>
  </sheetViews>
  <sheetFormatPr defaultColWidth="2.85546875" defaultRowHeight="15" x14ac:dyDescent="0.25"/>
  <cols>
    <col min="1" max="1" width="2.85546875" style="99"/>
    <col min="2" max="2" width="9" style="99" customWidth="1"/>
    <col min="3" max="3" width="7.7109375" style="99" customWidth="1"/>
    <col min="4" max="4" width="9.7109375" style="99" customWidth="1"/>
    <col min="5" max="5" width="9" style="99" customWidth="1"/>
    <col min="6" max="6" width="11.140625" style="99" customWidth="1"/>
    <col min="7" max="7" width="9.5703125" style="99" customWidth="1"/>
    <col min="8" max="8" width="10.42578125" style="99" customWidth="1"/>
    <col min="9" max="9" width="10.28515625" style="99" bestFit="1" customWidth="1"/>
    <col min="10" max="10" width="6.140625" style="99" customWidth="1"/>
    <col min="11" max="11" width="10.5703125" style="99" customWidth="1"/>
    <col min="12" max="12" width="10.85546875" style="99" customWidth="1"/>
    <col min="13" max="16384" width="2.85546875" style="99"/>
  </cols>
  <sheetData>
    <row r="1" spans="1:12" ht="18.75" x14ac:dyDescent="0.25">
      <c r="A1" s="9" t="s">
        <v>6</v>
      </c>
      <c r="B1" s="116"/>
      <c r="C1" s="117"/>
      <c r="D1" s="12" t="s">
        <v>38</v>
      </c>
      <c r="E1" s="118" t="str">
        <f>'509E10001'!E1</f>
        <v>ATM</v>
      </c>
      <c r="F1" s="12" t="s">
        <v>39</v>
      </c>
      <c r="G1" s="119">
        <f>'509E10001'!G1</f>
        <v>45161</v>
      </c>
      <c r="H1" s="12" t="s">
        <v>40</v>
      </c>
      <c r="I1" s="266" t="s">
        <v>148</v>
      </c>
      <c r="J1" s="267"/>
      <c r="K1" s="117"/>
      <c r="L1" s="120"/>
    </row>
    <row r="2" spans="1:12" ht="18.75" x14ac:dyDescent="0.25">
      <c r="A2" s="16" t="s">
        <v>41</v>
      </c>
      <c r="B2" s="121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'509E30020'!I2:J2+1</f>
        <v>5</v>
      </c>
      <c r="J2" s="255"/>
      <c r="L2" s="122"/>
    </row>
    <row r="3" spans="1:12" ht="9.75" customHeight="1" x14ac:dyDescent="0.25">
      <c r="A3" s="123"/>
      <c r="L3" s="122"/>
    </row>
    <row r="4" spans="1:12" ht="20.100000000000001" customHeight="1" x14ac:dyDescent="0.25">
      <c r="A4" s="1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124" t="s">
        <v>47</v>
      </c>
      <c r="B5" s="25"/>
      <c r="C5" s="251" t="s">
        <v>149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32</v>
      </c>
    </row>
    <row r="6" spans="1:12" ht="15.75" thickBo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1:12" ht="15.75" thickBot="1" x14ac:dyDescent="0.3">
      <c r="A7" s="263" t="s">
        <v>2</v>
      </c>
      <c r="B7" s="264"/>
      <c r="C7" s="264"/>
      <c r="D7" s="264"/>
      <c r="E7" s="264"/>
      <c r="F7" s="264"/>
      <c r="G7" s="264"/>
      <c r="H7" s="264"/>
      <c r="I7" s="264"/>
      <c r="J7" s="264"/>
      <c r="K7" s="225" t="s">
        <v>49</v>
      </c>
      <c r="L7" s="223" t="s">
        <v>50</v>
      </c>
    </row>
    <row r="8" spans="1:12" ht="15.95" customHeight="1" x14ac:dyDescent="0.25">
      <c r="A8" s="130"/>
      <c r="B8" s="131"/>
      <c r="C8" s="132"/>
      <c r="D8" s="133"/>
      <c r="E8" s="131"/>
      <c r="F8" s="131"/>
      <c r="G8" s="131"/>
      <c r="H8" s="131"/>
      <c r="I8" s="134"/>
      <c r="J8" s="153"/>
      <c r="K8" s="226"/>
      <c r="L8" s="219"/>
    </row>
    <row r="9" spans="1:12" ht="15.95" customHeight="1" x14ac:dyDescent="0.25">
      <c r="A9" s="136"/>
      <c r="B9" s="104"/>
      <c r="C9" s="139"/>
      <c r="D9" s="104"/>
      <c r="E9" s="270" t="s">
        <v>224</v>
      </c>
      <c r="F9" s="271"/>
      <c r="G9" s="272"/>
      <c r="H9" s="92" t="s">
        <v>238</v>
      </c>
      <c r="I9" s="230" t="s">
        <v>241</v>
      </c>
      <c r="J9" s="154"/>
      <c r="K9" s="137"/>
      <c r="L9" s="220"/>
    </row>
    <row r="10" spans="1:12" ht="15.95" customHeight="1" x14ac:dyDescent="0.25">
      <c r="A10" s="136"/>
      <c r="B10" s="104"/>
      <c r="C10" s="139"/>
      <c r="D10" s="104"/>
      <c r="E10" s="273"/>
      <c r="F10" s="274"/>
      <c r="G10" s="275"/>
      <c r="H10" s="92" t="s">
        <v>131</v>
      </c>
      <c r="I10" s="230" t="s">
        <v>242</v>
      </c>
      <c r="J10" s="154"/>
      <c r="K10" s="137"/>
      <c r="L10" s="220"/>
    </row>
    <row r="11" spans="1:12" x14ac:dyDescent="0.25">
      <c r="A11" s="70"/>
      <c r="B11" s="104"/>
      <c r="C11" s="104"/>
      <c r="D11" s="104"/>
      <c r="E11" s="105"/>
      <c r="F11" s="92"/>
      <c r="G11" s="105" t="s">
        <v>253</v>
      </c>
      <c r="H11" s="92">
        <f>2*(6+13)+3</f>
        <v>41</v>
      </c>
      <c r="I11" s="231" t="s">
        <v>243</v>
      </c>
      <c r="J11" s="154"/>
      <c r="K11" s="137"/>
      <c r="L11" s="220"/>
    </row>
    <row r="12" spans="1:12" ht="15.95" customHeight="1" x14ac:dyDescent="0.25">
      <c r="A12" s="141"/>
      <c r="B12" s="92"/>
      <c r="C12" s="92"/>
      <c r="D12" s="92"/>
      <c r="E12" s="105"/>
      <c r="F12" s="92"/>
      <c r="G12" s="105" t="s">
        <v>254</v>
      </c>
      <c r="H12" s="89">
        <f>10+6+16+4</f>
        <v>36</v>
      </c>
      <c r="I12" s="232" t="s">
        <v>244</v>
      </c>
      <c r="J12" s="154"/>
      <c r="K12" s="157"/>
      <c r="L12" s="221"/>
    </row>
    <row r="13" spans="1:12" ht="16.5" customHeight="1" x14ac:dyDescent="0.25">
      <c r="A13" s="141"/>
      <c r="B13" s="62"/>
      <c r="C13" s="62"/>
      <c r="D13" s="62"/>
      <c r="E13" s="105"/>
      <c r="F13" s="62"/>
      <c r="G13" s="105" t="s">
        <v>255</v>
      </c>
      <c r="H13" s="62">
        <f>(9+3+6+18)+(11*2)+3+(6*2)</f>
        <v>73</v>
      </c>
      <c r="I13" s="232" t="s">
        <v>245</v>
      </c>
      <c r="J13" s="154"/>
      <c r="K13" s="138"/>
      <c r="L13" s="221"/>
    </row>
    <row r="14" spans="1:12" ht="15.95" customHeight="1" x14ac:dyDescent="0.25">
      <c r="A14" s="136"/>
      <c r="B14" s="104"/>
      <c r="C14" s="139"/>
      <c r="D14" s="139"/>
      <c r="E14" s="92"/>
      <c r="F14" s="92"/>
      <c r="G14" s="105" t="s">
        <v>240</v>
      </c>
      <c r="H14" s="92">
        <f>2*(10+6)+3</f>
        <v>35</v>
      </c>
      <c r="I14" s="232" t="s">
        <v>246</v>
      </c>
      <c r="J14" s="218"/>
      <c r="K14" s="227"/>
      <c r="L14" s="221"/>
    </row>
    <row r="15" spans="1:12" ht="15.95" customHeight="1" x14ac:dyDescent="0.25">
      <c r="A15" s="136"/>
      <c r="B15" s="104"/>
      <c r="C15" s="139"/>
      <c r="D15" s="139"/>
      <c r="E15" s="105"/>
      <c r="F15" s="92"/>
      <c r="G15" s="105" t="s">
        <v>239</v>
      </c>
      <c r="H15" s="92">
        <f>(2*(35*2*11)+(2*14)+(2*12))</f>
        <v>1592</v>
      </c>
      <c r="I15" s="232" t="s">
        <v>129</v>
      </c>
      <c r="J15" s="218"/>
      <c r="K15" s="227"/>
      <c r="L15" s="221"/>
    </row>
    <row r="16" spans="1:12" x14ac:dyDescent="0.25">
      <c r="A16" s="70"/>
      <c r="B16" s="104"/>
      <c r="C16" s="104"/>
      <c r="D16" s="104"/>
      <c r="E16" s="104"/>
      <c r="F16" s="104"/>
      <c r="G16" s="105" t="s">
        <v>168</v>
      </c>
      <c r="H16" s="92">
        <v>32</v>
      </c>
      <c r="I16" s="89"/>
      <c r="J16" s="154"/>
      <c r="K16" s="138"/>
      <c r="L16" s="221"/>
    </row>
    <row r="17" spans="1:12" ht="15.95" customHeight="1" x14ac:dyDescent="0.25">
      <c r="A17" s="141"/>
      <c r="B17" s="104"/>
      <c r="C17" s="104"/>
      <c r="D17" s="104"/>
      <c r="E17" s="104"/>
      <c r="F17" s="104"/>
      <c r="G17" s="104"/>
      <c r="H17" s="104"/>
      <c r="I17" s="89"/>
      <c r="J17" s="154"/>
      <c r="K17" s="138"/>
      <c r="L17" s="221"/>
    </row>
    <row r="18" spans="1:12" ht="15.95" customHeight="1" x14ac:dyDescent="0.25">
      <c r="A18" s="141"/>
      <c r="B18" s="104"/>
      <c r="C18" s="104"/>
      <c r="D18" s="104"/>
      <c r="E18" s="104"/>
      <c r="F18" s="104"/>
      <c r="G18" s="104"/>
      <c r="H18" s="104"/>
      <c r="I18" s="89"/>
      <c r="J18" s="154"/>
      <c r="K18" s="138"/>
      <c r="L18" s="221"/>
    </row>
    <row r="19" spans="1:12" x14ac:dyDescent="0.25">
      <c r="A19" s="141"/>
      <c r="B19" s="104"/>
      <c r="C19" s="104"/>
      <c r="D19" s="104"/>
      <c r="E19" s="104"/>
      <c r="F19" s="104"/>
      <c r="G19" s="105" t="s">
        <v>142</v>
      </c>
      <c r="H19" s="92">
        <f>SUM(H11:H16)</f>
        <v>1809</v>
      </c>
      <c r="I19" s="160" t="s">
        <v>32</v>
      </c>
      <c r="J19" s="154"/>
      <c r="K19" s="138"/>
      <c r="L19" s="221"/>
    </row>
    <row r="20" spans="1:12" ht="15.95" customHeight="1" x14ac:dyDescent="0.25">
      <c r="A20" s="141"/>
      <c r="B20" s="104"/>
      <c r="C20" s="104"/>
      <c r="D20" s="104"/>
      <c r="E20" s="104"/>
      <c r="F20" s="104"/>
      <c r="G20" s="107" t="s">
        <v>52</v>
      </c>
      <c r="H20" s="90">
        <f>H19</f>
        <v>1809</v>
      </c>
      <c r="I20" s="171" t="s">
        <v>32</v>
      </c>
      <c r="J20" s="154"/>
      <c r="K20" s="138">
        <f>H20</f>
        <v>1809</v>
      </c>
      <c r="L20" s="221"/>
    </row>
    <row r="21" spans="1:12" ht="15.95" customHeight="1" x14ac:dyDescent="0.25">
      <c r="A21" s="141"/>
      <c r="B21" s="104"/>
      <c r="C21" s="104"/>
      <c r="D21" s="104"/>
      <c r="E21" s="104"/>
      <c r="F21" s="104"/>
      <c r="G21" s="104"/>
      <c r="H21" s="104"/>
      <c r="I21" s="89"/>
      <c r="J21" s="154"/>
      <c r="K21" s="138"/>
      <c r="L21" s="221"/>
    </row>
    <row r="22" spans="1:12" ht="15.95" customHeight="1" x14ac:dyDescent="0.25">
      <c r="A22" s="141"/>
      <c r="B22" s="104"/>
      <c r="C22" s="104"/>
      <c r="D22" s="104"/>
      <c r="E22" s="104"/>
      <c r="F22" s="104"/>
      <c r="G22" s="104"/>
      <c r="H22" s="104"/>
      <c r="I22" s="89"/>
      <c r="J22" s="154"/>
      <c r="K22" s="138"/>
      <c r="L22" s="221"/>
    </row>
    <row r="23" spans="1:12" x14ac:dyDescent="0.25">
      <c r="A23" s="141"/>
      <c r="B23" s="104"/>
      <c r="C23" s="104"/>
      <c r="D23" s="104"/>
      <c r="E23" s="104"/>
      <c r="F23" s="104"/>
      <c r="G23" s="104"/>
      <c r="H23" s="104"/>
      <c r="I23" s="89"/>
      <c r="J23" s="154"/>
      <c r="K23" s="138"/>
      <c r="L23" s="221"/>
    </row>
    <row r="24" spans="1:12" ht="15.95" customHeight="1" x14ac:dyDescent="0.25">
      <c r="A24" s="141"/>
      <c r="B24" s="104"/>
      <c r="C24" s="104"/>
      <c r="D24" s="104"/>
      <c r="E24" s="104"/>
      <c r="F24" s="104"/>
      <c r="G24" s="104"/>
      <c r="H24" s="104"/>
      <c r="I24" s="89"/>
      <c r="J24" s="154"/>
      <c r="K24" s="157"/>
      <c r="L24" s="221"/>
    </row>
    <row r="25" spans="1:12" ht="15.95" customHeight="1" x14ac:dyDescent="0.25">
      <c r="A25" s="141"/>
      <c r="B25" s="104"/>
      <c r="C25" s="104"/>
      <c r="D25" s="104"/>
      <c r="E25" s="104"/>
      <c r="F25" s="104"/>
      <c r="G25" s="104"/>
      <c r="H25" s="104"/>
      <c r="I25" s="89"/>
      <c r="J25" s="154"/>
      <c r="K25" s="157"/>
      <c r="L25" s="221"/>
    </row>
    <row r="26" spans="1:12" ht="15.95" customHeight="1" x14ac:dyDescent="0.25">
      <c r="A26" s="141"/>
      <c r="B26" s="104"/>
      <c r="C26" s="104"/>
      <c r="D26" s="104"/>
      <c r="E26" s="104"/>
      <c r="F26" s="104"/>
      <c r="G26" s="104"/>
      <c r="H26" s="104"/>
      <c r="I26" s="89"/>
      <c r="J26" s="154"/>
      <c r="K26" s="157"/>
      <c r="L26" s="221"/>
    </row>
    <row r="27" spans="1:12" x14ac:dyDescent="0.25">
      <c r="A27" s="141"/>
      <c r="B27" s="104"/>
      <c r="C27" s="104"/>
      <c r="D27" s="104"/>
      <c r="E27" s="104"/>
      <c r="F27" s="104"/>
      <c r="G27" s="104"/>
      <c r="H27" s="104"/>
      <c r="I27" s="89"/>
      <c r="J27" s="154"/>
      <c r="K27" s="157"/>
      <c r="L27" s="221"/>
    </row>
    <row r="28" spans="1:12" ht="15.95" customHeight="1" x14ac:dyDescent="0.25">
      <c r="A28" s="141"/>
      <c r="B28" s="104"/>
      <c r="C28" s="104"/>
      <c r="D28" s="104"/>
      <c r="E28" s="104"/>
      <c r="F28" s="104"/>
      <c r="G28" s="104"/>
      <c r="H28" s="104"/>
      <c r="I28" s="89"/>
      <c r="J28" s="154"/>
      <c r="K28" s="157"/>
      <c r="L28" s="221"/>
    </row>
    <row r="29" spans="1:12" ht="15.95" customHeight="1" x14ac:dyDescent="0.25">
      <c r="A29" s="141"/>
      <c r="B29" s="104"/>
      <c r="C29" s="104"/>
      <c r="D29" s="104"/>
      <c r="E29" s="104"/>
      <c r="F29" s="104"/>
      <c r="G29" s="104"/>
      <c r="H29" s="104"/>
      <c r="I29" s="89"/>
      <c r="J29" s="154"/>
      <c r="K29" s="157"/>
      <c r="L29" s="220"/>
    </row>
    <row r="30" spans="1:12" ht="15.95" customHeight="1" x14ac:dyDescent="0.25">
      <c r="A30" s="141"/>
      <c r="B30" s="104"/>
      <c r="C30" s="104"/>
      <c r="D30" s="104"/>
      <c r="E30" s="104"/>
      <c r="F30" s="104"/>
      <c r="G30" s="104"/>
      <c r="H30" s="104"/>
      <c r="I30" s="89"/>
      <c r="J30" s="154"/>
      <c r="K30" s="157"/>
      <c r="L30" s="220"/>
    </row>
    <row r="31" spans="1:12" x14ac:dyDescent="0.25">
      <c r="A31" s="141"/>
      <c r="B31" s="104"/>
      <c r="C31" s="104"/>
      <c r="D31" s="104"/>
      <c r="E31" s="104"/>
      <c r="F31" s="104"/>
      <c r="G31" s="104"/>
      <c r="H31" s="104"/>
      <c r="I31" s="89"/>
      <c r="J31" s="154"/>
      <c r="K31" s="157"/>
      <c r="L31" s="220"/>
    </row>
    <row r="32" spans="1:12" ht="15.95" customHeight="1" x14ac:dyDescent="0.25">
      <c r="A32" s="141"/>
      <c r="B32" s="104"/>
      <c r="C32" s="104"/>
      <c r="D32" s="104"/>
      <c r="E32" s="104"/>
      <c r="F32" s="104"/>
      <c r="G32" s="104"/>
      <c r="H32" s="104"/>
      <c r="I32" s="89"/>
      <c r="J32" s="154"/>
      <c r="K32" s="157"/>
      <c r="L32" s="220"/>
    </row>
    <row r="33" spans="1:12" ht="15.95" customHeight="1" x14ac:dyDescent="0.25">
      <c r="A33" s="141"/>
      <c r="B33" s="104"/>
      <c r="C33" s="104"/>
      <c r="D33" s="104"/>
      <c r="E33" s="104"/>
      <c r="F33" s="104"/>
      <c r="G33" s="104"/>
      <c r="H33" s="104"/>
      <c r="I33" s="89"/>
      <c r="J33" s="154"/>
      <c r="K33" s="157"/>
      <c r="L33" s="220"/>
    </row>
    <row r="34" spans="1:12" ht="15.95" customHeight="1" x14ac:dyDescent="0.25">
      <c r="A34" s="141"/>
      <c r="B34" s="104"/>
      <c r="C34" s="104"/>
      <c r="D34" s="104"/>
      <c r="E34" s="104"/>
      <c r="F34" s="104"/>
      <c r="G34" s="104"/>
      <c r="H34" s="104"/>
      <c r="I34" s="89"/>
      <c r="J34" s="154"/>
      <c r="K34" s="157"/>
      <c r="L34" s="220"/>
    </row>
    <row r="35" spans="1:12" x14ac:dyDescent="0.25">
      <c r="A35" s="141"/>
      <c r="B35" s="104"/>
      <c r="C35" s="104"/>
      <c r="D35" s="104"/>
      <c r="E35" s="104"/>
      <c r="F35" s="104"/>
      <c r="G35" s="104"/>
      <c r="H35" s="104"/>
      <c r="I35" s="89"/>
      <c r="J35" s="154"/>
      <c r="K35" s="157"/>
      <c r="L35" s="220"/>
    </row>
    <row r="36" spans="1:12" ht="15.95" customHeight="1" x14ac:dyDescent="0.25">
      <c r="A36" s="141"/>
      <c r="B36" s="92"/>
      <c r="C36" s="92"/>
      <c r="D36" s="92"/>
      <c r="E36" s="92"/>
      <c r="F36" s="92"/>
      <c r="G36" s="92"/>
      <c r="H36" s="93"/>
      <c r="I36" s="89"/>
      <c r="J36" s="154"/>
      <c r="K36" s="157"/>
      <c r="L36" s="220"/>
    </row>
    <row r="37" spans="1:12" ht="15.75" thickBot="1" x14ac:dyDescent="0.3">
      <c r="A37" s="145"/>
      <c r="B37" s="146"/>
      <c r="C37" s="146"/>
      <c r="D37" s="146"/>
      <c r="E37" s="147"/>
      <c r="F37" s="147"/>
      <c r="G37" s="148"/>
      <c r="H37" s="146"/>
      <c r="I37" s="149"/>
      <c r="J37" s="155"/>
      <c r="K37" s="228"/>
      <c r="L37" s="222"/>
    </row>
    <row r="38" spans="1:12" ht="15.75" thickBot="1" x14ac:dyDescent="0.3">
      <c r="A38" s="260" t="s">
        <v>50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29">
        <f>SUM(K8:K37)</f>
        <v>1809</v>
      </c>
      <c r="L38" s="224">
        <f>K38</f>
        <v>1809</v>
      </c>
    </row>
  </sheetData>
  <mergeCells count="9">
    <mergeCell ref="A38:J38"/>
    <mergeCell ref="A7:J7"/>
    <mergeCell ref="C5:J5"/>
    <mergeCell ref="I1:J1"/>
    <mergeCell ref="I2:J2"/>
    <mergeCell ref="C4:D4"/>
    <mergeCell ref="F4:G4"/>
    <mergeCell ref="I4:L4"/>
    <mergeCell ref="E9:G10"/>
  </mergeCells>
  <pageMargins left="0.7" right="0.7" top="0.75" bottom="0.75" header="0.3" footer="0.3"/>
  <pageSetup scale="8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Z38"/>
  <sheetViews>
    <sheetView view="pageBreakPreview" zoomScale="80" zoomScaleNormal="100" zoomScaleSheetLayoutView="80" workbookViewId="0">
      <selection activeCell="G12" sqref="G12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  <col min="22" max="22" width="3.85546875" bestFit="1" customWidth="1"/>
  </cols>
  <sheetData>
    <row r="1" spans="1:26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152</v>
      </c>
      <c r="J1" s="253"/>
      <c r="K1" s="11"/>
      <c r="L1" s="15"/>
    </row>
    <row r="2" spans="1:26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'510E10000'!I2:J2+1</f>
        <v>6</v>
      </c>
      <c r="J2" s="255"/>
      <c r="L2" s="22"/>
    </row>
    <row r="3" spans="1:26" ht="9.75" customHeight="1" x14ac:dyDescent="0.25">
      <c r="A3" s="23"/>
      <c r="L3" s="22"/>
    </row>
    <row r="4" spans="1:26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26" ht="20.100000000000001" customHeight="1" x14ac:dyDescent="0.25">
      <c r="A5" s="24" t="s">
        <v>47</v>
      </c>
      <c r="B5" s="25"/>
      <c r="C5" s="251" t="s">
        <v>151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74</v>
      </c>
    </row>
    <row r="6" spans="1:26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26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26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110"/>
      <c r="K8" s="113"/>
      <c r="L8" s="37"/>
    </row>
    <row r="9" spans="1:26" ht="15.95" customHeight="1" x14ac:dyDescent="0.25">
      <c r="A9" s="52"/>
      <c r="B9" s="39"/>
      <c r="C9" s="40"/>
      <c r="D9" s="39"/>
      <c r="E9" s="35"/>
      <c r="F9" s="35" t="s">
        <v>70</v>
      </c>
      <c r="G9" s="35" t="s">
        <v>66</v>
      </c>
      <c r="H9" s="96" t="s">
        <v>73</v>
      </c>
      <c r="I9" s="36"/>
      <c r="J9" s="111"/>
      <c r="K9" s="41"/>
      <c r="L9" s="41"/>
      <c r="V9">
        <f>(0.5*4*3.5+14.5*32)/144</f>
        <v>3.2708333333333335</v>
      </c>
      <c r="Z9">
        <f>2.5*V9+1.5*AVERAGE(V9,V10)</f>
        <v>12.463541666666668</v>
      </c>
    </row>
    <row r="10" spans="1:26" ht="15.95" customHeight="1" x14ac:dyDescent="0.25">
      <c r="A10" s="52"/>
      <c r="B10" s="39"/>
      <c r="C10" s="40" t="s">
        <v>69</v>
      </c>
      <c r="D10" s="39"/>
      <c r="E10" s="55"/>
      <c r="F10" s="35">
        <v>2.2000000000000002</v>
      </c>
      <c r="G10" s="35">
        <v>362.81</v>
      </c>
      <c r="H10" s="34">
        <f>G10*F10/27</f>
        <v>29.562296296296296</v>
      </c>
      <c r="I10" s="72" t="s">
        <v>71</v>
      </c>
      <c r="J10" s="111"/>
      <c r="K10" s="41"/>
      <c r="L10" s="41"/>
      <c r="V10">
        <f>(4*8+10*32)/144</f>
        <v>2.4444444444444446</v>
      </c>
    </row>
    <row r="11" spans="1:26" x14ac:dyDescent="0.25">
      <c r="A11" s="70"/>
      <c r="B11" s="39"/>
      <c r="C11" s="39"/>
      <c r="D11" s="39"/>
      <c r="E11" s="55"/>
      <c r="F11" s="35">
        <v>2.2000000000000002</v>
      </c>
      <c r="G11" s="35">
        <v>361.05</v>
      </c>
      <c r="H11" s="34">
        <f>((G11-4*7.5)*F11+4*7.5*(10*6)/144)/27</f>
        <v>27.437407407407409</v>
      </c>
      <c r="I11" s="72" t="s">
        <v>72</v>
      </c>
      <c r="J11" s="111"/>
      <c r="K11" s="41"/>
      <c r="L11" s="41"/>
    </row>
    <row r="12" spans="1:26" x14ac:dyDescent="0.25">
      <c r="A12" s="70"/>
      <c r="B12" s="39"/>
      <c r="C12" s="39"/>
      <c r="D12" s="39"/>
      <c r="E12" s="55"/>
      <c r="F12" s="35"/>
      <c r="G12" s="35"/>
      <c r="H12" s="34"/>
      <c r="I12" s="72"/>
      <c r="J12" s="111"/>
      <c r="K12" s="41"/>
      <c r="L12" s="41"/>
      <c r="V12">
        <f>AVERAGE(0,2.2)</f>
        <v>1.1000000000000001</v>
      </c>
    </row>
    <row r="13" spans="1:26" ht="15.95" customHeight="1" x14ac:dyDescent="0.25">
      <c r="A13" s="52"/>
      <c r="B13" s="39"/>
      <c r="C13" s="96" t="s">
        <v>247</v>
      </c>
      <c r="D13" s="39"/>
      <c r="E13" s="35"/>
      <c r="F13" s="35" t="s">
        <v>70</v>
      </c>
      <c r="G13" s="35" t="s">
        <v>66</v>
      </c>
      <c r="H13" s="96" t="s">
        <v>73</v>
      </c>
      <c r="I13" s="36"/>
      <c r="J13" s="111"/>
      <c r="K13" s="41"/>
      <c r="L13" s="41"/>
    </row>
    <row r="14" spans="1:26" x14ac:dyDescent="0.25">
      <c r="A14" s="70"/>
      <c r="B14" s="39"/>
      <c r="C14" s="35" t="s">
        <v>248</v>
      </c>
      <c r="D14" s="39"/>
      <c r="E14" s="55"/>
      <c r="F14" s="35">
        <v>2.2000000000000002</v>
      </c>
      <c r="G14" s="176">
        <f>2+2.375/12</f>
        <v>2.1979166666666665</v>
      </c>
      <c r="H14" s="34">
        <f>(G14*F14+12+10*1.1)/27</f>
        <v>1.0309413580246913</v>
      </c>
      <c r="I14" s="72"/>
      <c r="J14" s="111"/>
      <c r="K14" s="41"/>
      <c r="L14" s="41"/>
    </row>
    <row r="15" spans="1:26" ht="15.95" customHeight="1" x14ac:dyDescent="0.25">
      <c r="A15" s="38"/>
      <c r="B15" s="35"/>
      <c r="C15" s="35" t="s">
        <v>249</v>
      </c>
      <c r="D15" s="35"/>
      <c r="E15" s="55"/>
      <c r="F15" s="35">
        <v>2.2000000000000002</v>
      </c>
      <c r="G15" s="176">
        <f>15+5/8/12</f>
        <v>15.052083333333334</v>
      </c>
      <c r="H15" s="34">
        <f>(G15*F15+55.311+30/12*0.75*14)/27</f>
        <v>4.247243827160494</v>
      </c>
      <c r="I15" s="35"/>
      <c r="J15" s="111"/>
      <c r="K15" s="114"/>
      <c r="L15" s="42"/>
    </row>
    <row r="16" spans="1:26" ht="15.95" customHeight="1" x14ac:dyDescent="0.25">
      <c r="A16" s="38"/>
      <c r="B16" s="35"/>
      <c r="C16" s="35" t="s">
        <v>250</v>
      </c>
      <c r="D16" s="35"/>
      <c r="E16" s="55"/>
      <c r="F16" s="35">
        <v>2.2000000000000002</v>
      </c>
      <c r="G16" s="35">
        <v>17.5</v>
      </c>
      <c r="H16" s="34">
        <f>(G16*F16+12+10*1.1)/27</f>
        <v>2.2777777777777777</v>
      </c>
      <c r="I16" s="35"/>
      <c r="J16" s="111"/>
      <c r="K16" s="114"/>
      <c r="L16" s="42"/>
    </row>
    <row r="17" spans="1:12" ht="15.95" customHeight="1" x14ac:dyDescent="0.25">
      <c r="A17" s="38"/>
      <c r="B17" s="35"/>
      <c r="C17" s="35" t="s">
        <v>251</v>
      </c>
      <c r="D17" s="35"/>
      <c r="E17" s="55"/>
      <c r="F17" s="35">
        <v>2.2000000000000002</v>
      </c>
      <c r="G17" s="176">
        <f>2+2.375/12</f>
        <v>2.1979166666666665</v>
      </c>
      <c r="H17" s="34">
        <f>(G17*F17+12+(6+8.875/12)*1.1)/27</f>
        <v>0.89810956790123464</v>
      </c>
      <c r="I17" s="35"/>
      <c r="J17" s="111"/>
      <c r="K17" s="114"/>
      <c r="L17" s="42"/>
    </row>
    <row r="18" spans="1:12" ht="16.5" customHeight="1" x14ac:dyDescent="0.25">
      <c r="A18" s="38"/>
      <c r="B18" s="62"/>
      <c r="C18" s="62"/>
      <c r="D18" s="62"/>
      <c r="E18" s="55"/>
      <c r="F18" s="62"/>
      <c r="G18" s="62"/>
      <c r="H18" s="62"/>
      <c r="I18" s="43"/>
      <c r="J18" s="111"/>
      <c r="K18" s="42"/>
      <c r="L18" s="42"/>
    </row>
    <row r="19" spans="1:12" ht="15.95" customHeight="1" x14ac:dyDescent="0.25">
      <c r="A19" s="52"/>
      <c r="B19" s="39"/>
      <c r="C19" s="40"/>
      <c r="D19" s="40"/>
      <c r="E19" s="35"/>
      <c r="F19" s="139"/>
      <c r="G19" s="105" t="s">
        <v>104</v>
      </c>
      <c r="H19" s="89"/>
      <c r="I19" s="89" t="s">
        <v>74</v>
      </c>
      <c r="J19" s="111"/>
      <c r="K19" s="42"/>
      <c r="L19" s="42"/>
    </row>
    <row r="20" spans="1:12" ht="15.95" customHeight="1" x14ac:dyDescent="0.25">
      <c r="A20" s="52"/>
      <c r="B20" s="39"/>
      <c r="C20" s="40"/>
      <c r="D20" s="40"/>
      <c r="E20" s="55"/>
      <c r="F20" s="139"/>
      <c r="G20" s="105" t="s">
        <v>105</v>
      </c>
      <c r="H20" s="89"/>
      <c r="I20" s="89" t="s">
        <v>74</v>
      </c>
      <c r="K20" s="162"/>
      <c r="L20" s="42"/>
    </row>
    <row r="21" spans="1:12" x14ac:dyDescent="0.25">
      <c r="A21" s="70"/>
      <c r="B21" s="39"/>
      <c r="C21" s="39"/>
      <c r="D21" s="39"/>
      <c r="E21" s="39"/>
      <c r="F21" s="139"/>
      <c r="G21" s="98" t="s">
        <v>109</v>
      </c>
      <c r="H21" s="91">
        <f>SUM(H10:H17)</f>
        <v>65.453776234567897</v>
      </c>
      <c r="I21" s="92" t="s">
        <v>74</v>
      </c>
      <c r="J21" s="111"/>
      <c r="K21" s="42"/>
      <c r="L21" s="42"/>
    </row>
    <row r="22" spans="1:12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111"/>
      <c r="K22" s="42"/>
      <c r="L22" s="42"/>
    </row>
    <row r="23" spans="1:12" ht="15.95" customHeight="1" x14ac:dyDescent="0.25">
      <c r="A23" s="38"/>
      <c r="B23" s="39"/>
      <c r="C23" s="39"/>
      <c r="D23" s="39"/>
      <c r="E23" s="39"/>
      <c r="F23" s="39"/>
      <c r="G23" s="39"/>
      <c r="H23" s="39"/>
      <c r="I23" s="36"/>
      <c r="J23" s="111"/>
      <c r="K23" s="42"/>
      <c r="L23" s="42"/>
    </row>
    <row r="24" spans="1:12" x14ac:dyDescent="0.25">
      <c r="A24" s="38"/>
      <c r="B24" s="39"/>
      <c r="C24" s="39"/>
      <c r="D24" s="39"/>
      <c r="E24" s="39"/>
      <c r="F24" s="39"/>
      <c r="G24" s="39"/>
      <c r="H24" s="39"/>
      <c r="I24" s="36"/>
      <c r="J24" s="111"/>
      <c r="K24" s="42"/>
      <c r="L24" s="42"/>
    </row>
    <row r="25" spans="1:12" ht="15.95" customHeight="1" x14ac:dyDescent="0.25">
      <c r="A25" s="38"/>
      <c r="B25" s="39"/>
      <c r="C25" s="39"/>
      <c r="D25" s="39"/>
      <c r="E25" s="39"/>
      <c r="F25" s="39"/>
      <c r="G25" s="39"/>
      <c r="H25" s="39"/>
      <c r="I25" s="36"/>
      <c r="J25" s="111"/>
      <c r="K25" s="114"/>
      <c r="L25" s="42"/>
    </row>
    <row r="26" spans="1:12" ht="15.95" customHeight="1" x14ac:dyDescent="0.25">
      <c r="A26" s="38"/>
      <c r="B26" s="39"/>
      <c r="C26" s="39"/>
      <c r="D26" s="39"/>
      <c r="E26" s="39"/>
      <c r="F26" s="39"/>
      <c r="G26" s="55" t="s">
        <v>52</v>
      </c>
      <c r="H26" s="36">
        <f>ROUNDUP(H21, 0)</f>
        <v>66</v>
      </c>
      <c r="I26" s="72"/>
      <c r="J26" s="111"/>
      <c r="K26" s="42">
        <f>H26</f>
        <v>66</v>
      </c>
      <c r="L26" s="42"/>
    </row>
    <row r="27" spans="1:12" ht="15.95" customHeight="1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111"/>
      <c r="K27" s="42"/>
      <c r="L27" s="42"/>
    </row>
    <row r="28" spans="1:12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111"/>
      <c r="K28" s="42"/>
      <c r="L28" s="42"/>
    </row>
    <row r="29" spans="1:12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111"/>
      <c r="K29" s="114"/>
      <c r="L29" s="42"/>
    </row>
    <row r="30" spans="1:12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111"/>
      <c r="K30" s="114"/>
      <c r="L30" s="42"/>
    </row>
    <row r="31" spans="1:12" ht="15.95" customHeight="1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111"/>
      <c r="K31" s="114"/>
      <c r="L31" s="42"/>
    </row>
    <row r="32" spans="1:12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111"/>
      <c r="K32" s="114"/>
      <c r="L32" s="42"/>
    </row>
    <row r="33" spans="1:12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111"/>
      <c r="K33" s="114"/>
      <c r="L33" s="41"/>
    </row>
    <row r="34" spans="1:12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111"/>
      <c r="K34" s="114"/>
      <c r="L34" s="41"/>
    </row>
    <row r="35" spans="1:12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111"/>
      <c r="K35" s="114"/>
      <c r="L35" s="41"/>
    </row>
    <row r="36" spans="1:12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111"/>
      <c r="K36" s="114"/>
      <c r="L36" s="41"/>
    </row>
    <row r="37" spans="1:12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112"/>
      <c r="K37" s="44"/>
      <c r="L37" s="44"/>
    </row>
    <row r="38" spans="1:12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6"/>
      <c r="K38" s="163">
        <f>SUM(K8:K37)</f>
        <v>66</v>
      </c>
      <c r="L38" s="51">
        <f>K38</f>
        <v>66</v>
      </c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A41"/>
  <sheetViews>
    <sheetView view="pageBreakPreview" zoomScale="80" zoomScaleNormal="100" zoomScaleSheetLayoutView="80" workbookViewId="0">
      <selection activeCell="F12" sqref="F12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6" width="9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  <col min="16" max="16" width="16.85546875" bestFit="1" customWidth="1"/>
    <col min="17" max="19" width="11.7109375" bestFit="1" customWidth="1"/>
    <col min="20" max="20" width="9.85546875" bestFit="1" customWidth="1"/>
    <col min="21" max="21" width="13.28515625" bestFit="1" customWidth="1"/>
    <col min="22" max="22" width="16.5703125" customWidth="1"/>
    <col min="23" max="23" width="10.42578125" customWidth="1"/>
    <col min="24" max="24" width="12" bestFit="1" customWidth="1"/>
    <col min="25" max="25" width="11.7109375" bestFit="1" customWidth="1"/>
    <col min="26" max="26" width="10" bestFit="1" customWidth="1"/>
    <col min="27" max="27" width="12" bestFit="1" customWidth="1"/>
  </cols>
  <sheetData>
    <row r="1" spans="1:27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58</v>
      </c>
      <c r="J1" s="253"/>
      <c r="K1" s="11"/>
      <c r="L1" s="15"/>
    </row>
    <row r="2" spans="1:27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'511E34448'!I2:J2+1</f>
        <v>7</v>
      </c>
      <c r="J2" s="255"/>
      <c r="L2" s="22"/>
    </row>
    <row r="3" spans="1:27" ht="9.75" customHeight="1" x14ac:dyDescent="0.25">
      <c r="A3" s="23"/>
      <c r="L3" s="22"/>
    </row>
    <row r="4" spans="1:27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">
        <v>157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27" ht="20.100000000000001" customHeight="1" x14ac:dyDescent="0.25">
      <c r="A5" s="24" t="s">
        <v>47</v>
      </c>
      <c r="B5" s="25"/>
      <c r="C5" s="251" t="s">
        <v>56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57</v>
      </c>
    </row>
    <row r="6" spans="1:27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27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27" ht="15.95" customHeight="1" x14ac:dyDescent="0.25">
      <c r="A8" s="64"/>
      <c r="B8" s="33"/>
      <c r="C8" s="65"/>
      <c r="D8" s="66"/>
      <c r="E8" s="33"/>
      <c r="F8" s="33"/>
      <c r="G8" s="33"/>
      <c r="H8" s="33"/>
      <c r="I8" s="67"/>
      <c r="J8" s="68"/>
      <c r="K8" s="56"/>
      <c r="L8" s="37"/>
      <c r="P8" s="177"/>
      <c r="Q8" s="109" t="s">
        <v>231</v>
      </c>
      <c r="R8" s="109" t="s">
        <v>231</v>
      </c>
      <c r="S8" s="109" t="s">
        <v>179</v>
      </c>
      <c r="T8" s="109" t="s">
        <v>66</v>
      </c>
      <c r="U8" s="109" t="s">
        <v>164</v>
      </c>
      <c r="V8" s="109" t="s">
        <v>180</v>
      </c>
      <c r="W8" s="109" t="s">
        <v>164</v>
      </c>
      <c r="X8" s="109" t="s">
        <v>164</v>
      </c>
      <c r="Y8" s="109" t="s">
        <v>181</v>
      </c>
      <c r="Z8" s="109" t="s">
        <v>182</v>
      </c>
      <c r="AA8" s="109" t="s">
        <v>50</v>
      </c>
    </row>
    <row r="9" spans="1:27" ht="30" x14ac:dyDescent="0.25">
      <c r="A9" s="52"/>
      <c r="B9" s="97"/>
      <c r="C9" s="40"/>
      <c r="D9" s="39"/>
      <c r="E9" s="92" t="s">
        <v>174</v>
      </c>
      <c r="F9" s="175" t="s">
        <v>175</v>
      </c>
      <c r="G9" s="93" t="s">
        <v>164</v>
      </c>
      <c r="H9" s="93" t="s">
        <v>164</v>
      </c>
      <c r="I9" s="36"/>
      <c r="J9" s="69"/>
      <c r="K9" s="57"/>
      <c r="L9" s="41"/>
      <c r="P9" s="177" t="s">
        <v>183</v>
      </c>
      <c r="Q9" s="215" t="s">
        <v>232</v>
      </c>
      <c r="R9" s="215" t="s">
        <v>233</v>
      </c>
      <c r="S9" s="101" t="s">
        <v>59</v>
      </c>
      <c r="T9" s="101" t="s">
        <v>59</v>
      </c>
      <c r="U9" s="101" t="s">
        <v>34</v>
      </c>
      <c r="V9" s="101" t="s">
        <v>131</v>
      </c>
      <c r="W9" s="101" t="s">
        <v>34</v>
      </c>
      <c r="X9" s="101" t="s">
        <v>57</v>
      </c>
      <c r="Y9" s="101" t="s">
        <v>131</v>
      </c>
      <c r="Z9" s="101" t="s">
        <v>131</v>
      </c>
      <c r="AA9" s="101" t="s">
        <v>57</v>
      </c>
    </row>
    <row r="10" spans="1:27" ht="15.95" customHeight="1" x14ac:dyDescent="0.25">
      <c r="A10" s="52"/>
      <c r="B10" s="39"/>
      <c r="C10" s="40"/>
      <c r="D10" s="39"/>
      <c r="E10" s="92" t="s">
        <v>59</v>
      </c>
      <c r="F10" s="62" t="s">
        <v>59</v>
      </c>
      <c r="G10" s="62" t="s">
        <v>34</v>
      </c>
      <c r="H10" s="62" t="s">
        <v>57</v>
      </c>
      <c r="I10" s="36"/>
      <c r="J10" s="69"/>
      <c r="K10" s="57"/>
      <c r="L10" s="41"/>
      <c r="P10" s="178" t="s">
        <v>184</v>
      </c>
      <c r="Q10" s="216">
        <f>AVERAGE(630.96,631.66)</f>
        <v>631.30999999999995</v>
      </c>
      <c r="R10" s="216">
        <f>AVERAGE(627.35,627.92)</f>
        <v>627.63499999999999</v>
      </c>
      <c r="S10" s="217">
        <f>Q10-R10</f>
        <v>3.6749999999999545</v>
      </c>
      <c r="T10" s="214">
        <f>33+3.875/12</f>
        <v>33.322916666666664</v>
      </c>
      <c r="U10" s="179">
        <f>T10*S10</f>
        <v>122.46171874999848</v>
      </c>
      <c r="V10" s="177">
        <v>2</v>
      </c>
      <c r="W10" s="179">
        <f>U10*V10</f>
        <v>244.92343749999696</v>
      </c>
      <c r="X10" s="179">
        <f>W10/9</f>
        <v>27.213715277777439</v>
      </c>
      <c r="Y10" s="177">
        <v>2</v>
      </c>
      <c r="Z10" s="177">
        <v>4</v>
      </c>
      <c r="AA10" s="179">
        <f>X10*Y10*Z10</f>
        <v>217.70972222221951</v>
      </c>
    </row>
    <row r="11" spans="1:27" x14ac:dyDescent="0.25">
      <c r="A11" s="70"/>
      <c r="B11" s="39"/>
      <c r="C11" s="39"/>
      <c r="D11" s="105" t="s">
        <v>252</v>
      </c>
      <c r="E11" s="176">
        <v>9.7799999999999994</v>
      </c>
      <c r="F11" s="35">
        <v>362.81</v>
      </c>
      <c r="G11" s="176">
        <f>E11*F11</f>
        <v>3548.2817999999997</v>
      </c>
      <c r="H11" s="172">
        <f>G11/9</f>
        <v>394.25353333333328</v>
      </c>
      <c r="I11" s="95"/>
      <c r="J11" s="69"/>
      <c r="K11" s="57"/>
      <c r="L11" s="41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</row>
    <row r="12" spans="1:27" ht="15.95" customHeight="1" x14ac:dyDescent="0.25">
      <c r="A12" s="70"/>
      <c r="B12" s="39"/>
      <c r="C12" s="39"/>
      <c r="D12" s="105" t="s">
        <v>167</v>
      </c>
      <c r="E12" s="176">
        <v>9.7799999999999994</v>
      </c>
      <c r="F12" s="35">
        <v>361.05</v>
      </c>
      <c r="G12" s="176">
        <f>E12*F12</f>
        <v>3531.069</v>
      </c>
      <c r="H12" s="172">
        <f>G12/9</f>
        <v>392.34100000000001</v>
      </c>
      <c r="I12" s="95"/>
      <c r="J12" s="69"/>
      <c r="K12" s="57"/>
      <c r="L12" s="41"/>
      <c r="P12" s="177"/>
      <c r="Q12" s="109" t="s">
        <v>66</v>
      </c>
      <c r="R12" s="109" t="s">
        <v>185</v>
      </c>
      <c r="S12" s="109" t="s">
        <v>180</v>
      </c>
      <c r="T12" s="109" t="s">
        <v>164</v>
      </c>
      <c r="U12" s="109" t="s">
        <v>164</v>
      </c>
      <c r="V12" s="109" t="s">
        <v>181</v>
      </c>
      <c r="W12" s="109" t="s">
        <v>182</v>
      </c>
      <c r="X12" s="109" t="s">
        <v>50</v>
      </c>
      <c r="Y12" s="177"/>
      <c r="Z12" s="177"/>
      <c r="AA12" s="177"/>
    </row>
    <row r="13" spans="1:27" ht="16.5" customHeight="1" x14ac:dyDescent="0.25">
      <c r="A13" s="70"/>
      <c r="B13" s="39"/>
      <c r="C13" s="39"/>
      <c r="D13" s="105" t="s">
        <v>253</v>
      </c>
      <c r="E13" s="35" t="s">
        <v>129</v>
      </c>
      <c r="F13" s="35" t="s">
        <v>129</v>
      </c>
      <c r="G13" s="35" t="s">
        <v>129</v>
      </c>
      <c r="H13" s="172">
        <v>14.04</v>
      </c>
      <c r="I13" s="95"/>
      <c r="J13" s="69"/>
      <c r="K13" s="57"/>
      <c r="L13" s="41"/>
      <c r="P13" s="177" t="s">
        <v>183</v>
      </c>
      <c r="Q13" s="101" t="s">
        <v>59</v>
      </c>
      <c r="R13" s="101" t="s">
        <v>59</v>
      </c>
      <c r="S13" s="101" t="s">
        <v>131</v>
      </c>
      <c r="T13" s="101" t="s">
        <v>34</v>
      </c>
      <c r="U13" s="101" t="s">
        <v>57</v>
      </c>
      <c r="V13" s="101" t="s">
        <v>131</v>
      </c>
      <c r="W13" s="101" t="s">
        <v>131</v>
      </c>
      <c r="X13" s="101" t="s">
        <v>57</v>
      </c>
      <c r="Y13" s="177"/>
      <c r="Z13" s="177"/>
      <c r="AA13" s="177"/>
    </row>
    <row r="14" spans="1:27" ht="15.95" customHeight="1" x14ac:dyDescent="0.25">
      <c r="A14" s="70"/>
      <c r="B14" s="39"/>
      <c r="C14" s="39"/>
      <c r="D14" s="105" t="s">
        <v>254</v>
      </c>
      <c r="E14" s="35" t="s">
        <v>129</v>
      </c>
      <c r="F14" s="35" t="s">
        <v>129</v>
      </c>
      <c r="G14" s="35" t="s">
        <v>129</v>
      </c>
      <c r="H14" s="172">
        <v>25.18</v>
      </c>
      <c r="I14" s="95"/>
      <c r="J14" s="69"/>
      <c r="K14" s="57"/>
      <c r="L14" s="41"/>
      <c r="P14" s="178" t="s">
        <v>186</v>
      </c>
      <c r="Q14" s="214">
        <v>33.57</v>
      </c>
      <c r="R14" s="180">
        <v>3</v>
      </c>
      <c r="S14" s="177">
        <v>1</v>
      </c>
      <c r="T14" s="213">
        <f>Q14*R14*S14-2*3*3</f>
        <v>82.710000000000008</v>
      </c>
      <c r="U14" s="179">
        <f>T14/9</f>
        <v>9.1900000000000013</v>
      </c>
      <c r="V14" s="177">
        <v>2</v>
      </c>
      <c r="W14" s="177">
        <v>4</v>
      </c>
      <c r="X14" s="179">
        <f>U14*V14*W14</f>
        <v>73.52000000000001</v>
      </c>
      <c r="Y14" s="177"/>
      <c r="Z14" s="177"/>
      <c r="AA14" s="177"/>
    </row>
    <row r="15" spans="1:27" ht="15.95" customHeight="1" x14ac:dyDescent="0.25">
      <c r="A15" s="70"/>
      <c r="B15" s="39"/>
      <c r="C15" s="39"/>
      <c r="D15" s="105" t="s">
        <v>255</v>
      </c>
      <c r="E15" s="35" t="s">
        <v>129</v>
      </c>
      <c r="F15" s="35" t="s">
        <v>129</v>
      </c>
      <c r="G15" s="35" t="s">
        <v>129</v>
      </c>
      <c r="H15" s="172">
        <v>28.23</v>
      </c>
      <c r="I15" s="95"/>
      <c r="J15" s="69"/>
      <c r="K15" s="57"/>
      <c r="L15" s="41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</row>
    <row r="16" spans="1:27" x14ac:dyDescent="0.25">
      <c r="A16" s="70"/>
      <c r="B16" s="39"/>
      <c r="C16" s="39"/>
      <c r="D16" s="105" t="s">
        <v>240</v>
      </c>
      <c r="E16" s="35" t="s">
        <v>129</v>
      </c>
      <c r="F16" s="35" t="s">
        <v>129</v>
      </c>
      <c r="G16" s="35" t="s">
        <v>129</v>
      </c>
      <c r="H16" s="172">
        <v>11.09</v>
      </c>
      <c r="I16" s="95"/>
      <c r="J16" s="69"/>
      <c r="K16" s="57"/>
      <c r="L16" s="41"/>
      <c r="P16" s="177"/>
      <c r="Q16" s="109" t="s">
        <v>163</v>
      </c>
      <c r="R16" s="109" t="s">
        <v>185</v>
      </c>
      <c r="S16" s="109" t="s">
        <v>180</v>
      </c>
      <c r="T16" s="109" t="s">
        <v>164</v>
      </c>
      <c r="U16" s="109" t="s">
        <v>164</v>
      </c>
      <c r="V16" s="109" t="s">
        <v>181</v>
      </c>
      <c r="W16" s="109" t="s">
        <v>182</v>
      </c>
      <c r="X16" s="109" t="s">
        <v>50</v>
      </c>
      <c r="Y16" s="177"/>
      <c r="Z16" s="177"/>
      <c r="AA16" s="177"/>
    </row>
    <row r="17" spans="1:27" ht="15.75" customHeight="1" x14ac:dyDescent="0.25">
      <c r="A17" s="38"/>
      <c r="B17" s="35"/>
      <c r="C17" s="35"/>
      <c r="D17" s="105" t="s">
        <v>176</v>
      </c>
      <c r="E17" s="176">
        <v>7.23</v>
      </c>
      <c r="F17" s="176">
        <f>72+9.25/12</f>
        <v>72.770833333333329</v>
      </c>
      <c r="G17" s="176">
        <f t="shared" ref="G17:G18" si="0">E17*F17</f>
        <v>526.13312499999995</v>
      </c>
      <c r="H17" s="172">
        <f t="shared" ref="H17:H18" si="1">G17/9</f>
        <v>58.459236111111103</v>
      </c>
      <c r="I17" s="35"/>
      <c r="J17" s="69"/>
      <c r="K17" s="58"/>
      <c r="L17" s="42"/>
      <c r="P17" s="177" t="s">
        <v>183</v>
      </c>
      <c r="Q17" s="101" t="s">
        <v>59</v>
      </c>
      <c r="R17" s="101" t="s">
        <v>59</v>
      </c>
      <c r="S17" s="101" t="s">
        <v>131</v>
      </c>
      <c r="T17" s="101" t="s">
        <v>34</v>
      </c>
      <c r="U17" s="101" t="s">
        <v>57</v>
      </c>
      <c r="V17" s="101" t="s">
        <v>131</v>
      </c>
      <c r="W17" s="101" t="s">
        <v>131</v>
      </c>
      <c r="X17" s="101" t="s">
        <v>57</v>
      </c>
      <c r="Y17" s="177"/>
      <c r="Z17" s="177"/>
      <c r="AA17" s="177"/>
    </row>
    <row r="18" spans="1:27" ht="15.95" customHeight="1" x14ac:dyDescent="0.25">
      <c r="A18" s="38"/>
      <c r="B18" s="62"/>
      <c r="C18" s="62"/>
      <c r="D18" s="105" t="s">
        <v>177</v>
      </c>
      <c r="E18" s="176">
        <v>7.14</v>
      </c>
      <c r="F18" s="183">
        <f>76+3.125/12</f>
        <v>76.260416666666671</v>
      </c>
      <c r="G18" s="176">
        <f t="shared" si="0"/>
        <v>544.49937499999999</v>
      </c>
      <c r="H18" s="172">
        <f t="shared" si="1"/>
        <v>60.499930555555551</v>
      </c>
      <c r="I18" s="43"/>
      <c r="J18" s="69"/>
      <c r="K18" s="59"/>
      <c r="L18" s="42"/>
      <c r="P18" s="178" t="s">
        <v>187</v>
      </c>
      <c r="Q18" s="180">
        <v>2.5</v>
      </c>
      <c r="R18" s="180">
        <v>3</v>
      </c>
      <c r="S18" s="177">
        <v>2</v>
      </c>
      <c r="T18" s="177">
        <f>Q18*R18*S18</f>
        <v>15</v>
      </c>
      <c r="U18" s="179">
        <f>T18/9</f>
        <v>1.6666666666666667</v>
      </c>
      <c r="V18" s="177">
        <v>2</v>
      </c>
      <c r="W18" s="177">
        <v>4</v>
      </c>
      <c r="X18" s="179">
        <f>U18*V18*W18</f>
        <v>13.333333333333334</v>
      </c>
      <c r="Y18" s="177"/>
      <c r="Z18" s="177"/>
      <c r="AA18" s="177"/>
    </row>
    <row r="19" spans="1:27" ht="15.95" customHeight="1" x14ac:dyDescent="0.25">
      <c r="A19" s="52"/>
      <c r="B19" s="39"/>
      <c r="C19" s="40"/>
      <c r="D19" s="105" t="s">
        <v>97</v>
      </c>
      <c r="E19" s="35" t="s">
        <v>129</v>
      </c>
      <c r="F19" s="35" t="s">
        <v>129</v>
      </c>
      <c r="G19" s="35" t="s">
        <v>129</v>
      </c>
      <c r="H19" s="91">
        <f>X30</f>
        <v>578.73638888888604</v>
      </c>
      <c r="I19" s="89"/>
      <c r="J19" s="69"/>
      <c r="K19" s="59"/>
      <c r="L19" s="42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</row>
    <row r="20" spans="1:27" x14ac:dyDescent="0.25">
      <c r="A20" s="52"/>
      <c r="B20" s="39"/>
      <c r="C20" s="40"/>
      <c r="D20" s="39"/>
      <c r="E20" s="55"/>
      <c r="F20" s="35"/>
      <c r="G20" s="105"/>
      <c r="H20" s="89"/>
      <c r="I20" s="89"/>
      <c r="J20" s="69"/>
      <c r="K20" s="59"/>
      <c r="L20" s="42"/>
      <c r="P20" s="177"/>
      <c r="Q20" s="109" t="s">
        <v>179</v>
      </c>
      <c r="R20" s="109" t="s">
        <v>188</v>
      </c>
      <c r="S20" s="109" t="s">
        <v>180</v>
      </c>
      <c r="T20" s="109" t="s">
        <v>164</v>
      </c>
      <c r="U20" s="109" t="s">
        <v>164</v>
      </c>
      <c r="V20" s="109" t="s">
        <v>189</v>
      </c>
      <c r="W20" s="109" t="s">
        <v>182</v>
      </c>
      <c r="X20" s="109" t="s">
        <v>50</v>
      </c>
      <c r="Y20" s="177"/>
      <c r="Z20" s="177"/>
      <c r="AA20" s="177"/>
    </row>
    <row r="21" spans="1:27" ht="15.95" customHeight="1" x14ac:dyDescent="0.25">
      <c r="A21" s="70"/>
      <c r="B21" s="39"/>
      <c r="C21" s="39"/>
      <c r="D21" s="39"/>
      <c r="E21" s="55"/>
      <c r="F21" s="35"/>
      <c r="G21" s="98"/>
      <c r="H21" s="91"/>
      <c r="I21" s="92"/>
      <c r="J21" s="69"/>
      <c r="K21" s="59"/>
      <c r="L21" s="42"/>
      <c r="P21" s="177" t="s">
        <v>183</v>
      </c>
      <c r="Q21" s="101" t="s">
        <v>59</v>
      </c>
      <c r="R21" s="101" t="s">
        <v>59</v>
      </c>
      <c r="S21" s="101" t="s">
        <v>131</v>
      </c>
      <c r="T21" s="101" t="s">
        <v>34</v>
      </c>
      <c r="U21" s="101" t="s">
        <v>57</v>
      </c>
      <c r="V21" s="101" t="s">
        <v>131</v>
      </c>
      <c r="W21" s="101" t="s">
        <v>131</v>
      </c>
      <c r="X21" s="101" t="s">
        <v>57</v>
      </c>
      <c r="Y21" s="177"/>
      <c r="Z21" s="177"/>
      <c r="AA21" s="177"/>
    </row>
    <row r="22" spans="1:27" ht="15.95" customHeight="1" x14ac:dyDescent="0.25">
      <c r="A22" s="38"/>
      <c r="B22" s="39"/>
      <c r="C22" s="39"/>
      <c r="D22" s="39"/>
      <c r="E22" s="39"/>
      <c r="F22" s="39"/>
      <c r="G22" s="39"/>
      <c r="H22" s="39"/>
      <c r="I22" s="36"/>
      <c r="J22" s="69"/>
      <c r="K22" s="58"/>
      <c r="L22" s="42"/>
      <c r="P22" s="178" t="s">
        <v>190</v>
      </c>
      <c r="Q22" s="179"/>
      <c r="R22" s="177"/>
      <c r="S22" s="177"/>
      <c r="T22" s="179"/>
      <c r="U22" s="179"/>
      <c r="V22" s="177"/>
      <c r="W22" s="177"/>
      <c r="X22" s="177"/>
      <c r="Y22" s="177"/>
      <c r="Z22" s="177"/>
      <c r="AA22" s="177"/>
    </row>
    <row r="23" spans="1:27" x14ac:dyDescent="0.25">
      <c r="A23" s="38"/>
      <c r="B23" s="39"/>
      <c r="C23" s="39"/>
      <c r="D23" s="39"/>
      <c r="E23" s="55"/>
      <c r="F23" s="35"/>
      <c r="G23" s="105" t="s">
        <v>104</v>
      </c>
      <c r="H23" s="89">
        <f>ROUND(H17+H18,0)</f>
        <v>119</v>
      </c>
      <c r="I23" s="89" t="s">
        <v>57</v>
      </c>
      <c r="J23" s="69"/>
      <c r="K23" s="59"/>
      <c r="L23" s="42"/>
      <c r="P23" s="178" t="s">
        <v>112</v>
      </c>
      <c r="Q23" s="181">
        <f>AVERAGE(W34:W35)</f>
        <v>11.644999999999982</v>
      </c>
      <c r="R23" s="180">
        <v>3</v>
      </c>
      <c r="S23" s="177">
        <v>4</v>
      </c>
      <c r="T23" s="179">
        <f>(Q23*R23)*S23</f>
        <v>139.73999999999978</v>
      </c>
      <c r="U23" s="179">
        <f>T23/9</f>
        <v>15.526666666666642</v>
      </c>
      <c r="V23" s="177">
        <v>4</v>
      </c>
      <c r="W23" s="177">
        <v>1</v>
      </c>
      <c r="X23" s="179">
        <f>U23*V23*W23</f>
        <v>62.10666666666657</v>
      </c>
      <c r="Y23" s="177"/>
      <c r="Z23" s="177"/>
      <c r="AA23" s="177"/>
    </row>
    <row r="24" spans="1:27" ht="15.95" customHeight="1" x14ac:dyDescent="0.25">
      <c r="A24" s="38"/>
      <c r="B24" s="39"/>
      <c r="C24" s="39"/>
      <c r="D24" s="39"/>
      <c r="E24" s="55"/>
      <c r="F24" s="35"/>
      <c r="G24" s="105" t="s">
        <v>105</v>
      </c>
      <c r="H24" s="89">
        <f>ROUND(H19,0)</f>
        <v>579</v>
      </c>
      <c r="I24" s="89" t="s">
        <v>57</v>
      </c>
      <c r="J24" s="69"/>
      <c r="K24" s="59"/>
      <c r="L24" s="42"/>
      <c r="P24" s="178" t="s">
        <v>113</v>
      </c>
      <c r="Q24" s="181">
        <f>AVERAGE(W36:W37)</f>
        <v>12.317499999999995</v>
      </c>
      <c r="R24" s="180">
        <v>3</v>
      </c>
      <c r="S24" s="177">
        <v>4</v>
      </c>
      <c r="T24" s="179">
        <f>(Q24*R24)*S24</f>
        <v>147.80999999999995</v>
      </c>
      <c r="U24" s="179">
        <f>T24/9</f>
        <v>16.423333333333328</v>
      </c>
      <c r="V24" s="177">
        <v>4</v>
      </c>
      <c r="W24" s="177">
        <v>1</v>
      </c>
      <c r="X24" s="179">
        <f t="shared" ref="X24:X26" si="2">U24*V24*W24</f>
        <v>65.693333333333314</v>
      </c>
      <c r="Y24" s="177"/>
      <c r="Z24" s="177"/>
      <c r="AA24" s="177"/>
    </row>
    <row r="25" spans="1:27" ht="15.95" customHeight="1" x14ac:dyDescent="0.25">
      <c r="A25" s="38"/>
      <c r="B25" s="39"/>
      <c r="C25" s="39"/>
      <c r="D25" s="39"/>
      <c r="E25" s="39"/>
      <c r="F25" s="39"/>
      <c r="G25" s="98" t="s">
        <v>109</v>
      </c>
      <c r="H25" s="89">
        <f>ROUND(SUM(H11:H16),0)</f>
        <v>865</v>
      </c>
      <c r="I25" s="92" t="s">
        <v>57</v>
      </c>
      <c r="J25" s="69"/>
      <c r="K25" s="59"/>
      <c r="L25" s="42"/>
      <c r="P25" s="178" t="s">
        <v>114</v>
      </c>
      <c r="Q25" s="181">
        <f>AVERAGE(W38:W39)</f>
        <v>13.927500000000009</v>
      </c>
      <c r="R25" s="180">
        <v>3</v>
      </c>
      <c r="S25" s="177">
        <v>4</v>
      </c>
      <c r="T25" s="179">
        <f>(Q25*R25)*S25</f>
        <v>167.13000000000011</v>
      </c>
      <c r="U25" s="179">
        <f>T25/9</f>
        <v>18.570000000000011</v>
      </c>
      <c r="V25" s="177">
        <v>4</v>
      </c>
      <c r="W25" s="177">
        <v>1</v>
      </c>
      <c r="X25" s="179">
        <f t="shared" si="2"/>
        <v>74.280000000000044</v>
      </c>
      <c r="Y25" s="177"/>
      <c r="Z25" s="177"/>
      <c r="AA25" s="177"/>
    </row>
    <row r="26" spans="1:27" ht="15.95" customHeight="1" x14ac:dyDescent="0.25">
      <c r="A26" s="38"/>
      <c r="B26" s="39"/>
      <c r="C26" s="39"/>
      <c r="D26" s="39"/>
      <c r="E26" s="55"/>
      <c r="F26" s="39"/>
      <c r="G26" s="161" t="s">
        <v>110</v>
      </c>
      <c r="H26" s="173">
        <f>SUM(H23:H25)</f>
        <v>1563</v>
      </c>
      <c r="I26" s="173" t="s">
        <v>57</v>
      </c>
      <c r="J26" s="69"/>
      <c r="K26" s="58">
        <f>H26</f>
        <v>1563</v>
      </c>
      <c r="L26" s="42"/>
      <c r="P26" s="178" t="s">
        <v>115</v>
      </c>
      <c r="Q26" s="181">
        <f>AVERAGE(W40:W41)</f>
        <v>13.517499999999984</v>
      </c>
      <c r="R26" s="180">
        <v>3</v>
      </c>
      <c r="S26" s="177">
        <v>4</v>
      </c>
      <c r="T26" s="179">
        <f>(Q26*R26)*S26</f>
        <v>162.20999999999981</v>
      </c>
      <c r="U26" s="179">
        <f>T26/9</f>
        <v>18.023333333333312</v>
      </c>
      <c r="V26" s="177">
        <v>4</v>
      </c>
      <c r="W26" s="177">
        <v>1</v>
      </c>
      <c r="X26" s="179">
        <f t="shared" si="2"/>
        <v>72.093333333333248</v>
      </c>
      <c r="Y26" s="177"/>
      <c r="Z26" s="177"/>
      <c r="AA26" s="177"/>
    </row>
    <row r="27" spans="1:27" x14ac:dyDescent="0.25">
      <c r="A27" s="38"/>
      <c r="B27" s="39"/>
      <c r="C27" s="39"/>
      <c r="D27" s="39"/>
      <c r="E27" s="39"/>
      <c r="F27" s="39"/>
      <c r="G27" s="39"/>
      <c r="H27" s="39"/>
      <c r="I27" s="36"/>
      <c r="J27" s="69"/>
      <c r="K27" s="59"/>
      <c r="L27" s="42"/>
      <c r="P27" s="177"/>
      <c r="Q27" s="177"/>
      <c r="R27" s="177"/>
      <c r="S27" s="177"/>
      <c r="T27" s="177"/>
      <c r="U27" s="177"/>
      <c r="V27" s="177"/>
      <c r="Y27" s="177"/>
      <c r="Z27" s="177"/>
      <c r="AA27" s="177"/>
    </row>
    <row r="28" spans="1:27" ht="15.95" customHeight="1" x14ac:dyDescent="0.25">
      <c r="A28" s="38"/>
      <c r="B28" s="39"/>
      <c r="C28" s="39"/>
      <c r="D28" s="39"/>
      <c r="E28" s="39"/>
      <c r="F28" s="39"/>
      <c r="G28" s="39"/>
      <c r="H28" s="39"/>
      <c r="I28" s="36"/>
      <c r="J28" s="69"/>
      <c r="K28" s="58"/>
      <c r="L28" s="42"/>
      <c r="P28" s="177"/>
      <c r="Q28" s="177"/>
      <c r="R28" s="177"/>
      <c r="S28" s="177"/>
      <c r="T28" s="177"/>
      <c r="U28" s="177"/>
      <c r="V28" s="177"/>
      <c r="W28" s="178" t="s">
        <v>191</v>
      </c>
      <c r="X28" s="182">
        <f>AA10+X14+X18</f>
        <v>304.56305555555281</v>
      </c>
      <c r="Y28" s="177" t="s">
        <v>57</v>
      </c>
      <c r="Z28" s="177"/>
      <c r="AA28" s="177"/>
    </row>
    <row r="29" spans="1:27" ht="15.95" customHeight="1" x14ac:dyDescent="0.25">
      <c r="A29" s="38"/>
      <c r="B29" s="39"/>
      <c r="C29" s="39"/>
      <c r="D29" s="39"/>
      <c r="E29" s="39"/>
      <c r="F29" s="39"/>
      <c r="G29" s="39"/>
      <c r="H29" s="39"/>
      <c r="I29" s="36"/>
      <c r="J29" s="69"/>
      <c r="K29" s="58"/>
      <c r="L29" s="41"/>
      <c r="P29" s="177"/>
      <c r="Q29" s="177"/>
      <c r="R29" s="177"/>
      <c r="S29" s="177"/>
      <c r="T29" s="177"/>
      <c r="U29" s="177"/>
      <c r="V29" s="177"/>
      <c r="W29" s="178" t="s">
        <v>192</v>
      </c>
      <c r="X29" s="182">
        <f>SUM(X23:X26)</f>
        <v>274.17333333333318</v>
      </c>
      <c r="Y29" s="177" t="s">
        <v>57</v>
      </c>
      <c r="Z29" s="177"/>
      <c r="AA29" s="177"/>
    </row>
    <row r="30" spans="1:27" ht="15.95" customHeight="1" x14ac:dyDescent="0.25">
      <c r="A30" s="38"/>
      <c r="B30" s="39"/>
      <c r="C30" s="39"/>
      <c r="D30" s="39"/>
      <c r="E30" s="39"/>
      <c r="F30" s="39"/>
      <c r="G30" s="39"/>
      <c r="H30" s="39"/>
      <c r="I30" s="36"/>
      <c r="J30" s="69"/>
      <c r="K30" s="58"/>
      <c r="L30" s="41"/>
      <c r="P30" s="177"/>
      <c r="Q30" s="177"/>
      <c r="R30" s="177"/>
      <c r="S30" s="177"/>
      <c r="T30" s="177"/>
      <c r="U30" s="177"/>
      <c r="V30" s="177"/>
      <c r="W30" s="178" t="s">
        <v>144</v>
      </c>
      <c r="X30" s="182">
        <f>X28+X29</f>
        <v>578.73638888888604</v>
      </c>
      <c r="Y30" s="177" t="s">
        <v>57</v>
      </c>
      <c r="Z30" s="177"/>
      <c r="AA30" s="177"/>
    </row>
    <row r="31" spans="1:27" x14ac:dyDescent="0.25">
      <c r="A31" s="38"/>
      <c r="B31" s="39"/>
      <c r="C31" s="39"/>
      <c r="D31" s="39"/>
      <c r="E31" s="39"/>
      <c r="F31" s="39"/>
      <c r="G31" s="39"/>
      <c r="H31" s="39"/>
      <c r="I31" s="36"/>
      <c r="J31" s="69"/>
      <c r="K31" s="58"/>
      <c r="L31" s="41"/>
      <c r="P31" s="177"/>
      <c r="Q31" s="177"/>
      <c r="R31" s="177" t="s">
        <v>197</v>
      </c>
      <c r="S31" s="177"/>
      <c r="T31" s="177"/>
      <c r="U31" s="177"/>
      <c r="V31" s="177"/>
      <c r="W31" s="178"/>
      <c r="X31" s="177"/>
      <c r="Y31" s="177"/>
      <c r="Z31" s="177"/>
      <c r="AA31" s="177"/>
    </row>
    <row r="32" spans="1:27" ht="15.95" customHeight="1" x14ac:dyDescent="0.25">
      <c r="A32" s="38"/>
      <c r="B32" s="39"/>
      <c r="C32" s="39"/>
      <c r="D32" s="39"/>
      <c r="E32" s="39"/>
      <c r="F32" s="39"/>
      <c r="G32" s="39"/>
      <c r="H32" s="39"/>
      <c r="I32" s="36"/>
      <c r="J32" s="69"/>
      <c r="K32" s="58"/>
      <c r="L32" s="41"/>
      <c r="P32" s="177"/>
      <c r="Q32" s="177"/>
      <c r="R32" s="177" t="s">
        <v>206</v>
      </c>
      <c r="S32" s="177" t="s">
        <v>193</v>
      </c>
      <c r="T32" s="177" t="s">
        <v>194</v>
      </c>
      <c r="U32" s="177" t="s">
        <v>195</v>
      </c>
      <c r="V32" s="177" t="s">
        <v>196</v>
      </c>
      <c r="W32" s="177" t="s">
        <v>163</v>
      </c>
      <c r="X32" s="177"/>
      <c r="Y32" s="177"/>
      <c r="Z32" s="177"/>
      <c r="AA32" s="177"/>
    </row>
    <row r="33" spans="1:27" ht="15.95" customHeight="1" x14ac:dyDescent="0.25">
      <c r="A33" s="38"/>
      <c r="B33" s="39"/>
      <c r="C33" s="39"/>
      <c r="D33" s="39"/>
      <c r="E33" s="39"/>
      <c r="F33" s="39"/>
      <c r="G33" s="39"/>
      <c r="H33" s="39"/>
      <c r="I33" s="36"/>
      <c r="J33" s="69"/>
      <c r="K33" s="58"/>
      <c r="L33" s="41"/>
      <c r="P33" s="177"/>
      <c r="Q33" s="177"/>
      <c r="R33" s="178" t="s">
        <v>207</v>
      </c>
      <c r="S33" s="177" t="s">
        <v>178</v>
      </c>
      <c r="T33" s="177" t="s">
        <v>59</v>
      </c>
      <c r="U33" s="177" t="s">
        <v>59</v>
      </c>
      <c r="V33" s="177" t="s">
        <v>178</v>
      </c>
      <c r="W33" s="177" t="s">
        <v>59</v>
      </c>
      <c r="X33" s="177"/>
      <c r="Y33" s="177"/>
      <c r="Z33" s="177"/>
      <c r="AA33" s="177"/>
    </row>
    <row r="34" spans="1:27" ht="15.95" customHeight="1" x14ac:dyDescent="0.25">
      <c r="A34" s="38"/>
      <c r="B34" s="39"/>
      <c r="C34" s="39"/>
      <c r="D34" s="39"/>
      <c r="E34" s="39"/>
      <c r="F34" s="39"/>
      <c r="G34" s="39"/>
      <c r="H34" s="39"/>
      <c r="I34" s="36"/>
      <c r="J34" s="69"/>
      <c r="K34" s="58"/>
      <c r="L34" s="41"/>
      <c r="P34" s="177"/>
      <c r="R34" s="177" t="s">
        <v>198</v>
      </c>
      <c r="S34" s="181">
        <v>611.5</v>
      </c>
      <c r="T34" s="177">
        <v>3</v>
      </c>
      <c r="U34" s="177">
        <v>1.5</v>
      </c>
      <c r="V34" s="181">
        <f>(627.35+627.92)/2</f>
        <v>627.63499999999999</v>
      </c>
      <c r="W34" s="179">
        <f>V34-(S34+T34+U34)</f>
        <v>11.634999999999991</v>
      </c>
      <c r="X34" s="177"/>
      <c r="Y34" s="177"/>
      <c r="Z34" s="177"/>
      <c r="AA34" s="177"/>
    </row>
    <row r="35" spans="1:27" x14ac:dyDescent="0.25">
      <c r="A35" s="38"/>
      <c r="B35" s="39"/>
      <c r="C35" s="39"/>
      <c r="D35" s="39"/>
      <c r="E35" s="39"/>
      <c r="F35" s="39"/>
      <c r="G35" s="39"/>
      <c r="H35" s="39"/>
      <c r="I35" s="36"/>
      <c r="J35" s="69"/>
      <c r="K35" s="58"/>
      <c r="L35" s="41"/>
      <c r="P35" s="177"/>
      <c r="R35" s="177" t="s">
        <v>199</v>
      </c>
      <c r="S35" s="181">
        <v>612.25</v>
      </c>
      <c r="T35" s="177">
        <v>3</v>
      </c>
      <c r="U35" s="177">
        <v>1.5</v>
      </c>
      <c r="V35" s="181">
        <f>(628.3+628.51)/2</f>
        <v>628.40499999999997</v>
      </c>
      <c r="W35" s="177">
        <f t="shared" ref="W35:W41" si="3">V35-(S35+T35+U35)</f>
        <v>11.654999999999973</v>
      </c>
      <c r="X35" s="177"/>
      <c r="Y35" s="177"/>
      <c r="Z35" s="177"/>
      <c r="AA35" s="177"/>
    </row>
    <row r="36" spans="1:27" ht="15.95" customHeight="1" x14ac:dyDescent="0.25">
      <c r="A36" s="38"/>
      <c r="B36" s="35"/>
      <c r="C36" s="35"/>
      <c r="D36" s="35"/>
      <c r="E36" s="35"/>
      <c r="F36" s="35"/>
      <c r="G36" s="35"/>
      <c r="H36" s="63"/>
      <c r="I36" s="36"/>
      <c r="J36" s="69"/>
      <c r="K36" s="58"/>
      <c r="L36" s="41"/>
      <c r="P36" s="177"/>
      <c r="R36" s="177" t="s">
        <v>200</v>
      </c>
      <c r="S36" s="181">
        <f>612.75</f>
        <v>612.75</v>
      </c>
      <c r="T36" s="177">
        <v>3</v>
      </c>
      <c r="U36" s="177">
        <v>1.5</v>
      </c>
      <c r="V36" s="181">
        <f>(629.12+629.69)/2</f>
        <v>629.40499999999997</v>
      </c>
      <c r="W36" s="177">
        <f t="shared" si="3"/>
        <v>12.154999999999973</v>
      </c>
      <c r="X36" s="177"/>
      <c r="Y36" s="177"/>
      <c r="Z36" s="177"/>
      <c r="AA36" s="177"/>
    </row>
    <row r="37" spans="1:27" ht="15.75" thickBot="1" x14ac:dyDescent="0.3">
      <c r="A37" s="71"/>
      <c r="B37" s="45"/>
      <c r="C37" s="45"/>
      <c r="D37" s="45"/>
      <c r="E37" s="46"/>
      <c r="F37" s="46"/>
      <c r="G37" s="47"/>
      <c r="H37" s="45"/>
      <c r="I37" s="48"/>
      <c r="J37" s="49"/>
      <c r="K37" s="60"/>
      <c r="L37" s="44"/>
      <c r="P37" s="177"/>
      <c r="Q37" s="177"/>
      <c r="R37" s="177" t="s">
        <v>201</v>
      </c>
      <c r="S37" s="181">
        <v>613.5</v>
      </c>
      <c r="T37" s="177">
        <v>3</v>
      </c>
      <c r="U37" s="177">
        <v>1.5</v>
      </c>
      <c r="V37" s="181">
        <f>(630.2+630.76)/2</f>
        <v>630.48</v>
      </c>
      <c r="W37" s="177">
        <f t="shared" si="3"/>
        <v>12.480000000000018</v>
      </c>
      <c r="X37" s="177"/>
      <c r="Y37" s="177"/>
      <c r="Z37" s="177"/>
      <c r="AA37" s="177"/>
    </row>
    <row r="38" spans="1:27" ht="15.75" thickBot="1" x14ac:dyDescent="0.3">
      <c r="A38" s="245" t="s">
        <v>50</v>
      </c>
      <c r="B38" s="246"/>
      <c r="C38" s="246"/>
      <c r="D38" s="246"/>
      <c r="E38" s="246"/>
      <c r="F38" s="246"/>
      <c r="G38" s="246"/>
      <c r="H38" s="246"/>
      <c r="I38" s="246"/>
      <c r="J38" s="247"/>
      <c r="K38" s="50">
        <f>SUM(K8:K37)</f>
        <v>1563</v>
      </c>
      <c r="L38" s="51">
        <f>K38</f>
        <v>1563</v>
      </c>
      <c r="P38" s="177"/>
      <c r="Q38" s="177"/>
      <c r="R38" s="177" t="s">
        <v>202</v>
      </c>
      <c r="S38" s="181">
        <v>612.5</v>
      </c>
      <c r="T38" s="177">
        <v>3</v>
      </c>
      <c r="U38" s="177">
        <v>1.5</v>
      </c>
      <c r="V38" s="181">
        <f>(630.15+630.91)/2</f>
        <v>630.53</v>
      </c>
      <c r="W38" s="177">
        <f t="shared" si="3"/>
        <v>13.529999999999973</v>
      </c>
      <c r="X38" s="177"/>
      <c r="Y38" s="177"/>
      <c r="Z38" s="177"/>
      <c r="AA38" s="177"/>
    </row>
    <row r="39" spans="1:27" x14ac:dyDescent="0.25">
      <c r="P39" s="177"/>
      <c r="Q39" s="177"/>
      <c r="R39" s="177" t="s">
        <v>203</v>
      </c>
      <c r="S39" s="181">
        <v>613</v>
      </c>
      <c r="T39" s="177">
        <v>3</v>
      </c>
      <c r="U39" s="177">
        <v>1.5</v>
      </c>
      <c r="V39" s="181">
        <f>(631.47+632.18)/2</f>
        <v>631.82500000000005</v>
      </c>
      <c r="W39" s="177">
        <f t="shared" si="3"/>
        <v>14.325000000000045</v>
      </c>
      <c r="X39" s="177"/>
      <c r="Y39" s="177"/>
      <c r="Z39" s="177"/>
      <c r="AA39" s="177"/>
    </row>
    <row r="40" spans="1:27" x14ac:dyDescent="0.25">
      <c r="P40" s="177"/>
      <c r="Q40" s="177"/>
      <c r="R40" s="177" t="s">
        <v>204</v>
      </c>
      <c r="S40" s="181">
        <v>614.5</v>
      </c>
      <c r="T40" s="177">
        <v>3</v>
      </c>
      <c r="U40" s="177">
        <v>1.5</v>
      </c>
      <c r="V40" s="181">
        <f>(631.48+632.37)/2</f>
        <v>631.92499999999995</v>
      </c>
      <c r="W40" s="179">
        <f t="shared" si="3"/>
        <v>12.924999999999955</v>
      </c>
      <c r="X40" s="177"/>
      <c r="Y40" s="177"/>
      <c r="Z40" s="177"/>
      <c r="AA40" s="177"/>
    </row>
    <row r="41" spans="1:27" x14ac:dyDescent="0.25">
      <c r="P41" s="177"/>
      <c r="Q41" s="177"/>
      <c r="R41" s="177" t="s">
        <v>205</v>
      </c>
      <c r="S41" s="181">
        <v>615</v>
      </c>
      <c r="T41" s="177">
        <v>3</v>
      </c>
      <c r="U41" s="177">
        <v>1.5</v>
      </c>
      <c r="V41" s="180">
        <f>(633.12+634.1)/2</f>
        <v>633.61</v>
      </c>
      <c r="W41" s="177">
        <f t="shared" si="3"/>
        <v>14.110000000000014</v>
      </c>
      <c r="X41" s="177"/>
      <c r="Y41" s="177"/>
      <c r="Z41" s="177"/>
      <c r="AA41" s="177"/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L38"/>
  <sheetViews>
    <sheetView view="pageBreakPreview" zoomScale="80" zoomScaleNormal="100" zoomScaleSheetLayoutView="80" workbookViewId="0">
      <selection activeCell="L8" sqref="L8"/>
    </sheetView>
  </sheetViews>
  <sheetFormatPr defaultColWidth="2.85546875" defaultRowHeight="15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8.75" x14ac:dyDescent="0.4">
      <c r="A1" s="9" t="s">
        <v>6</v>
      </c>
      <c r="B1" s="10"/>
      <c r="C1" s="11"/>
      <c r="D1" s="12" t="s">
        <v>38</v>
      </c>
      <c r="E1" s="13" t="str">
        <f>'509E10001'!E1</f>
        <v>ATM</v>
      </c>
      <c r="F1" s="12" t="s">
        <v>39</v>
      </c>
      <c r="G1" s="14">
        <f>'509E10001'!G1</f>
        <v>45161</v>
      </c>
      <c r="H1" s="12" t="s">
        <v>40</v>
      </c>
      <c r="I1" s="252" t="s">
        <v>64</v>
      </c>
      <c r="J1" s="253"/>
      <c r="K1" s="11"/>
      <c r="L1" s="15"/>
    </row>
    <row r="2" spans="1:12" ht="18.75" x14ac:dyDescent="0.4">
      <c r="A2" s="16" t="s">
        <v>41</v>
      </c>
      <c r="B2" s="17"/>
      <c r="D2" s="18" t="s">
        <v>42</v>
      </c>
      <c r="E2" s="19" t="str">
        <f>'509E10001'!E2</f>
        <v>WER</v>
      </c>
      <c r="F2" s="18" t="s">
        <v>39</v>
      </c>
      <c r="G2" s="20">
        <f>'509E10001'!G2</f>
        <v>45169</v>
      </c>
      <c r="H2" s="21" t="s">
        <v>43</v>
      </c>
      <c r="I2" s="254">
        <f>'512E10100'!I2:J2+1</f>
        <v>8</v>
      </c>
      <c r="J2" s="255"/>
      <c r="L2" s="22"/>
    </row>
    <row r="3" spans="1:12" ht="9.75" customHeight="1" x14ac:dyDescent="0.25">
      <c r="A3" s="23"/>
      <c r="L3" s="22"/>
    </row>
    <row r="4" spans="1:12" ht="20.100000000000001" customHeight="1" x14ac:dyDescent="0.25">
      <c r="A4" s="24" t="s">
        <v>44</v>
      </c>
      <c r="B4" s="25"/>
      <c r="C4" s="256">
        <f>'509E10001'!C4:D4</f>
        <v>117872</v>
      </c>
      <c r="D4" s="256"/>
      <c r="E4" s="26" t="s">
        <v>45</v>
      </c>
      <c r="F4" s="257" t="str">
        <f>'509E10001'!F4:G4</f>
        <v>CUY IR 480 17.87 L&amp;R</v>
      </c>
      <c r="G4" s="257"/>
      <c r="H4" s="26" t="s">
        <v>46</v>
      </c>
      <c r="I4" s="258" t="str">
        <f>'509E10001'!I4:L4</f>
        <v>CUY-00480-17.880L (SFN 1813102)</v>
      </c>
      <c r="J4" s="258"/>
      <c r="K4" s="258"/>
      <c r="L4" s="259"/>
    </row>
    <row r="5" spans="1:12" ht="20.100000000000001" customHeight="1" x14ac:dyDescent="0.25">
      <c r="A5" s="24" t="s">
        <v>47</v>
      </c>
      <c r="B5" s="25"/>
      <c r="C5" s="251" t="s">
        <v>65</v>
      </c>
      <c r="D5" s="251"/>
      <c r="E5" s="251"/>
      <c r="F5" s="251"/>
      <c r="G5" s="251"/>
      <c r="H5" s="251"/>
      <c r="I5" s="251"/>
      <c r="J5" s="251"/>
      <c r="K5" s="25" t="s">
        <v>48</v>
      </c>
      <c r="L5" s="27" t="s">
        <v>59</v>
      </c>
    </row>
    <row r="6" spans="1:12" ht="15.75" thickBo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15.75" thickBot="1" x14ac:dyDescent="0.3">
      <c r="A7" s="248" t="s">
        <v>2</v>
      </c>
      <c r="B7" s="249"/>
      <c r="C7" s="249"/>
      <c r="D7" s="249"/>
      <c r="E7" s="249"/>
      <c r="F7" s="249"/>
      <c r="G7" s="249"/>
      <c r="H7" s="249"/>
      <c r="I7" s="249"/>
      <c r="J7" s="250"/>
      <c r="K7" s="31" t="s">
        <v>49</v>
      </c>
      <c r="L7" s="32" t="s">
        <v>50</v>
      </c>
    </row>
    <row r="8" spans="1:12" ht="15.95" customHeight="1" x14ac:dyDescent="0.25">
      <c r="A8" s="130"/>
      <c r="B8" s="131"/>
      <c r="C8" s="132"/>
      <c r="D8" s="133"/>
      <c r="E8" s="131"/>
      <c r="F8" s="131"/>
      <c r="G8" s="131"/>
      <c r="H8" s="131"/>
      <c r="I8" s="134"/>
      <c r="J8" s="153"/>
      <c r="K8" s="156"/>
      <c r="L8" s="135"/>
    </row>
    <row r="9" spans="1:12" ht="15.95" customHeight="1" x14ac:dyDescent="0.25">
      <c r="A9" s="136"/>
      <c r="B9" s="104"/>
      <c r="C9" s="139"/>
      <c r="D9" s="104"/>
      <c r="E9" s="92"/>
      <c r="F9" s="92"/>
      <c r="G9" s="92" t="s">
        <v>117</v>
      </c>
      <c r="H9" s="92" t="s">
        <v>118</v>
      </c>
      <c r="I9" s="89"/>
      <c r="J9" s="169"/>
      <c r="K9" s="137"/>
      <c r="L9" s="137"/>
    </row>
    <row r="10" spans="1:12" ht="15.95" customHeight="1" x14ac:dyDescent="0.25">
      <c r="A10" s="136"/>
      <c r="B10" s="104"/>
      <c r="C10" s="139"/>
      <c r="D10" s="104"/>
      <c r="E10" s="105"/>
      <c r="F10" s="105" t="s">
        <v>111</v>
      </c>
      <c r="G10" s="92">
        <v>6.5</v>
      </c>
      <c r="H10" s="91">
        <f>ROUNDUP(G10*1.15,0)</f>
        <v>8</v>
      </c>
      <c r="I10" s="160" t="s">
        <v>59</v>
      </c>
      <c r="J10" s="169"/>
      <c r="K10" s="137"/>
      <c r="L10" s="137"/>
    </row>
    <row r="11" spans="1:12" x14ac:dyDescent="0.25">
      <c r="A11" s="70"/>
      <c r="B11" s="104"/>
      <c r="C11" s="104"/>
      <c r="D11" s="104"/>
      <c r="E11" s="105"/>
      <c r="F11" s="105" t="s">
        <v>112</v>
      </c>
      <c r="G11" s="92">
        <v>0</v>
      </c>
      <c r="H11" s="91">
        <f t="shared" ref="H11:H16" si="0">ROUNDUP(G11,0)</f>
        <v>0</v>
      </c>
      <c r="I11" s="95" t="s">
        <v>59</v>
      </c>
      <c r="J11" s="169"/>
      <c r="K11" s="137"/>
      <c r="L11" s="137"/>
    </row>
    <row r="12" spans="1:12" ht="15.95" customHeight="1" x14ac:dyDescent="0.25">
      <c r="A12" s="141"/>
      <c r="B12" s="92"/>
      <c r="C12" s="92"/>
      <c r="D12" s="92"/>
      <c r="E12" s="105"/>
      <c r="F12" s="105" t="s">
        <v>113</v>
      </c>
      <c r="G12" s="92">
        <v>3</v>
      </c>
      <c r="H12" s="91">
        <f>ROUNDUP(G12*1.15,0)</f>
        <v>4</v>
      </c>
      <c r="I12" s="97" t="s">
        <v>59</v>
      </c>
      <c r="J12" s="169"/>
      <c r="K12" s="157"/>
      <c r="L12" s="138"/>
    </row>
    <row r="13" spans="1:12" ht="16.5" customHeight="1" x14ac:dyDescent="0.25">
      <c r="A13" s="141"/>
      <c r="B13" s="62"/>
      <c r="C13" s="62"/>
      <c r="D13" s="62"/>
      <c r="E13" s="105"/>
      <c r="F13" s="105" t="s">
        <v>114</v>
      </c>
      <c r="G13" s="92">
        <v>2</v>
      </c>
      <c r="H13" s="91">
        <f>ROUNDUP(G13*1.15,0)</f>
        <v>3</v>
      </c>
      <c r="I13" s="97" t="s">
        <v>59</v>
      </c>
      <c r="J13" s="169"/>
      <c r="K13" s="138"/>
      <c r="L13" s="138"/>
    </row>
    <row r="14" spans="1:12" ht="15.95" customHeight="1" x14ac:dyDescent="0.25">
      <c r="A14" s="136"/>
      <c r="B14" s="104"/>
      <c r="C14" s="139"/>
      <c r="D14" s="139"/>
      <c r="E14" s="92"/>
      <c r="F14" s="105" t="s">
        <v>115</v>
      </c>
      <c r="G14" s="92">
        <v>0</v>
      </c>
      <c r="H14" s="91">
        <f t="shared" si="0"/>
        <v>0</v>
      </c>
      <c r="I14" s="97" t="s">
        <v>59</v>
      </c>
      <c r="J14" s="169"/>
      <c r="K14" s="138"/>
      <c r="L14" s="138"/>
    </row>
    <row r="15" spans="1:12" ht="15.95" customHeight="1" x14ac:dyDescent="0.25">
      <c r="A15" s="136"/>
      <c r="B15" s="104"/>
      <c r="C15" s="139"/>
      <c r="D15" s="104"/>
      <c r="E15" s="105"/>
      <c r="F15" s="105" t="s">
        <v>116</v>
      </c>
      <c r="G15" s="92">
        <v>0</v>
      </c>
      <c r="H15" s="91">
        <f t="shared" si="0"/>
        <v>0</v>
      </c>
      <c r="I15" s="97" t="s">
        <v>59</v>
      </c>
      <c r="J15" s="169"/>
      <c r="K15" s="138"/>
      <c r="L15" s="138"/>
    </row>
    <row r="16" spans="1:12" x14ac:dyDescent="0.25">
      <c r="A16" s="70"/>
      <c r="B16" s="104"/>
      <c r="C16" s="104"/>
      <c r="D16" s="104"/>
      <c r="E16" s="105"/>
      <c r="F16" s="92" t="s">
        <v>119</v>
      </c>
      <c r="G16" s="92">
        <v>0</v>
      </c>
      <c r="H16" s="91">
        <f t="shared" si="0"/>
        <v>0</v>
      </c>
      <c r="I16" s="97" t="s">
        <v>59</v>
      </c>
      <c r="J16" s="169"/>
      <c r="K16" s="138"/>
      <c r="L16" s="138"/>
    </row>
    <row r="17" spans="1:12" ht="15.75" customHeight="1" x14ac:dyDescent="0.25">
      <c r="A17" s="141"/>
      <c r="B17" s="104"/>
      <c r="C17" s="104"/>
      <c r="D17" s="104"/>
      <c r="E17" s="104"/>
      <c r="F17" s="104"/>
      <c r="G17" s="43"/>
      <c r="H17" s="43"/>
      <c r="I17" s="43"/>
      <c r="K17" s="162"/>
      <c r="L17" s="138"/>
    </row>
    <row r="18" spans="1:12" ht="15.95" customHeight="1" x14ac:dyDescent="0.25">
      <c r="A18" s="141"/>
      <c r="B18" s="104"/>
      <c r="C18" s="104"/>
      <c r="D18" s="104"/>
      <c r="E18" s="105"/>
      <c r="F18" s="92"/>
      <c r="G18" s="105" t="s">
        <v>104</v>
      </c>
      <c r="H18" s="89">
        <f>H10+H15</f>
        <v>8</v>
      </c>
      <c r="I18" s="160" t="s">
        <v>59</v>
      </c>
      <c r="J18" s="169"/>
      <c r="K18" s="157"/>
      <c r="L18" s="138"/>
    </row>
    <row r="19" spans="1:12" ht="15.95" customHeight="1" x14ac:dyDescent="0.25">
      <c r="A19" s="141"/>
      <c r="B19" s="104"/>
      <c r="C19" s="104"/>
      <c r="D19" s="104"/>
      <c r="E19" s="105"/>
      <c r="F19" s="92"/>
      <c r="G19" s="105" t="s">
        <v>105</v>
      </c>
      <c r="H19" s="89">
        <f>H11+H12+H13+H14</f>
        <v>7</v>
      </c>
      <c r="I19" s="160" t="s">
        <v>59</v>
      </c>
      <c r="J19" s="169"/>
      <c r="K19" s="138"/>
      <c r="L19" s="138"/>
    </row>
    <row r="20" spans="1:12" x14ac:dyDescent="0.25">
      <c r="A20" s="141"/>
      <c r="B20" s="104"/>
      <c r="C20" s="104"/>
      <c r="D20" s="104"/>
      <c r="E20" s="104"/>
      <c r="F20" s="104"/>
      <c r="G20" s="98" t="s">
        <v>109</v>
      </c>
      <c r="H20" s="91">
        <f>H16</f>
        <v>0</v>
      </c>
      <c r="I20" s="97" t="s">
        <v>59</v>
      </c>
      <c r="J20" s="169"/>
      <c r="K20" s="138"/>
      <c r="L20" s="138"/>
    </row>
    <row r="21" spans="1:12" ht="15.95" customHeight="1" x14ac:dyDescent="0.25">
      <c r="A21" s="141"/>
      <c r="B21" s="104"/>
      <c r="C21" s="104"/>
      <c r="D21" s="104"/>
      <c r="E21" s="105"/>
      <c r="F21" s="104"/>
      <c r="G21" s="104"/>
      <c r="H21" s="104"/>
      <c r="I21" s="160"/>
      <c r="J21" s="169"/>
      <c r="K21" s="138"/>
      <c r="L21" s="138"/>
    </row>
    <row r="22" spans="1:12" ht="15.95" customHeight="1" x14ac:dyDescent="0.25">
      <c r="A22" s="141"/>
      <c r="B22" s="104"/>
      <c r="C22" s="104"/>
      <c r="D22" s="104"/>
      <c r="E22" s="104"/>
      <c r="F22" s="104"/>
      <c r="G22" s="107" t="s">
        <v>50</v>
      </c>
      <c r="H22" s="170">
        <f>ROUNDUP(H18+H19+H20,0)</f>
        <v>15</v>
      </c>
      <c r="I22" s="171" t="s">
        <v>59</v>
      </c>
      <c r="J22" s="169"/>
      <c r="K22" s="157">
        <f>H22</f>
        <v>15</v>
      </c>
      <c r="L22" s="138"/>
    </row>
    <row r="23" spans="1:12" x14ac:dyDescent="0.25">
      <c r="A23" s="141"/>
      <c r="B23" s="104"/>
      <c r="C23" s="104"/>
      <c r="D23" s="104"/>
      <c r="E23" s="104"/>
      <c r="F23" s="104"/>
      <c r="G23" s="104"/>
      <c r="H23" s="104"/>
      <c r="I23" s="89"/>
      <c r="J23" s="154"/>
      <c r="K23" s="138"/>
      <c r="L23" s="138"/>
    </row>
    <row r="24" spans="1:12" ht="15.95" customHeight="1" x14ac:dyDescent="0.25">
      <c r="A24" s="141"/>
      <c r="B24" s="104"/>
      <c r="C24" s="104"/>
      <c r="D24" s="104"/>
      <c r="E24" s="104"/>
      <c r="F24" s="104"/>
      <c r="G24" s="104"/>
      <c r="H24" s="104"/>
      <c r="I24" s="89"/>
      <c r="J24" s="154"/>
      <c r="K24" s="157"/>
      <c r="L24" s="138"/>
    </row>
    <row r="25" spans="1:12" ht="15.95" customHeight="1" x14ac:dyDescent="0.25">
      <c r="A25" s="141"/>
      <c r="B25" s="104"/>
      <c r="C25" s="104"/>
      <c r="D25" s="104"/>
      <c r="E25" s="104"/>
      <c r="F25" s="104"/>
      <c r="G25" s="104"/>
      <c r="H25" s="104"/>
      <c r="I25" s="89"/>
      <c r="J25" s="154"/>
      <c r="K25" s="157"/>
      <c r="L25" s="138"/>
    </row>
    <row r="26" spans="1:12" ht="15.95" customHeight="1" x14ac:dyDescent="0.25">
      <c r="A26" s="141"/>
      <c r="B26" s="104"/>
      <c r="C26" s="104"/>
      <c r="D26" s="104"/>
      <c r="E26" s="104"/>
      <c r="F26" s="104"/>
      <c r="G26" s="104"/>
      <c r="H26" s="104"/>
      <c r="I26" s="89"/>
      <c r="J26" s="154"/>
      <c r="K26" s="157"/>
      <c r="L26" s="138"/>
    </row>
    <row r="27" spans="1:12" x14ac:dyDescent="0.25">
      <c r="A27" s="141"/>
      <c r="B27" s="104"/>
      <c r="C27" s="104"/>
      <c r="D27" s="104"/>
      <c r="E27" s="104"/>
      <c r="F27" s="104"/>
      <c r="G27" s="104"/>
      <c r="H27" s="104"/>
      <c r="I27" s="89"/>
      <c r="J27" s="154"/>
      <c r="K27" s="157"/>
      <c r="L27" s="138"/>
    </row>
    <row r="28" spans="1:12" ht="15.95" customHeight="1" x14ac:dyDescent="0.25">
      <c r="A28" s="141"/>
      <c r="B28" s="104"/>
      <c r="C28" s="104"/>
      <c r="D28" s="104"/>
      <c r="E28" s="104"/>
      <c r="F28" s="104"/>
      <c r="G28" s="104"/>
      <c r="H28" s="104"/>
      <c r="I28" s="89"/>
      <c r="J28" s="154"/>
      <c r="K28" s="157"/>
      <c r="L28" s="138"/>
    </row>
    <row r="29" spans="1:12" ht="15.95" customHeight="1" x14ac:dyDescent="0.25">
      <c r="A29" s="141"/>
      <c r="B29" s="104"/>
      <c r="C29" s="104"/>
      <c r="D29" s="104"/>
      <c r="E29" s="104"/>
      <c r="F29" s="104"/>
      <c r="G29" s="104"/>
      <c r="H29" s="104"/>
      <c r="I29" s="89"/>
      <c r="J29" s="154"/>
      <c r="K29" s="157"/>
      <c r="L29" s="137"/>
    </row>
    <row r="30" spans="1:12" ht="15.95" customHeight="1" x14ac:dyDescent="0.25">
      <c r="A30" s="141"/>
      <c r="B30" s="104"/>
      <c r="C30" s="104"/>
      <c r="D30" s="104"/>
      <c r="E30" s="104"/>
      <c r="F30" s="104"/>
      <c r="G30" s="104"/>
      <c r="H30" s="104"/>
      <c r="I30" s="89"/>
      <c r="J30" s="154"/>
      <c r="K30" s="157"/>
      <c r="L30" s="137"/>
    </row>
    <row r="31" spans="1:12" x14ac:dyDescent="0.25">
      <c r="A31" s="141"/>
      <c r="B31" s="104"/>
      <c r="C31" s="104"/>
      <c r="D31" s="104"/>
      <c r="E31" s="104"/>
      <c r="F31" s="104"/>
      <c r="G31" s="104"/>
      <c r="H31" s="104"/>
      <c r="I31" s="89"/>
      <c r="J31" s="154"/>
      <c r="K31" s="157"/>
      <c r="L31" s="137"/>
    </row>
    <row r="32" spans="1:12" ht="15.95" customHeight="1" x14ac:dyDescent="0.25">
      <c r="A32" s="141"/>
      <c r="B32" s="104"/>
      <c r="C32" s="104"/>
      <c r="D32" s="104"/>
      <c r="E32" s="104"/>
      <c r="F32" s="104"/>
      <c r="G32" s="104"/>
      <c r="H32" s="104"/>
      <c r="I32" s="89"/>
      <c r="J32" s="154"/>
      <c r="K32" s="157"/>
      <c r="L32" s="137"/>
    </row>
    <row r="33" spans="1:12" ht="15.95" customHeight="1" x14ac:dyDescent="0.25">
      <c r="A33" s="141"/>
      <c r="B33" s="104"/>
      <c r="C33" s="104"/>
      <c r="D33" s="104"/>
      <c r="E33" s="104"/>
      <c r="F33" s="104"/>
      <c r="G33" s="104"/>
      <c r="H33" s="104"/>
      <c r="I33" s="89"/>
      <c r="J33" s="154"/>
      <c r="K33" s="157"/>
      <c r="L33" s="137"/>
    </row>
    <row r="34" spans="1:12" ht="15.95" customHeight="1" x14ac:dyDescent="0.25">
      <c r="A34" s="141"/>
      <c r="B34" s="104"/>
      <c r="C34" s="104"/>
      <c r="D34" s="104"/>
      <c r="E34" s="104"/>
      <c r="F34" s="104"/>
      <c r="G34" s="104"/>
      <c r="H34" s="104"/>
      <c r="I34" s="89"/>
      <c r="J34" s="154"/>
      <c r="K34" s="157"/>
      <c r="L34" s="137"/>
    </row>
    <row r="35" spans="1:12" x14ac:dyDescent="0.25">
      <c r="A35" s="141"/>
      <c r="B35" s="104"/>
      <c r="C35" s="104"/>
      <c r="D35" s="104"/>
      <c r="E35" s="104"/>
      <c r="F35" s="104"/>
      <c r="G35" s="104"/>
      <c r="H35" s="104"/>
      <c r="I35" s="89"/>
      <c r="J35" s="154"/>
      <c r="K35" s="157"/>
      <c r="L35" s="137"/>
    </row>
    <row r="36" spans="1:12" ht="15.95" customHeight="1" x14ac:dyDescent="0.25">
      <c r="A36" s="141"/>
      <c r="B36" s="92"/>
      <c r="C36" s="92"/>
      <c r="D36" s="92"/>
      <c r="E36" s="92"/>
      <c r="F36" s="92"/>
      <c r="G36" s="92"/>
      <c r="H36" s="93"/>
      <c r="I36" s="89"/>
      <c r="J36" s="154"/>
      <c r="K36" s="157"/>
      <c r="L36" s="137"/>
    </row>
    <row r="37" spans="1:12" ht="15.75" thickBot="1" x14ac:dyDescent="0.3">
      <c r="A37" s="145"/>
      <c r="B37" s="146"/>
      <c r="C37" s="146"/>
      <c r="D37" s="146"/>
      <c r="E37" s="147"/>
      <c r="F37" s="147"/>
      <c r="G37" s="148"/>
      <c r="H37" s="146"/>
      <c r="I37" s="149"/>
      <c r="J37" s="155"/>
      <c r="K37" s="159"/>
      <c r="L37" s="150"/>
    </row>
    <row r="38" spans="1:12" ht="15.75" thickBot="1" x14ac:dyDescent="0.3">
      <c r="A38" s="260" t="s">
        <v>50</v>
      </c>
      <c r="B38" s="261"/>
      <c r="C38" s="261"/>
      <c r="D38" s="261"/>
      <c r="E38" s="261"/>
      <c r="F38" s="261"/>
      <c r="G38" s="261"/>
      <c r="H38" s="261"/>
      <c r="I38" s="261"/>
      <c r="J38" s="262"/>
      <c r="K38" s="151">
        <f>SUM(K8:K37)</f>
        <v>15</v>
      </c>
      <c r="L38" s="152">
        <f>K38</f>
        <v>15</v>
      </c>
    </row>
  </sheetData>
  <mergeCells count="8">
    <mergeCell ref="A38:J38"/>
    <mergeCell ref="A7:J7"/>
    <mergeCell ref="C5:J5"/>
    <mergeCell ref="I1:J1"/>
    <mergeCell ref="I2:J2"/>
    <mergeCell ref="C4:D4"/>
    <mergeCell ref="F4:G4"/>
    <mergeCell ref="I4:L4"/>
  </mergeCells>
  <pageMargins left="0.7" right="0.7" top="0.75" bottom="0.75" header="0.3" footer="0.3"/>
  <pageSetup scale="8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DGN Clip</vt:lpstr>
      <vt:lpstr>202E11201</vt:lpstr>
      <vt:lpstr>509E10001</vt:lpstr>
      <vt:lpstr>509E20000</vt:lpstr>
      <vt:lpstr>509E30020</vt:lpstr>
      <vt:lpstr>510E10000</vt:lpstr>
      <vt:lpstr>511E34448</vt:lpstr>
      <vt:lpstr>512E10100</vt:lpstr>
      <vt:lpstr>512E10600</vt:lpstr>
      <vt:lpstr>512E74000</vt:lpstr>
      <vt:lpstr>513E10201</vt:lpstr>
      <vt:lpstr>513E20000</vt:lpstr>
      <vt:lpstr>516E13200</vt:lpstr>
      <vt:lpstr>516E46700</vt:lpstr>
      <vt:lpstr>516E47001</vt:lpstr>
      <vt:lpstr>519E11101</vt:lpstr>
      <vt:lpstr>519E12300</vt:lpstr>
      <vt:lpstr>606E15050</vt:lpstr>
      <vt:lpstr>606E35002</vt:lpstr>
      <vt:lpstr>606E35102</vt:lpstr>
      <vt:lpstr>Sheet2</vt:lpstr>
      <vt:lpstr>516E13900</vt:lpstr>
      <vt:lpstr>VOID_Calc</vt:lpstr>
      <vt:lpstr>'202E11201'!Print_Area</vt:lpstr>
      <vt:lpstr>'509E10001'!Print_Area</vt:lpstr>
      <vt:lpstr>'509E20000'!Print_Area</vt:lpstr>
      <vt:lpstr>'509E30020'!Print_Area</vt:lpstr>
      <vt:lpstr>'510E10000'!Print_Area</vt:lpstr>
      <vt:lpstr>'511E34448'!Print_Area</vt:lpstr>
      <vt:lpstr>'512E10100'!Print_Area</vt:lpstr>
      <vt:lpstr>'512E10600'!Print_Area</vt:lpstr>
      <vt:lpstr>'512E74000'!Print_Area</vt:lpstr>
      <vt:lpstr>'513E10201'!Print_Area</vt:lpstr>
      <vt:lpstr>'513E20000'!Print_Area</vt:lpstr>
      <vt:lpstr>'516E13200'!Print_Area</vt:lpstr>
      <vt:lpstr>'516E13900'!Print_Area</vt:lpstr>
      <vt:lpstr>'516E46700'!Print_Area</vt:lpstr>
      <vt:lpstr>'516E47001'!Print_Area</vt:lpstr>
      <vt:lpstr>'519E11101'!Print_Area</vt:lpstr>
      <vt:lpstr>'519E12300'!Print_Area</vt:lpstr>
      <vt:lpstr>'606E15050'!Print_Area</vt:lpstr>
      <vt:lpstr>'606E35002'!Print_Area</vt:lpstr>
      <vt:lpstr>'606E35102'!Print_Area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Penman, Jillian</dc:creator>
  <cp:lastModifiedBy>Penman, Jillian</cp:lastModifiedBy>
  <cp:lastPrinted>2023-11-13T20:20:03Z</cp:lastPrinted>
  <dcterms:created xsi:type="dcterms:W3CDTF">2021-06-29T13:12:50Z</dcterms:created>
  <dcterms:modified xsi:type="dcterms:W3CDTF">2024-03-28T17:29:29Z</dcterms:modified>
</cp:coreProperties>
</file>