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ricer\appdata\local\bentley\projectwise\workingdir\ohiodot-pw.bentley.com_ohiodot-pw-02\jacob.ricer@dot.ohio.gov\d0326604\"/>
    </mc:Choice>
  </mc:AlternateContent>
  <xr:revisionPtr revIDLastSave="0" documentId="13_ncr:1_{E4B0661D-ADF1-45B4-8D30-4BEB0DDDF611}" xr6:coauthVersionLast="47" xr6:coauthVersionMax="47" xr10:uidLastSave="{00000000-0000-0000-0000-000000000000}"/>
  <bookViews>
    <workbookView xWindow="5760" yWindow="2910" windowWidth="21600" windowHeight="11295" xr2:uid="{69005EE0-E417-4882-AF14-EA38DEE44F09}"/>
  </bookViews>
  <sheets>
    <sheet name="Sheet1" sheetId="3" r:id="rId1"/>
    <sheet name="example" sheetId="1" r:id="rId2"/>
  </sheets>
  <externalReferences>
    <externalReference r:id="rId3"/>
  </externalReferences>
  <definedNames>
    <definedName name="HEADINGS">OFFSET([1]Lists!$B$2,0,0,MATCH("*",[1]Lists!$B$2:$B$1000000,-1),1)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7" i="3" l="1"/>
  <c r="I21" i="3"/>
  <c r="N7" i="3"/>
  <c r="O7" i="3"/>
  <c r="P27" i="3"/>
  <c r="M27" i="3"/>
  <c r="N27" i="3"/>
  <c r="K27" i="3" l="1"/>
  <c r="E21" i="3"/>
  <c r="F21" i="3"/>
  <c r="J21" i="3"/>
  <c r="J27" i="3" s="1"/>
  <c r="H27" i="3"/>
  <c r="I27" i="3"/>
  <c r="C21" i="3"/>
  <c r="C27" i="3" s="1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N9" i="3"/>
  <c r="N13" i="3"/>
  <c r="Q9" i="3"/>
  <c r="R9" i="3"/>
  <c r="B9" i="3"/>
  <c r="C9" i="3"/>
  <c r="C13" i="3" s="1"/>
  <c r="D9" i="3"/>
  <c r="I9" i="3"/>
  <c r="E9" i="3"/>
  <c r="O13" i="3"/>
  <c r="R7" i="3"/>
  <c r="I7" i="3"/>
  <c r="N5" i="3"/>
  <c r="O5" i="3"/>
  <c r="Q5" i="3"/>
  <c r="R5" i="3"/>
  <c r="B5" i="3"/>
  <c r="C5" i="3"/>
  <c r="D5" i="3"/>
  <c r="E5" i="3"/>
  <c r="I5" i="3"/>
  <c r="M13" i="3"/>
  <c r="E27" i="3"/>
  <c r="F27" i="3"/>
  <c r="G27" i="3"/>
  <c r="B27" i="3"/>
  <c r="F13" i="3"/>
  <c r="G13" i="3"/>
  <c r="H13" i="3"/>
  <c r="J13" i="3"/>
  <c r="K13" i="3"/>
  <c r="L13" i="3"/>
  <c r="P13" i="3"/>
  <c r="S13" i="3"/>
  <c r="AJ31" i="1"/>
  <c r="AK31" i="1"/>
  <c r="AB37" i="1"/>
  <c r="B21" i="1"/>
  <c r="C21" i="1"/>
  <c r="B31" i="1"/>
  <c r="AH31" i="1"/>
  <c r="AI31" i="1"/>
  <c r="AH25" i="1"/>
  <c r="C29" i="1"/>
  <c r="B29" i="1"/>
  <c r="C27" i="1"/>
  <c r="B27" i="1"/>
  <c r="B25" i="1"/>
  <c r="B23" i="1"/>
  <c r="G15" i="1"/>
  <c r="F15" i="1"/>
  <c r="O11" i="1"/>
  <c r="O13" i="1"/>
  <c r="D31" i="1"/>
  <c r="W15" i="1"/>
  <c r="I15" i="1"/>
  <c r="J15" i="1"/>
  <c r="AK9" i="1"/>
  <c r="AD15" i="1"/>
  <c r="X9" i="1"/>
  <c r="AB9" i="1" s="1"/>
  <c r="T9" i="1"/>
  <c r="Q7" i="1"/>
  <c r="N7" i="1"/>
  <c r="C7" i="1"/>
  <c r="M31" i="1"/>
  <c r="L31" i="1"/>
  <c r="O31" i="1"/>
  <c r="E13" i="3" l="1"/>
  <c r="Q13" i="3"/>
  <c r="B13" i="3"/>
  <c r="I13" i="3"/>
  <c r="D13" i="3"/>
  <c r="R13" i="3"/>
  <c r="C31" i="1"/>
  <c r="Q9" i="1"/>
  <c r="C11" i="1"/>
  <c r="N11" i="1"/>
  <c r="S31" i="1"/>
  <c r="I21" i="1"/>
  <c r="I31" i="1" s="1"/>
  <c r="H21" i="1"/>
  <c r="H31" i="1" s="1"/>
  <c r="G31" i="1"/>
  <c r="F23" i="1"/>
  <c r="X7" i="1"/>
  <c r="AB7" i="1" s="1"/>
  <c r="O7" i="1"/>
  <c r="B7" i="1"/>
  <c r="T7" i="1"/>
  <c r="AB21" i="1"/>
  <c r="F21" i="1"/>
  <c r="R5" i="1"/>
  <c r="P5" i="1"/>
  <c r="X5" i="1"/>
  <c r="N13" i="1"/>
  <c r="AK11" i="1"/>
  <c r="AA11" i="1"/>
  <c r="H15" i="1"/>
  <c r="D15" i="1"/>
  <c r="E15" i="1"/>
  <c r="AA13" i="1"/>
  <c r="AK13" i="1"/>
  <c r="P11" i="1"/>
  <c r="U11" i="1"/>
  <c r="S11" i="1"/>
  <c r="R11" i="1"/>
  <c r="F27" i="1"/>
  <c r="B11" i="1"/>
  <c r="X11" i="1" l="1"/>
  <c r="AB11" i="1" s="1"/>
  <c r="AB29" i="1"/>
  <c r="AB31" i="1" s="1"/>
  <c r="C13" i="1"/>
  <c r="B13" i="1"/>
  <c r="R13" i="1"/>
  <c r="P13" i="1"/>
  <c r="X13" i="1" s="1"/>
  <c r="F29" i="1"/>
  <c r="J31" i="1"/>
  <c r="K31" i="1"/>
  <c r="N31" i="1"/>
  <c r="P31" i="1"/>
  <c r="Q31" i="1"/>
  <c r="R31" i="1"/>
  <c r="T31" i="1"/>
  <c r="U31" i="1"/>
  <c r="V31" i="1"/>
  <c r="W31" i="1"/>
  <c r="X31" i="1"/>
  <c r="Y31" i="1"/>
  <c r="Z31" i="1"/>
  <c r="AA31" i="1"/>
  <c r="AC31" i="1"/>
  <c r="AD31" i="1"/>
  <c r="AE31" i="1"/>
  <c r="AF31" i="1"/>
  <c r="AG31" i="1"/>
  <c r="E31" i="1"/>
  <c r="AB13" i="1" l="1"/>
  <c r="AK15" i="1"/>
  <c r="S13" i="1"/>
  <c r="S15" i="1" s="1"/>
  <c r="U13" i="1"/>
  <c r="U15" i="1" s="1"/>
  <c r="K15" i="1"/>
  <c r="L15" i="1"/>
  <c r="M15" i="1"/>
  <c r="R15" i="1"/>
  <c r="V15" i="1"/>
  <c r="Y15" i="1"/>
  <c r="AA15" i="1"/>
  <c r="AC15" i="1"/>
  <c r="AE15" i="1"/>
  <c r="AF15" i="1"/>
  <c r="AG15" i="1"/>
  <c r="AH15" i="1"/>
  <c r="AI15" i="1"/>
  <c r="AJ15" i="1"/>
  <c r="F31" i="1" l="1"/>
  <c r="Z11" i="1"/>
  <c r="Z15" i="1" s="1"/>
  <c r="N15" i="1"/>
  <c r="O15" i="1"/>
  <c r="B15" i="1" l="1"/>
  <c r="C15" i="1"/>
  <c r="X15" i="1" l="1"/>
  <c r="T15" i="1"/>
  <c r="Q15" i="1"/>
  <c r="P15" i="1"/>
  <c r="AB5" i="1" l="1"/>
  <c r="AB15" i="1" s="1"/>
</calcChain>
</file>

<file path=xl/sharedStrings.xml><?xml version="1.0" encoding="utf-8"?>
<sst xmlns="http://schemas.openxmlformats.org/spreadsheetml/2006/main" count="256" uniqueCount="97">
  <si>
    <t>LOCATION</t>
  </si>
  <si>
    <t>TRENCH</t>
  </si>
  <si>
    <t>PULL BOX, 725.08, 18"</t>
  </si>
  <si>
    <t>PULL BOX, 725.08, 24"</t>
  </si>
  <si>
    <t>GROUND ROD</t>
  </si>
  <si>
    <t>ARC FLASH CALCULATIONS AND LABEL, POWER SERVICE</t>
  </si>
  <si>
    <t>VEHICULAR SIGNAL HEAD, (LED), 3-SECTION, 12" LENS, 1-WAY, POLYCARBONATE (BLACK)</t>
  </si>
  <si>
    <t>COVERING OF VEHICULAR SIGNAL HEAD</t>
  </si>
  <si>
    <t>SIGNAL CABLE, 7 CONDUCTOR, NO 14 AWG</t>
  </si>
  <si>
    <t>SIGNAL SUPPORT FOUNDATION</t>
  </si>
  <si>
    <t>SERVICE CABLE, 3 CONDUCTOR, NO. 6 AWG</t>
  </si>
  <si>
    <t>CONDUIT RISER, 2" DIAMETER</t>
  </si>
  <si>
    <t>FT</t>
  </si>
  <si>
    <t>EACH</t>
  </si>
  <si>
    <t>REMOVAL OF TRAFFIC SIGNAL INSTALLATION</t>
  </si>
  <si>
    <t>CABINET, TYPE TS-2, AS PER PLAN</t>
  </si>
  <si>
    <t>CABINET FOUNDATION</t>
  </si>
  <si>
    <t>CONTROLLER WORK PAD</t>
  </si>
  <si>
    <t>COMMUNICATIONS, AS PER PLAN</t>
  </si>
  <si>
    <t>UNINTERRUPTIBLE POWER SUPPLY (UPS), 1000 WATT</t>
  </si>
  <si>
    <t>ADVANCE RADAR DETECTION, AS PER PLAN</t>
  </si>
  <si>
    <t>STOP LINE RADAR DETECTION, AS PER PLAN</t>
  </si>
  <si>
    <t>POWER CABLE, 3 CONDUCTOR, NO. 6 AWG</t>
  </si>
  <si>
    <t>ATC CONTROLLER, AS PER PLAN (PROGRAM &amp; INSTALL ONLY)</t>
  </si>
  <si>
    <t>CONNECTION, FUSED PULL APART</t>
  </si>
  <si>
    <t>CONNECTION, UNFUSED PERMANENT</t>
  </si>
  <si>
    <t>NO. 10 AWG POLE AND BRACKET CABLE</t>
  </si>
  <si>
    <t>LUMINAIRE, CONVENTIONAL, SOLID STATE (LED), IES-II-M, 10000 - 12000 LUMENS</t>
  </si>
  <si>
    <t>COMBINATION SIGNAL SUPPORT, TYPE TC-81.22, DESIGN 4</t>
  </si>
  <si>
    <t>COMBINATION SIGNAL SUPPORT, TYPE TC-81.22, DESIGN 13</t>
  </si>
  <si>
    <t>PEDESTRIAN SIGNAL HEAD (LED), COUNTDOWN, TYPE D2</t>
  </si>
  <si>
    <t>ACCESSIBLE PEDESTRIAN PUSHBUTTON</t>
  </si>
  <si>
    <t>COVERING OF PEDESTRIAN SIGNAL HEAD</t>
  </si>
  <si>
    <t>PEDESTAL FOUNDATION</t>
  </si>
  <si>
    <t>SIGNAL CABLE, 2 CONDUCTOR, NO 14 AWG</t>
  </si>
  <si>
    <t>SIGNAL CABLE, 5 CONDUCTOR, NO 14 AWG</t>
  </si>
  <si>
    <t>PEDESTAL, 8', TRANSFORMER BASE</t>
  </si>
  <si>
    <t>EMERGENCY VEHICLE PREEMPTION</t>
  </si>
  <si>
    <t>PREEMPT RECEIVING UNIT</t>
  </si>
  <si>
    <t>PREEMPT DETECTOR CABLE</t>
  </si>
  <si>
    <t>PREEMPT PHASE SELECTOR</t>
  </si>
  <si>
    <t>PREEMPT CONFIRMATION LIGHT, LED</t>
  </si>
  <si>
    <t>TOTALS CARRIED TO GENERAL SUMMARY:</t>
  </si>
  <si>
    <t>TEST HOLE PERFORMED</t>
  </si>
  <si>
    <t>CONDUIT, 2", 725.04</t>
  </si>
  <si>
    <t>CONDUIT, 3", 725.04</t>
  </si>
  <si>
    <t>CONDUIT, 4", 725.04</t>
  </si>
  <si>
    <t>CONDUIT, JACKED OR DRILLED, 725.04, 3"</t>
  </si>
  <si>
    <t>CONDUIT, JACKED OR DRILLED, 725.04, 4"</t>
  </si>
  <si>
    <t>POWER SERVICE, AS PER PLAN</t>
  </si>
  <si>
    <t>CONDUIT, JACKED OR DRILLED, 725.04, 2"</t>
  </si>
  <si>
    <t>BRACKET ARM, 10'</t>
  </si>
  <si>
    <t>BRACKET ARM, 12'</t>
  </si>
  <si>
    <t>BRACKET ARM, 15'</t>
  </si>
  <si>
    <t>BRACKET ARM, 20'</t>
  </si>
  <si>
    <t>LIGHT POLE FOUNDATION, 24" X 6' DEEP</t>
  </si>
  <si>
    <t>LIGHT POLE, CONVENTIONAL, AT8B30</t>
  </si>
  <si>
    <t>STRAIN POLE, TYPE TC-81.11, DESIGN 10</t>
  </si>
  <si>
    <t>MESSENGER WIRE, 7 STRAND, 3/8" DIAMETER WITH ACCESSORIES</t>
  </si>
  <si>
    <t>TETHER WIRE, WITH ACCESSORIES</t>
  </si>
  <si>
    <t>UNDERGROUND WARNING/MARKING TAPE</t>
  </si>
  <si>
    <t>VEHICULAR SIGNAL HEAD, (LED), 5-SECTION, 12" LENS, 1-WAY, POLYCARBONATE (BLACK)</t>
  </si>
  <si>
    <t>UNINTERRUPTIBLE POWER SUPPLY (UPS), 1000 WATT, AS PER PLAN</t>
  </si>
  <si>
    <t>COMBINATION SIGNAL SUPPORT, TYPE TC-12.31 DESIGN 10 POLE, WITH MAST ARMS TC-81.22 DESIGN 13 AND DESIGN 4</t>
  </si>
  <si>
    <t>COMBINATION SIGNAL SUPPORT, TYPE TC-12.31 DESIGN 10 POLE, WITH MAST ARMS TC-81.22 DESIGN 13 AND DESIGN 12</t>
  </si>
  <si>
    <t>COMBINATION SIGNAL SUPPORT, TYPE TC-12.31 DESIGN 6 POLE, WITH MAST ARMS TC-81.22 DESIGN 12 AND DESIGN 2</t>
  </si>
  <si>
    <t>COMBINATION SIGNAL SUPPORT, TYPE TC-12.31 DESIGN 10 POLE, WITH MAST ARMS TC-81.22 DESIGN 13 AND DESIGN 2</t>
  </si>
  <si>
    <t>MESSENGER WIRE, MISC.: UNLASH AND RELASH</t>
  </si>
  <si>
    <t>LOR SR 58 &amp; MIDDLE RIDGE RD (02/NHS/06)</t>
  </si>
  <si>
    <t>MED SR 18 &amp; 57 (02/NHS/06)</t>
  </si>
  <si>
    <t>LOR SR 82 &amp; STATION RD (01/STR/06)</t>
  </si>
  <si>
    <t>MED SR 3 &amp; 94 (01/STR/06)</t>
  </si>
  <si>
    <t>LOR SR 82 &amp; WEST RIVER RD (01/STR/06)</t>
  </si>
  <si>
    <t>GLARE SHIELD</t>
  </si>
  <si>
    <t>NO. 4 AWG 2400 VOLT DISTRIBUTION CABLE</t>
  </si>
  <si>
    <t>LIGHT POLE, AESTHETIC, AT8B30</t>
  </si>
  <si>
    <t>SIGN, FLAT SHEET</t>
  </si>
  <si>
    <t>SIGN SUPPORT ASSEMBLY, POLE MOUNTED</t>
  </si>
  <si>
    <t>SF</t>
  </si>
  <si>
    <t>LIGHT POLE, CONVENTIONAL, ATON14 (POST TOP)</t>
  </si>
  <si>
    <t>LIGHT POLE, AESTHETIC, ATON14 (POST TOP)</t>
  </si>
  <si>
    <t>LUMINAIRE, POST TOP, SOLID STATE (LED), AS PER PLAN, IES-II-M, 7000 - 8000 LUMENS (LANTERN STYLE)</t>
  </si>
  <si>
    <t>REMOVAL OF GROUND MOUNTED SIGN AND REERECTION</t>
  </si>
  <si>
    <t>SIGNAL SUPPORT, TYPE TC-81.22, DESIGN 12</t>
  </si>
  <si>
    <t>CABINET, TYPE TS-2, AS PER PLAN (SIZE 6)</t>
  </si>
  <si>
    <t>ERI US 250 &amp; SR 13</t>
  </si>
  <si>
    <t>ERI US 250 &amp; SR 113</t>
  </si>
  <si>
    <t>HUR SR 61 &amp; SR 601</t>
  </si>
  <si>
    <t>SIGNAL SUPPORT, TYPE TC-12.31 DESIGN 10 POLE, WITH MAST ARMS TC-81.22 DESIGN 12 AND DESIGN 12</t>
  </si>
  <si>
    <t>CONTROLLER ITEM, MISC.: COMMUNICATIONS</t>
  </si>
  <si>
    <t>GUARDRAIL REMOVED</t>
  </si>
  <si>
    <t>GUARDRAIL, TYPE 5A</t>
  </si>
  <si>
    <t>EXCAVATION</t>
  </si>
  <si>
    <t>EMBANKMENT</t>
  </si>
  <si>
    <t>CY</t>
  </si>
  <si>
    <t>SLOPE EROSION PROTECTION MAT, TYPE C</t>
  </si>
  <si>
    <t>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</si>
</sst>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3" xfId="0" applyBorder="1" applyAlignment="1">
      <alignment horizontal="center"/>
    </xf>
    <xf numFmtId="0" fontId="1" fillId="0" borderId="4" xfId="1" applyBorder="1" applyAlignment="1">
      <alignment horizontal="center" vertical="center" textRotation="90"/>
    </xf>
    <xf numFmtId="0" fontId="1" fillId="0" borderId="4" xfId="1" applyBorder="1" applyAlignment="1">
      <alignment horizontal="center" vertical="center" textRotation="90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1" applyBorder="1" applyAlignment="1">
      <alignment horizontal="center" vertical="center" textRotation="90" wrapText="1"/>
    </xf>
    <xf numFmtId="0" fontId="0" fillId="0" borderId="6" xfId="0" applyBorder="1" applyAlignment="1">
      <alignment horizontal="center"/>
    </xf>
    <xf numFmtId="0" fontId="0" fillId="0" borderId="4" xfId="0" applyBorder="1"/>
    <xf numFmtId="0" fontId="0" fillId="0" borderId="7" xfId="0" applyBorder="1" applyAlignment="1">
      <alignment horizontal="center"/>
    </xf>
    <xf numFmtId="0" fontId="1" fillId="0" borderId="8" xfId="1" applyBorder="1" applyAlignment="1">
      <alignment horizontal="center" vertical="center" textRotation="90" wrapText="1"/>
    </xf>
    <xf numFmtId="0" fontId="0" fillId="0" borderId="8" xfId="0" applyBorder="1" applyAlignment="1">
      <alignment horizontal="center"/>
    </xf>
    <xf numFmtId="0" fontId="0" fillId="0" borderId="2" xfId="0" applyBorder="1"/>
    <xf numFmtId="0" fontId="0" fillId="0" borderId="8" xfId="0" applyBorder="1"/>
    <xf numFmtId="0" fontId="0" fillId="0" borderId="2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8" xfId="0" applyNumberFormat="1" applyBorder="1"/>
    <xf numFmtId="3" fontId="2" fillId="0" borderId="11" xfId="0" applyNumberFormat="1" applyFont="1" applyBorder="1" applyAlignment="1">
      <alignment horizontal="center"/>
    </xf>
    <xf numFmtId="3" fontId="0" fillId="0" borderId="4" xfId="0" applyNumberFormat="1" applyBorder="1"/>
    <xf numFmtId="3" fontId="0" fillId="0" borderId="4" xfId="0" applyNumberForma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6" xfId="0" applyBorder="1" applyAlignment="1">
      <alignment horizontal="center" vertical="center" textRotation="90" wrapText="1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2" xfId="1" applyBorder="1" applyAlignment="1">
      <alignment horizontal="center" vertical="center" textRotation="90" wrapText="1"/>
    </xf>
    <xf numFmtId="0" fontId="0" fillId="0" borderId="22" xfId="0" applyBorder="1" applyAlignment="1">
      <alignment horizontal="center"/>
    </xf>
    <xf numFmtId="0" fontId="0" fillId="0" borderId="22" xfId="0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 vertical="center" textRotation="90"/>
    </xf>
  </cellXfs>
  <cellStyles count="2">
    <cellStyle name="Normal" xfId="0" builtinId="0"/>
    <cellStyle name="Normal 2" xfId="1" xr:uid="{9E3ACC30-D0B5-4DA2-B346-6CEA63733958}"/>
  </cellStyles>
  <dxfs count="9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ppley/appdata/local/bentley/projectwise/workingdir/ohiodot-pw.bentley.com_ohiodot-pw-02/mark.eppley@dot.ohio.gov/d0123159/MED-109057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MED-109057-GENSU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>ROADWAY</v>
          </cell>
        </row>
        <row r="4">
          <cell r="B4" t="str">
            <v>ROADWAY ALTERNATES</v>
          </cell>
        </row>
        <row r="5">
          <cell r="B5" t="str">
            <v>EROSION CONTROL</v>
          </cell>
        </row>
        <row r="6">
          <cell r="B6" t="str">
            <v>EROSION CONTROL ALTERNATES</v>
          </cell>
        </row>
        <row r="7">
          <cell r="B7" t="str">
            <v>ENVIRONMENTAL / REMEDIATION</v>
          </cell>
        </row>
        <row r="8">
          <cell r="B8" t="str">
            <v>ENVIRONMENTAL / REMEDIATION ALTERNATES</v>
          </cell>
        </row>
        <row r="9">
          <cell r="B9" t="str">
            <v>DRAINAGE</v>
          </cell>
        </row>
        <row r="10">
          <cell r="B10" t="str">
            <v>DRAINAGE ALTERNATES</v>
          </cell>
        </row>
        <row r="11">
          <cell r="B11" t="str">
            <v>PAVEMENT</v>
          </cell>
        </row>
        <row r="12">
          <cell r="B12" t="str">
            <v>PAVEMENT ALTERNATES</v>
          </cell>
        </row>
        <row r="13">
          <cell r="B13" t="str">
            <v>WATER WORK</v>
          </cell>
        </row>
        <row r="14">
          <cell r="B14" t="str">
            <v>WATER WORK ALTERNATES</v>
          </cell>
        </row>
        <row r="15">
          <cell r="B15" t="str">
            <v>SANITARY SEWER</v>
          </cell>
        </row>
        <row r="16">
          <cell r="B16" t="str">
            <v>SANITARY SEWER ALTERNATES</v>
          </cell>
        </row>
        <row r="17">
          <cell r="B17" t="str">
            <v>LIGHTING</v>
          </cell>
        </row>
        <row r="18">
          <cell r="B18" t="str">
            <v>LIGHTING ALTERNATES</v>
          </cell>
        </row>
        <row r="19">
          <cell r="B19" t="str">
            <v>ELECTRICAL</v>
          </cell>
        </row>
        <row r="20">
          <cell r="B20" t="str">
            <v>ELECTRICAL ALTERNATES</v>
          </cell>
        </row>
        <row r="21">
          <cell r="B21" t="str">
            <v>OTHER UTILITIES</v>
          </cell>
        </row>
        <row r="22">
          <cell r="B22" t="str">
            <v>OTHER UTILITIES ALTERNATES</v>
          </cell>
        </row>
        <row r="23">
          <cell r="B23" t="str">
            <v>TRAFFIC SURVEILLANCE</v>
          </cell>
        </row>
        <row r="24">
          <cell r="B24" t="str">
            <v>TRAFFIC SURVEILLANCE ALTERNATES</v>
          </cell>
        </row>
        <row r="25">
          <cell r="B25" t="str">
            <v>TRAFFIC CONTROL</v>
          </cell>
        </row>
        <row r="26">
          <cell r="B26" t="str">
            <v>TRAFFIC CONTROL ALTERNATES</v>
          </cell>
        </row>
        <row r="27">
          <cell r="B27" t="str">
            <v>TRAFFIC SIGNALS</v>
          </cell>
        </row>
        <row r="28">
          <cell r="B28" t="str">
            <v>TRAFFIC SIGNALS ALTERNATES</v>
          </cell>
        </row>
        <row r="29">
          <cell r="B29" t="str">
            <v>LANDSCAPING</v>
          </cell>
        </row>
        <row r="30">
          <cell r="B30" t="str">
            <v>LANDSCAPING ALTERNATES</v>
          </cell>
        </row>
        <row r="31">
          <cell r="B31" t="str">
            <v>RETAINING WALLS (XXX)</v>
          </cell>
        </row>
        <row r="32">
          <cell r="B32" t="str">
            <v>RETAINING WALLS (XXX) ALTERNATES</v>
          </cell>
        </row>
        <row r="33">
          <cell r="B33" t="str">
            <v>BUILDING DEMOLITION</v>
          </cell>
        </row>
        <row r="34">
          <cell r="B34" t="str">
            <v>BUILDING DEMOLITION ALTERNATES</v>
          </cell>
        </row>
        <row r="35">
          <cell r="B35" t="str">
            <v>NOISE BARRIERS</v>
          </cell>
        </row>
        <row r="36">
          <cell r="B36" t="str">
            <v>NOISE BARRIERS ALTERNATES</v>
          </cell>
        </row>
        <row r="37">
          <cell r="B37" t="str">
            <v>STRUCTURE REPAIR (CTY-RTE-SECT or SFN)</v>
          </cell>
        </row>
        <row r="38">
          <cell r="B38" t="str">
            <v>STRUCTURE REPAIR (CTY-RTE-SECT or SFN) ALTERNATES</v>
          </cell>
        </row>
        <row r="39">
          <cell r="B39" t="str">
            <v>STRUCTURE 20 FOOT SPAN AND UNDER (CTY-RTE-SECT or SFN)</v>
          </cell>
        </row>
        <row r="40">
          <cell r="B40" t="str">
            <v>STRUCTURE 20 FOOT SPAN AND UNDER (CTY-RTE-SECT or SFN) ALTERNATES</v>
          </cell>
        </row>
        <row r="41">
          <cell r="B41" t="str">
            <v>STRUCTURE OVER 20 FOOT SPAN (CTY-RTE-SECT or SFN)</v>
          </cell>
        </row>
        <row r="42">
          <cell r="B42" t="str">
            <v>STRUCTURE OVER 20 FOOT SPAN (CTY-RTE-SECT or SFN) ALTERNATES</v>
          </cell>
        </row>
        <row r="43">
          <cell r="B43" t="str">
            <v>MISCELLANEOUS STRUCTURE</v>
          </cell>
        </row>
        <row r="44">
          <cell r="B44" t="str">
            <v>MISCELLANEOUS STRUCTURE ALTERNATES</v>
          </cell>
        </row>
        <row r="45">
          <cell r="B45" t="str">
            <v>MAINTENANCE OF TRAFFIC</v>
          </cell>
        </row>
        <row r="46">
          <cell r="B46" t="str">
            <v>MAINTENANCE OF TRAFFIC ALTERNATES</v>
          </cell>
        </row>
        <row r="47">
          <cell r="B47" t="str">
            <v>ITEMS OF WORK</v>
          </cell>
        </row>
        <row r="48">
          <cell r="B48" t="str">
            <v>ITEMS OF WORK ALTERNATES</v>
          </cell>
        </row>
        <row r="49">
          <cell r="B49" t="str">
            <v>ENGINEERING AND SURVEYING SERVICES</v>
          </cell>
        </row>
        <row r="50">
          <cell r="B50" t="str">
            <v>ENGINEERING AND SURVEYING SERVICES ALTERNATES</v>
          </cell>
        </row>
        <row r="51">
          <cell r="B51" t="str">
            <v>INCIDENTALS</v>
          </cell>
        </row>
      </sheetData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F6F5C-553B-4842-9F88-0A5F69DE4815}">
  <dimension ref="A1:BM27"/>
  <sheetViews>
    <sheetView tabSelected="1" topLeftCell="A2" zoomScale="80" zoomScaleNormal="80" workbookViewId="0">
      <selection activeCell="O18" sqref="O18"/>
    </sheetView>
  </sheetViews>
  <sheetFormatPr defaultRowHeight="15" x14ac:dyDescent="0.25"/>
  <cols>
    <col min="1" max="1" width="43.140625" customWidth="1"/>
    <col min="2" max="65" width="6.7109375" customWidth="1"/>
  </cols>
  <sheetData>
    <row r="1" spans="1:65" x14ac:dyDescent="0.25">
      <c r="A1" s="36" t="s">
        <v>0</v>
      </c>
      <c r="B1" s="1">
        <v>625</v>
      </c>
      <c r="C1" s="1">
        <v>625</v>
      </c>
      <c r="D1" s="1">
        <v>625</v>
      </c>
      <c r="E1" s="1">
        <v>625</v>
      </c>
      <c r="F1" s="1">
        <v>625</v>
      </c>
      <c r="G1" s="1">
        <v>625</v>
      </c>
      <c r="H1" s="1">
        <v>625</v>
      </c>
      <c r="I1" s="1">
        <v>625</v>
      </c>
      <c r="J1" s="1">
        <v>625</v>
      </c>
      <c r="K1" s="1">
        <v>632</v>
      </c>
      <c r="L1" s="1">
        <v>632</v>
      </c>
      <c r="M1" s="1">
        <v>632</v>
      </c>
      <c r="N1" s="1">
        <v>632</v>
      </c>
      <c r="O1" s="1">
        <v>632</v>
      </c>
      <c r="P1" s="1">
        <v>632</v>
      </c>
      <c r="Q1" s="1">
        <v>632</v>
      </c>
      <c r="R1" s="1">
        <v>632</v>
      </c>
      <c r="S1" s="1">
        <v>632</v>
      </c>
      <c r="T1" s="1">
        <v>632</v>
      </c>
      <c r="U1" s="1">
        <v>632</v>
      </c>
      <c r="V1" s="1">
        <v>632</v>
      </c>
      <c r="W1" s="1">
        <v>632</v>
      </c>
      <c r="X1" s="1">
        <v>632</v>
      </c>
      <c r="Y1" s="1">
        <v>632</v>
      </c>
      <c r="Z1" s="1">
        <v>633</v>
      </c>
      <c r="AA1" s="1">
        <v>633</v>
      </c>
      <c r="AB1" s="1">
        <v>633</v>
      </c>
      <c r="AC1" s="1">
        <v>633</v>
      </c>
      <c r="AD1" s="32">
        <v>633</v>
      </c>
      <c r="AE1" s="29">
        <v>809</v>
      </c>
      <c r="AF1" s="29">
        <v>809</v>
      </c>
      <c r="AG1" s="29">
        <v>809</v>
      </c>
      <c r="AH1" s="10"/>
      <c r="AI1" s="6">
        <v>632</v>
      </c>
      <c r="AJ1" s="1">
        <v>632</v>
      </c>
      <c r="AK1" s="1">
        <v>632</v>
      </c>
      <c r="AL1" s="1">
        <v>632</v>
      </c>
      <c r="AM1" s="1">
        <v>632</v>
      </c>
      <c r="AN1" s="1">
        <v>632</v>
      </c>
      <c r="AO1" s="1">
        <v>632</v>
      </c>
      <c r="AP1" s="1">
        <v>632</v>
      </c>
      <c r="AQ1" s="1">
        <v>632</v>
      </c>
      <c r="AR1" s="1">
        <v>632</v>
      </c>
      <c r="AS1" s="1">
        <v>632</v>
      </c>
      <c r="AT1" s="1">
        <v>632</v>
      </c>
      <c r="AU1" s="1">
        <v>632</v>
      </c>
      <c r="AV1" s="1">
        <v>632</v>
      </c>
      <c r="AW1" s="1">
        <v>633</v>
      </c>
      <c r="AX1" s="1">
        <v>633</v>
      </c>
      <c r="AY1" s="1">
        <v>633</v>
      </c>
      <c r="AZ1" s="1">
        <v>633</v>
      </c>
      <c r="BA1" s="1">
        <v>633</v>
      </c>
      <c r="BB1" s="1">
        <v>633</v>
      </c>
      <c r="BC1" s="1">
        <v>809</v>
      </c>
      <c r="BD1" s="1">
        <v>809</v>
      </c>
      <c r="BE1" s="1">
        <v>809</v>
      </c>
      <c r="BF1" s="1">
        <v>809</v>
      </c>
      <c r="BG1" s="1">
        <v>809</v>
      </c>
      <c r="BH1" s="1">
        <v>809</v>
      </c>
      <c r="BI1" s="1">
        <v>809</v>
      </c>
      <c r="BJ1" s="4">
        <v>809</v>
      </c>
      <c r="BK1" s="4">
        <v>809</v>
      </c>
      <c r="BL1" s="4">
        <v>816</v>
      </c>
      <c r="BM1" s="4">
        <v>816</v>
      </c>
    </row>
    <row r="2" spans="1:65" ht="348.75" customHeight="1" x14ac:dyDescent="0.25">
      <c r="A2" s="37"/>
      <c r="B2" s="2" t="s">
        <v>45</v>
      </c>
      <c r="C2" s="2" t="s">
        <v>46</v>
      </c>
      <c r="D2" s="2" t="s">
        <v>48</v>
      </c>
      <c r="E2" s="2" t="s">
        <v>1</v>
      </c>
      <c r="F2" s="2" t="s">
        <v>2</v>
      </c>
      <c r="G2" s="2" t="s">
        <v>3</v>
      </c>
      <c r="H2" s="2" t="s">
        <v>4</v>
      </c>
      <c r="I2" s="2" t="s">
        <v>60</v>
      </c>
      <c r="J2" s="3" t="s">
        <v>5</v>
      </c>
      <c r="K2" s="3" t="s">
        <v>6</v>
      </c>
      <c r="L2" s="3" t="s">
        <v>61</v>
      </c>
      <c r="M2" s="3" t="s">
        <v>7</v>
      </c>
      <c r="N2" s="3" t="s">
        <v>35</v>
      </c>
      <c r="O2" s="3" t="s">
        <v>8</v>
      </c>
      <c r="P2" s="3" t="s">
        <v>9</v>
      </c>
      <c r="Q2" s="3" t="s">
        <v>22</v>
      </c>
      <c r="R2" s="3" t="s">
        <v>10</v>
      </c>
      <c r="S2" s="3" t="s">
        <v>49</v>
      </c>
      <c r="T2" s="3" t="s">
        <v>11</v>
      </c>
      <c r="U2" s="3" t="s">
        <v>88</v>
      </c>
      <c r="V2" s="3" t="s">
        <v>28</v>
      </c>
      <c r="W2" s="3" t="s">
        <v>83</v>
      </c>
      <c r="X2" s="3" t="s">
        <v>29</v>
      </c>
      <c r="Y2" s="3" t="s">
        <v>14</v>
      </c>
      <c r="Z2" s="3" t="s">
        <v>84</v>
      </c>
      <c r="AA2" s="3" t="s">
        <v>16</v>
      </c>
      <c r="AB2" s="3" t="s">
        <v>17</v>
      </c>
      <c r="AC2" s="3" t="s">
        <v>89</v>
      </c>
      <c r="AD2" s="33" t="s">
        <v>19</v>
      </c>
      <c r="AE2" s="3" t="s">
        <v>20</v>
      </c>
      <c r="AF2" s="3" t="s">
        <v>21</v>
      </c>
      <c r="AG2" s="3" t="s">
        <v>23</v>
      </c>
      <c r="AH2" s="11"/>
      <c r="AI2" s="7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</row>
    <row r="3" spans="1:65" x14ac:dyDescent="0.25">
      <c r="A3" s="37"/>
      <c r="B3" s="4" t="s">
        <v>12</v>
      </c>
      <c r="C3" s="4" t="s">
        <v>12</v>
      </c>
      <c r="D3" s="4" t="s">
        <v>12</v>
      </c>
      <c r="E3" s="4" t="s">
        <v>12</v>
      </c>
      <c r="F3" s="4" t="s">
        <v>13</v>
      </c>
      <c r="G3" s="4" t="s">
        <v>13</v>
      </c>
      <c r="H3" s="4" t="s">
        <v>13</v>
      </c>
      <c r="I3" s="4" t="s">
        <v>12</v>
      </c>
      <c r="J3" s="4" t="s">
        <v>13</v>
      </c>
      <c r="K3" s="4" t="s">
        <v>13</v>
      </c>
      <c r="L3" s="4" t="s">
        <v>13</v>
      </c>
      <c r="M3" s="4" t="s">
        <v>13</v>
      </c>
      <c r="N3" s="4" t="s">
        <v>12</v>
      </c>
      <c r="O3" s="4" t="s">
        <v>12</v>
      </c>
      <c r="P3" s="4" t="s">
        <v>13</v>
      </c>
      <c r="Q3" s="4" t="s">
        <v>12</v>
      </c>
      <c r="R3" s="4" t="s">
        <v>12</v>
      </c>
      <c r="S3" s="4" t="s">
        <v>13</v>
      </c>
      <c r="T3" s="4" t="s">
        <v>13</v>
      </c>
      <c r="U3" s="4" t="s">
        <v>13</v>
      </c>
      <c r="V3" s="4" t="s">
        <v>13</v>
      </c>
      <c r="W3" s="4" t="s">
        <v>13</v>
      </c>
      <c r="X3" s="4" t="s">
        <v>13</v>
      </c>
      <c r="Y3" s="4" t="s">
        <v>13</v>
      </c>
      <c r="Z3" s="4" t="s">
        <v>13</v>
      </c>
      <c r="AA3" s="4" t="s">
        <v>13</v>
      </c>
      <c r="AB3" s="4" t="s">
        <v>13</v>
      </c>
      <c r="AC3" s="4" t="s">
        <v>13</v>
      </c>
      <c r="AD3" s="34" t="s">
        <v>13</v>
      </c>
      <c r="AE3" s="4" t="s">
        <v>13</v>
      </c>
      <c r="AF3" s="4" t="s">
        <v>13</v>
      </c>
      <c r="AG3" s="4" t="s">
        <v>13</v>
      </c>
      <c r="AH3" s="12"/>
      <c r="AI3" s="8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65" x14ac:dyDescent="0.25">
      <c r="A4" s="13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35"/>
      <c r="AE4" s="9"/>
      <c r="AF4" s="9"/>
      <c r="AG4" s="9"/>
      <c r="AH4" s="14"/>
    </row>
    <row r="5" spans="1:65" x14ac:dyDescent="0.25">
      <c r="A5" s="15" t="s">
        <v>85</v>
      </c>
      <c r="B5" s="4">
        <f>20+86</f>
        <v>106</v>
      </c>
      <c r="C5" s="4">
        <f>62</f>
        <v>62</v>
      </c>
      <c r="D5" s="4">
        <f>80</f>
        <v>80</v>
      </c>
      <c r="E5" s="4">
        <f>62+20+86</f>
        <v>168</v>
      </c>
      <c r="F5" s="4">
        <v>1</v>
      </c>
      <c r="G5" s="4">
        <v>1</v>
      </c>
      <c r="H5" s="4">
        <v>3</v>
      </c>
      <c r="I5" s="4">
        <f>E5</f>
        <v>168</v>
      </c>
      <c r="J5" s="4">
        <v>1</v>
      </c>
      <c r="K5" s="4">
        <v>7</v>
      </c>
      <c r="L5" s="4">
        <v>1</v>
      </c>
      <c r="M5" s="4">
        <v>8</v>
      </c>
      <c r="N5" s="4">
        <f>(5+62+5+80+5+86+25+29+10+11+5)</f>
        <v>323</v>
      </c>
      <c r="O5" s="4">
        <f>(5+62+5+20+25+27+10+15+5)+(5+62+5+80+5+86+25+10+23+10+8+10+11+5)</f>
        <v>519</v>
      </c>
      <c r="P5" s="4">
        <v>2</v>
      </c>
      <c r="Q5" s="4">
        <f>26+20+5+62+5</f>
        <v>118</v>
      </c>
      <c r="R5" s="4">
        <f>43+5</f>
        <v>48</v>
      </c>
      <c r="S5" s="4">
        <v>1</v>
      </c>
      <c r="T5" s="4">
        <v>1</v>
      </c>
      <c r="U5" s="4">
        <v>1</v>
      </c>
      <c r="V5" s="4"/>
      <c r="W5" s="4">
        <v>1</v>
      </c>
      <c r="X5" s="4"/>
      <c r="Y5" s="4">
        <v>1</v>
      </c>
      <c r="Z5" s="4">
        <v>1</v>
      </c>
      <c r="AA5" s="4">
        <v>1</v>
      </c>
      <c r="AB5" s="4">
        <v>1</v>
      </c>
      <c r="AC5" s="4">
        <v>1</v>
      </c>
      <c r="AD5" s="4">
        <v>1</v>
      </c>
      <c r="AE5" s="4">
        <v>3</v>
      </c>
      <c r="AF5" s="4">
        <v>2</v>
      </c>
      <c r="AG5" s="4">
        <v>1</v>
      </c>
      <c r="AH5" s="12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</row>
    <row r="6" spans="1:65" x14ac:dyDescent="0.25">
      <c r="A6" s="1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12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</row>
    <row r="7" spans="1:65" x14ac:dyDescent="0.25">
      <c r="A7" s="15" t="s">
        <v>86</v>
      </c>
      <c r="B7" s="4">
        <v>79</v>
      </c>
      <c r="C7" s="4">
        <v>6</v>
      </c>
      <c r="D7" s="4">
        <v>266</v>
      </c>
      <c r="E7" s="4">
        <v>85</v>
      </c>
      <c r="F7" s="4">
        <v>1</v>
      </c>
      <c r="G7" s="4">
        <v>4</v>
      </c>
      <c r="H7" s="4">
        <v>5</v>
      </c>
      <c r="I7" s="4">
        <f>E7</f>
        <v>85</v>
      </c>
      <c r="J7" s="4">
        <v>1</v>
      </c>
      <c r="K7" s="4">
        <v>10</v>
      </c>
      <c r="L7" s="4">
        <v>1</v>
      </c>
      <c r="M7" s="4">
        <v>11</v>
      </c>
      <c r="N7" s="4">
        <f>(5+6+5+31+5+92+5+8+22+5)+(5+6+5+31+5+92+5+8+22+26+10+8+5)+(5+6+5+106+5+15+22+5)+(5+6+5+106+5+15+22+40+10+11+5)</f>
        <v>811</v>
      </c>
      <c r="O7" s="4">
        <f>(5+6+5+9+21+21+10+11+5)+(5+6+5+106+5+68+5+16+21+23+10+9+10+20+5)</f>
        <v>407</v>
      </c>
      <c r="P7" s="4">
        <v>4</v>
      </c>
      <c r="Q7" s="4">
        <f>26+9+5+6+5</f>
        <v>51</v>
      </c>
      <c r="R7" s="4">
        <f>45+5</f>
        <v>50</v>
      </c>
      <c r="S7" s="4">
        <v>1</v>
      </c>
      <c r="T7" s="4">
        <v>1</v>
      </c>
      <c r="U7" s="4"/>
      <c r="V7" s="4">
        <v>1</v>
      </c>
      <c r="W7" s="4"/>
      <c r="X7" s="4">
        <v>3</v>
      </c>
      <c r="Y7" s="4">
        <v>1</v>
      </c>
      <c r="Z7" s="4">
        <v>1</v>
      </c>
      <c r="AA7" s="4">
        <v>1</v>
      </c>
      <c r="AB7" s="4">
        <v>1</v>
      </c>
      <c r="AC7" s="4">
        <v>1</v>
      </c>
      <c r="AD7" s="4">
        <v>1</v>
      </c>
      <c r="AE7" s="4">
        <v>2</v>
      </c>
      <c r="AF7" s="4">
        <v>3</v>
      </c>
      <c r="AG7" s="4">
        <v>1</v>
      </c>
      <c r="AH7" s="12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</row>
    <row r="8" spans="1:65" x14ac:dyDescent="0.25">
      <c r="A8" s="1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12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</row>
    <row r="9" spans="1:65" x14ac:dyDescent="0.25">
      <c r="A9" s="15" t="s">
        <v>87</v>
      </c>
      <c r="B9" s="4">
        <f>52+19</f>
        <v>71</v>
      </c>
      <c r="C9" s="4">
        <f>5+4</f>
        <v>9</v>
      </c>
      <c r="D9" s="4">
        <f>52+35</f>
        <v>87</v>
      </c>
      <c r="E9" s="4">
        <f>5+4+52+19</f>
        <v>80</v>
      </c>
      <c r="F9" s="4">
        <v>3</v>
      </c>
      <c r="G9" s="4">
        <v>1</v>
      </c>
      <c r="H9" s="4">
        <v>3</v>
      </c>
      <c r="I9" s="4">
        <f>E9</f>
        <v>80</v>
      </c>
      <c r="J9" s="4">
        <v>1</v>
      </c>
      <c r="K9" s="4">
        <v>8</v>
      </c>
      <c r="L9" s="4"/>
      <c r="M9" s="4">
        <v>8</v>
      </c>
      <c r="N9" s="4">
        <f>(5+5+5+4+22+28+10+8+5)+(5+5+5+4+22+35+10+9+5)+(5+5+5+52+5+52+5+35+5+19+21+26+10+10+5)+(5+5+5+52+5+52+5+35+5+19+21+35+10+9+5)</f>
        <v>720</v>
      </c>
      <c r="O9" s="4"/>
      <c r="P9" s="4">
        <v>2</v>
      </c>
      <c r="Q9" s="4">
        <f>24+4+5+5+5</f>
        <v>43</v>
      </c>
      <c r="R9" s="4">
        <f>24+5</f>
        <v>29</v>
      </c>
      <c r="S9" s="4">
        <v>1</v>
      </c>
      <c r="T9" s="4">
        <v>1</v>
      </c>
      <c r="U9" s="4">
        <v>2</v>
      </c>
      <c r="V9" s="4"/>
      <c r="W9" s="4"/>
      <c r="X9" s="4"/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>
        <v>1</v>
      </c>
      <c r="AE9" s="4">
        <v>4</v>
      </c>
      <c r="AF9" s="4">
        <v>2</v>
      </c>
      <c r="AG9" s="4">
        <v>1</v>
      </c>
      <c r="AH9" s="12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</row>
    <row r="10" spans="1:65" x14ac:dyDescent="0.25">
      <c r="A10" s="15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9"/>
      <c r="AB10" s="9"/>
      <c r="AC10" s="9"/>
      <c r="AD10" s="4"/>
      <c r="AE10" s="4"/>
      <c r="AF10" s="4"/>
      <c r="AG10" s="4"/>
      <c r="AH10" s="12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</row>
    <row r="11" spans="1:65" x14ac:dyDescent="0.25">
      <c r="A11" s="15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12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</row>
    <row r="12" spans="1:65" x14ac:dyDescent="0.25">
      <c r="A12" s="15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12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</row>
    <row r="13" spans="1:65" ht="15.75" thickBot="1" x14ac:dyDescent="0.3">
      <c r="A13" s="16" t="s">
        <v>42</v>
      </c>
      <c r="B13" s="17">
        <f>SUM(B5:B11)</f>
        <v>256</v>
      </c>
      <c r="C13" s="17">
        <f t="shared" ref="C13:AG13" si="0">SUM(C5:C11)</f>
        <v>77</v>
      </c>
      <c r="D13" s="17">
        <f t="shared" si="0"/>
        <v>433</v>
      </c>
      <c r="E13" s="17">
        <f t="shared" si="0"/>
        <v>333</v>
      </c>
      <c r="F13" s="17">
        <f t="shared" si="0"/>
        <v>5</v>
      </c>
      <c r="G13" s="17">
        <f t="shared" si="0"/>
        <v>6</v>
      </c>
      <c r="H13" s="17">
        <f t="shared" si="0"/>
        <v>11</v>
      </c>
      <c r="I13" s="17">
        <f t="shared" si="0"/>
        <v>333</v>
      </c>
      <c r="J13" s="17">
        <f t="shared" si="0"/>
        <v>3</v>
      </c>
      <c r="K13" s="17">
        <f t="shared" si="0"/>
        <v>25</v>
      </c>
      <c r="L13" s="17">
        <f t="shared" si="0"/>
        <v>2</v>
      </c>
      <c r="M13" s="17">
        <f t="shared" si="0"/>
        <v>27</v>
      </c>
      <c r="N13" s="17">
        <f t="shared" si="0"/>
        <v>1854</v>
      </c>
      <c r="O13" s="17">
        <f t="shared" si="0"/>
        <v>926</v>
      </c>
      <c r="P13" s="17">
        <f t="shared" si="0"/>
        <v>8</v>
      </c>
      <c r="Q13" s="17">
        <f t="shared" si="0"/>
        <v>212</v>
      </c>
      <c r="R13" s="17">
        <f t="shared" si="0"/>
        <v>127</v>
      </c>
      <c r="S13" s="17">
        <f t="shared" si="0"/>
        <v>3</v>
      </c>
      <c r="T13" s="17">
        <f t="shared" si="0"/>
        <v>3</v>
      </c>
      <c r="U13" s="17">
        <f t="shared" si="0"/>
        <v>3</v>
      </c>
      <c r="V13" s="17">
        <f t="shared" si="0"/>
        <v>1</v>
      </c>
      <c r="W13" s="17">
        <f t="shared" si="0"/>
        <v>1</v>
      </c>
      <c r="X13" s="17">
        <f t="shared" si="0"/>
        <v>3</v>
      </c>
      <c r="Y13" s="17">
        <f t="shared" si="0"/>
        <v>3</v>
      </c>
      <c r="Z13" s="17">
        <f t="shared" si="0"/>
        <v>3</v>
      </c>
      <c r="AA13" s="17">
        <f t="shared" si="0"/>
        <v>3</v>
      </c>
      <c r="AB13" s="17">
        <f t="shared" si="0"/>
        <v>3</v>
      </c>
      <c r="AC13" s="17">
        <f t="shared" si="0"/>
        <v>3</v>
      </c>
      <c r="AD13" s="17">
        <f t="shared" si="0"/>
        <v>3</v>
      </c>
      <c r="AE13" s="17">
        <f t="shared" si="0"/>
        <v>9</v>
      </c>
      <c r="AF13" s="17">
        <f t="shared" si="0"/>
        <v>7</v>
      </c>
      <c r="AG13" s="17">
        <f t="shared" si="0"/>
        <v>3</v>
      </c>
      <c r="AH13" s="18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</row>
    <row r="14" spans="1:65" ht="15.75" thickBot="1" x14ac:dyDescent="0.3">
      <c r="A14" s="38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40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</row>
    <row r="15" spans="1:65" x14ac:dyDescent="0.25">
      <c r="A15" s="41" t="s">
        <v>0</v>
      </c>
      <c r="B15" s="29">
        <v>202</v>
      </c>
      <c r="C15" s="29">
        <v>606</v>
      </c>
      <c r="D15" s="1"/>
      <c r="E15" s="1">
        <v>625</v>
      </c>
      <c r="F15" s="1">
        <v>625</v>
      </c>
      <c r="G15" s="1">
        <v>625</v>
      </c>
      <c r="H15" s="1">
        <v>625</v>
      </c>
      <c r="I15" s="1">
        <v>625</v>
      </c>
      <c r="J15" s="1">
        <v>625</v>
      </c>
      <c r="K15" s="1">
        <v>625</v>
      </c>
      <c r="L15" s="29"/>
      <c r="M15" s="29">
        <v>203</v>
      </c>
      <c r="N15" s="29">
        <v>203</v>
      </c>
      <c r="O15" s="29"/>
      <c r="P15" s="29">
        <v>670</v>
      </c>
      <c r="Q15" s="29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29"/>
      <c r="AD15" s="29"/>
      <c r="AE15" s="30"/>
      <c r="AF15" s="29"/>
      <c r="AG15" s="29"/>
      <c r="AH15" s="31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</row>
    <row r="16" spans="1:65" ht="219.75" x14ac:dyDescent="0.25">
      <c r="A16" s="37"/>
      <c r="B16" s="3" t="s">
        <v>90</v>
      </c>
      <c r="C16" s="3" t="s">
        <v>91</v>
      </c>
      <c r="D16" s="2"/>
      <c r="E16" s="2" t="s">
        <v>24</v>
      </c>
      <c r="F16" s="2" t="s">
        <v>25</v>
      </c>
      <c r="G16" s="2" t="s">
        <v>52</v>
      </c>
      <c r="H16" s="2" t="s">
        <v>53</v>
      </c>
      <c r="I16" s="2" t="s">
        <v>74</v>
      </c>
      <c r="J16" s="2" t="s">
        <v>26</v>
      </c>
      <c r="K16" s="3" t="s">
        <v>27</v>
      </c>
      <c r="L16" s="3"/>
      <c r="M16" s="45" t="s">
        <v>92</v>
      </c>
      <c r="N16" s="45" t="s">
        <v>93</v>
      </c>
      <c r="O16" s="45"/>
      <c r="P16" s="45" t="s">
        <v>95</v>
      </c>
      <c r="Q16" s="3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3"/>
      <c r="AD16" s="3"/>
      <c r="AE16" s="9"/>
      <c r="AF16" s="3"/>
      <c r="AG16" s="3"/>
      <c r="AH16" s="11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</row>
    <row r="17" spans="1:65" x14ac:dyDescent="0.25">
      <c r="A17" s="37"/>
      <c r="B17" s="4" t="s">
        <v>12</v>
      </c>
      <c r="C17" s="4" t="s">
        <v>12</v>
      </c>
      <c r="D17" s="4"/>
      <c r="E17" s="4" t="s">
        <v>13</v>
      </c>
      <c r="F17" s="4" t="s">
        <v>13</v>
      </c>
      <c r="G17" s="4" t="s">
        <v>13</v>
      </c>
      <c r="H17" s="4" t="s">
        <v>13</v>
      </c>
      <c r="I17" s="4" t="s">
        <v>12</v>
      </c>
      <c r="J17" s="4" t="s">
        <v>12</v>
      </c>
      <c r="K17" s="4" t="s">
        <v>13</v>
      </c>
      <c r="L17" s="4"/>
      <c r="M17" s="4" t="s">
        <v>94</v>
      </c>
      <c r="N17" s="4" t="s">
        <v>94</v>
      </c>
      <c r="O17" s="9"/>
      <c r="P17" s="4" t="s">
        <v>96</v>
      </c>
      <c r="Q17" s="4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4"/>
      <c r="AD17" s="4"/>
      <c r="AE17" s="9"/>
      <c r="AF17" s="4"/>
      <c r="AG17" s="4"/>
      <c r="AH17" s="12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</row>
    <row r="18" spans="1:65" x14ac:dyDescent="0.25">
      <c r="A18" s="15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4"/>
      <c r="N18" s="4"/>
      <c r="O18" s="9"/>
      <c r="P18" s="4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2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</row>
    <row r="19" spans="1:65" x14ac:dyDescent="0.25">
      <c r="A19" s="15" t="s">
        <v>85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12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</row>
    <row r="20" spans="1:65" x14ac:dyDescent="0.25">
      <c r="A20" s="15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12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</row>
    <row r="21" spans="1:65" x14ac:dyDescent="0.25">
      <c r="A21" s="15" t="s">
        <v>86</v>
      </c>
      <c r="B21" s="4">
        <v>37.5</v>
      </c>
      <c r="C21" s="4">
        <f>B21</f>
        <v>37.5</v>
      </c>
      <c r="D21" s="4"/>
      <c r="E21" s="4">
        <f>2+2+2+2</f>
        <v>8</v>
      </c>
      <c r="F21" s="4">
        <f>3+3+3+3+3</f>
        <v>15</v>
      </c>
      <c r="G21" s="4">
        <v>3</v>
      </c>
      <c r="H21" s="4">
        <v>1</v>
      </c>
      <c r="I21" s="4">
        <f>3*(5+6+5+9+5+31+5+92+5+8+5+106+5+15+5+68+5+16+5)</f>
        <v>1203</v>
      </c>
      <c r="J21" s="4">
        <f>3*((27+12+5)+(26+15+5)+(26+12+5)+(27+12+5))</f>
        <v>531</v>
      </c>
      <c r="K21" s="4">
        <v>4</v>
      </c>
      <c r="L21" s="4"/>
      <c r="M21" s="4">
        <v>43</v>
      </c>
      <c r="N21" s="4">
        <v>5</v>
      </c>
      <c r="O21" s="4"/>
      <c r="P21" s="4">
        <v>70</v>
      </c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12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</row>
    <row r="22" spans="1:65" x14ac:dyDescent="0.25">
      <c r="A22" s="15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12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</row>
    <row r="23" spans="1:65" x14ac:dyDescent="0.25">
      <c r="A23" s="15" t="s">
        <v>87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12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</row>
    <row r="24" spans="1:65" x14ac:dyDescent="0.25">
      <c r="A24" s="1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12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</row>
    <row r="25" spans="1:65" x14ac:dyDescent="0.25">
      <c r="A25" s="1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12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</row>
    <row r="26" spans="1:65" x14ac:dyDescent="0.25">
      <c r="A26" s="15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4"/>
      <c r="N26" s="4"/>
      <c r="O26" s="9"/>
      <c r="P26" s="4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4"/>
    </row>
    <row r="27" spans="1:65" ht="15.75" thickBot="1" x14ac:dyDescent="0.3">
      <c r="A27" s="16" t="s">
        <v>42</v>
      </c>
      <c r="B27" s="17">
        <f>SUM(B19:B25)</f>
        <v>37.5</v>
      </c>
      <c r="C27" s="17">
        <f t="shared" ref="C27:P27" si="1">SUM(C19:C25)</f>
        <v>37.5</v>
      </c>
      <c r="D27" s="17"/>
      <c r="E27" s="17">
        <f t="shared" si="1"/>
        <v>8</v>
      </c>
      <c r="F27" s="17">
        <f t="shared" si="1"/>
        <v>15</v>
      </c>
      <c r="G27" s="17">
        <f t="shared" si="1"/>
        <v>3</v>
      </c>
      <c r="H27" s="17">
        <f t="shared" si="1"/>
        <v>1</v>
      </c>
      <c r="I27" s="17">
        <f t="shared" si="1"/>
        <v>1203</v>
      </c>
      <c r="J27" s="17">
        <f t="shared" si="1"/>
        <v>531</v>
      </c>
      <c r="K27" s="17">
        <f t="shared" si="1"/>
        <v>4</v>
      </c>
      <c r="L27" s="17"/>
      <c r="M27" s="17">
        <f t="shared" si="1"/>
        <v>43</v>
      </c>
      <c r="N27" s="17">
        <f t="shared" si="1"/>
        <v>5</v>
      </c>
      <c r="O27" s="17"/>
      <c r="P27" s="17">
        <f t="shared" si="1"/>
        <v>70</v>
      </c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8"/>
    </row>
  </sheetData>
  <mergeCells count="3">
    <mergeCell ref="A1:A3"/>
    <mergeCell ref="A14:AH14"/>
    <mergeCell ref="A15:A17"/>
  </mergeCells>
  <conditionalFormatting sqref="B16:C16">
    <cfRule type="expression" dxfId="98" priority="30">
      <formula>IF(VLOOKUP($N16,HEADINGS,1,0)=$N16,1,0)</formula>
    </cfRule>
    <cfRule type="expression" dxfId="97" priority="23">
      <formula>IF(LEN(TRIM($N16)&gt;6),IF(RIGHT(TRIM($N16),6)=" CONT.",IF(VLOOKUP(LEFT(TRIM($N16),LEN(TRIM($N16))-6),HEADINGS,1,FALSE)=LEFT(TRIM($N16),LEN(TRIM($N16))-6),1,0)))</formula>
    </cfRule>
    <cfRule type="expression" dxfId="96" priority="24">
      <formula>IF(LEN(TRIM($N16)&gt;10),IF(RIGHT(TRIM($N16),10)=" CONTINUED",IF(VLOOKUP(LEFT(TRIM($N16),LEN(TRIM($N16))-10),HEADINGS,1,FALSE)=LEFT(TRIM($N16),LEN(TRIM($N16))-10),1,0)))</formula>
    </cfRule>
    <cfRule type="expression" dxfId="95" priority="25">
      <formula>OR($N16="STRUCTURE REPAIRS",$N16="STRUCTURES 20 FOOT SPAN AND UNDER",$N16="STRUCTURES OVER 20 FOOT SPAN",$N16="RETAINING WALLS")</formula>
    </cfRule>
    <cfRule type="expression" dxfId="94" priority="26">
      <formula>OR($N16="STRUCTURE REPAIRS CONT.",$N16="STRUCTURES 20 FOOT SPAN AND UNDER CONT.",$N16="STRUCTURES OVER 20 FOOT SPAN CONT.",$N16="RETAINING WALLS CONT.")</formula>
    </cfRule>
    <cfRule type="expression" dxfId="93" priority="27">
      <formula>OR($N16="STRUCTURE REPAIRS CONTINUED",$N16="STRUCTURES 20 FOOT SPAN AND UNDER CONTINUED",$N16="STRUCTURES OVER 20 FOOT SPAN CONTINUED",$N16="RETAINING WALLS CONTINUED")</formula>
    </cfRule>
    <cfRule type="expression" dxfId="92" priority="28">
      <formula>OR(LEFT($N16,15)="RETAINING WALLS",LEFT($N16,32)="STRUCTURE 20 FOOT SPAN AND UNDER",LEFT($N16,27)="STRUCTURE OVER 20 FOOT SPAN",LEFT($N16,16)="STRUCTURE REPAIR")</formula>
    </cfRule>
    <cfRule type="expression" dxfId="91" priority="29">
      <formula>$CH16="ITEM CODE DOES NOT EXIST IN ITEM MASTER"</formula>
    </cfRule>
    <cfRule type="expression" dxfId="90" priority="33">
      <formula>IF(LEN(TRIM($N16)&gt;13),IF(LEFT(TRIM($N16),13)="ITEMS OF WORK",1,0))</formula>
    </cfRule>
    <cfRule type="expression" dxfId="89" priority="31">
      <formula>IF(LEN(TRIM($N16)&gt;11),IF(RIGHT(TRIM($N16),11)=" ALTERNATES",IF(VLOOKUP(LEFT(TRIM($N16),LEN(TRIM($N16))-11),HEADINGS,1,FALSE)=LEFT(TRIM($N16),LEN(TRIM($N16))-11),1,0)))</formula>
    </cfRule>
    <cfRule type="expression" dxfId="88" priority="32">
      <formula>IF(LEN(TRIM($N16)&gt;8),IF(RIGHT(TRIM($N16),8)=" (CONT.)",IF(VLOOKUP(LEFT(TRIM($N16),LEN(TRIM($N16))-8),HEADINGS,1,FALSE)=LEFT(TRIM($N16),LEN(TRIM($N16))-8),1,0)))</formula>
    </cfRule>
  </conditionalFormatting>
  <conditionalFormatting sqref="B2:P2 AI2:BM2">
    <cfRule type="expression" dxfId="87" priority="476">
      <formula>IF(LEN(TRIM($D2)&gt;13),IF(LEFT(TRIM($D2),13)="ITEMS OF WORK",1,0))</formula>
    </cfRule>
    <cfRule type="expression" dxfId="86" priority="469">
      <formula>OR($D2="STRUCTURE REPAIRS CONT.",$D2="STRUCTURES 20 FOOT SPAN AND UNDER CONT.",$D2="STRUCTURES OVER 20 FOOT SPAN CONT.",$D2="RETAINING WALLS CONT.")</formula>
    </cfRule>
    <cfRule type="expression" dxfId="85" priority="468">
      <formula>OR($D2="STRUCTURE REPAIRS",$D2="STRUCTURES 20 FOOT SPAN AND UNDER",$D2="STRUCTURES OVER 20 FOOT SPAN",$D2="RETAINING WALLS")</formula>
    </cfRule>
    <cfRule type="expression" dxfId="84" priority="467">
      <formula>IF(LEN(TRIM($D2)&gt;10),IF(RIGHT(TRIM($D2),10)=" CONTINUED",IF(VLOOKUP(LEFT(TRIM($D2),LEN(TRIM($D2))-10),HEADINGS,1,FALSE)=LEFT(TRIM($D2),LEN(TRIM($D2))-10),1,0)))</formula>
    </cfRule>
    <cfRule type="expression" dxfId="83" priority="470">
      <formula>OR($D2="STRUCTURE REPAIRS CONTINUED",$D2="STRUCTURES 20 FOOT SPAN AND UNDER CONTINUED",$D2="STRUCTURES OVER 20 FOOT SPAN CONTINUED",$D2="RETAINING WALLS CONTINUED")</formula>
    </cfRule>
    <cfRule type="expression" dxfId="82" priority="466">
      <formula>IF(LEN(TRIM($D2)&gt;6),IF(RIGHT(TRIM($D2),6)=" CONT.",IF(VLOOKUP(LEFT(TRIM($D2),LEN(TRIM($D2))-6),HEADINGS,1,FALSE)=LEFT(TRIM($D2),LEN(TRIM($D2))-6),1,0)))</formula>
    </cfRule>
    <cfRule type="expression" dxfId="81" priority="471">
      <formula>OR(LEFT($D2,15)="RETAINING WALLS",LEFT($D2,32)="STRUCTURE 20 FOOT SPAN AND UNDER",LEFT($D2,27)="STRUCTURE OVER 20 FOOT SPAN",LEFT($D2,16)="STRUCTURE REPAIR")</formula>
    </cfRule>
    <cfRule type="expression" dxfId="80" priority="472">
      <formula>$CH2="ITEM CODE DOES NOT EXIST IN ITEM MASTER"</formula>
    </cfRule>
    <cfRule type="expression" dxfId="79" priority="473">
      <formula>IF(VLOOKUP($D2,HEADINGS,1,0)=$D2,1,0)</formula>
    </cfRule>
    <cfRule type="expression" dxfId="78" priority="474">
      <formula>IF(LEN(TRIM($D2)&gt;11),IF(RIGHT(TRIM($D2),11)=" ALTERNATES",IF(VLOOKUP(LEFT(TRIM($D2),LEN(TRIM($D2))-11),HEADINGS,1,FALSE)=LEFT(TRIM($D2),LEN(TRIM($D2))-11),1,0)))</formula>
    </cfRule>
    <cfRule type="expression" dxfId="77" priority="475">
      <formula>IF(LEN(TRIM($D2)&gt;8),IF(RIGHT(TRIM($D2),8)=" (CONT.)",IF(VLOOKUP(LEFT(TRIM($D2),LEN(TRIM($D2))-8),HEADINGS,1,FALSE)=LEFT(TRIM($D2),LEN(TRIM($D2))-8),1,0)))</formula>
    </cfRule>
  </conditionalFormatting>
  <conditionalFormatting sqref="D16:K16">
    <cfRule type="expression" dxfId="76" priority="2">
      <formula>IF(LEN(TRIM($T16)&gt;10),IF(RIGHT(TRIM($T16),10)=" CONTINUED",IF(VLOOKUP(LEFT(TRIM($T16),LEN(TRIM($T16))-10),HEADINGS,1,FALSE)=LEFT(TRIM($T16),LEN(TRIM($T16))-10),1,0)))</formula>
    </cfRule>
    <cfRule type="expression" dxfId="75" priority="3">
      <formula>OR($T16="STRUCTURE REPAIRS",$T16="STRUCTURES 20 FOOT SPAN AND UNDER",$T16="STRUCTURES OVER 20 FOOT SPAN",$T16="RETAINING WALLS")</formula>
    </cfRule>
    <cfRule type="expression" dxfId="74" priority="4">
      <formula>OR($T16="STRUCTURE REPAIRS CONT.",$T16="STRUCTURES 20 FOOT SPAN AND UNDER CONT.",$T16="STRUCTURES OVER 20 FOOT SPAN CONT.",$T16="RETAINING WALLS CONT.")</formula>
    </cfRule>
    <cfRule type="expression" dxfId="73" priority="5">
      <formula>OR($T16="STRUCTURE REPAIRS CONTINUED",$T16="STRUCTURES 20 FOOT SPAN AND UNDER CONTINUED",$T16="STRUCTURES OVER 20 FOOT SPAN CONTINUED",$T16="RETAINING WALLS CONTINUED")</formula>
    </cfRule>
    <cfRule type="expression" dxfId="72" priority="7">
      <formula>$CK16="ITEM CODE DOES NOT EXIST IN ITEM MASTER"</formula>
    </cfRule>
    <cfRule type="expression" dxfId="71" priority="8">
      <formula>IF(VLOOKUP($T16,HEADINGS,1,0)=$T16,1,0)</formula>
    </cfRule>
    <cfRule type="expression" dxfId="70" priority="9">
      <formula>IF(LEN(TRIM($T16)&gt;11),IF(RIGHT(TRIM($T16),11)=" ALTERNATES",IF(VLOOKUP(LEFT(TRIM($T16),LEN(TRIM($T16))-11),HEADINGS,1,FALSE)=LEFT(TRIM($T16),LEN(TRIM($T16))-11),1,0)))</formula>
    </cfRule>
    <cfRule type="expression" dxfId="69" priority="1">
      <formula>IF(LEN(TRIM($T16)&gt;6),IF(RIGHT(TRIM($T16),6)=" CONT.",IF(VLOOKUP(LEFT(TRIM($T16),LEN(TRIM($T16))-6),HEADINGS,1,FALSE)=LEFT(TRIM($T16),LEN(TRIM($T16))-6),1,0)))</formula>
    </cfRule>
    <cfRule type="expression" dxfId="68" priority="11">
      <formula>IF(LEN(TRIM($T16)&gt;13),IF(LEFT(TRIM($T16),13)="ITEMS OF WORK",1,0))</formula>
    </cfRule>
    <cfRule type="expression" dxfId="67" priority="10">
      <formula>IF(LEN(TRIM($T16)&gt;8),IF(RIGHT(TRIM($T16),8)=" (CONT.)",IF(VLOOKUP(LEFT(TRIM($T16),LEN(TRIM($T16))-8),HEADINGS,1,FALSE)=LEFT(TRIM($T16),LEN(TRIM($T16))-8),1,0)))</formula>
    </cfRule>
    <cfRule type="expression" dxfId="66" priority="6">
      <formula>OR(LEFT($T16,15)="RETAINING WALLS",LEFT($T16,32)="STRUCTURE 20 FOOT SPAN AND UNDER",LEFT($T16,27)="STRUCTURE OVER 20 FOOT SPAN",LEFT($T16,16)="STRUCTURE REPAIR")</formula>
    </cfRule>
  </conditionalFormatting>
  <conditionalFormatting sqref="K16:L16">
    <cfRule type="expression" dxfId="65" priority="51">
      <formula>$CH16="ITEM CODE DOES NOT EXIST IN ITEM MASTER"</formula>
    </cfRule>
    <cfRule type="expression" dxfId="64" priority="55">
      <formula>IF(LEN(TRIM($N16)&gt;13),IF(LEFT(TRIM($N16),13)="ITEMS OF WORK",1,0))</formula>
    </cfRule>
    <cfRule type="expression" dxfId="63" priority="46">
      <formula>IF(LEN(TRIM($N16)&gt;10),IF(RIGHT(TRIM($N16),10)=" CONTINUED",IF(VLOOKUP(LEFT(TRIM($N16),LEN(TRIM($N16))-10),HEADINGS,1,FALSE)=LEFT(TRIM($N16),LEN(TRIM($N16))-10),1,0)))</formula>
    </cfRule>
    <cfRule type="expression" dxfId="62" priority="47">
      <formula>OR($N16="STRUCTURE REPAIRS",$N16="STRUCTURES 20 FOOT SPAN AND UNDER",$N16="STRUCTURES OVER 20 FOOT SPAN",$N16="RETAINING WALLS")</formula>
    </cfRule>
    <cfRule type="expression" dxfId="61" priority="48">
      <formula>OR($N16="STRUCTURE REPAIRS CONT.",$N16="STRUCTURES 20 FOOT SPAN AND UNDER CONT.",$N16="STRUCTURES OVER 20 FOOT SPAN CONT.",$N16="RETAINING WALLS CONT.")</formula>
    </cfRule>
    <cfRule type="expression" dxfId="60" priority="49">
      <formula>OR($N16="STRUCTURE REPAIRS CONTINUED",$N16="STRUCTURES 20 FOOT SPAN AND UNDER CONTINUED",$N16="STRUCTURES OVER 20 FOOT SPAN CONTINUED",$N16="RETAINING WALLS CONTINUED")</formula>
    </cfRule>
    <cfRule type="expression" dxfId="59" priority="54">
      <formula>IF(LEN(TRIM($N16)&gt;8),IF(RIGHT(TRIM($N16),8)=" (CONT.)",IF(VLOOKUP(LEFT(TRIM($N16),LEN(TRIM($N16))-8),HEADINGS,1,FALSE)=LEFT(TRIM($N16),LEN(TRIM($N16))-8),1,0)))</formula>
    </cfRule>
    <cfRule type="expression" dxfId="58" priority="50">
      <formula>OR(LEFT($N16,15)="RETAINING WALLS",LEFT($N16,32)="STRUCTURE 20 FOOT SPAN AND UNDER",LEFT($N16,27)="STRUCTURE OVER 20 FOOT SPAN",LEFT($N16,16)="STRUCTURE REPAIR")</formula>
    </cfRule>
    <cfRule type="expression" dxfId="57" priority="53">
      <formula>IF(LEN(TRIM($N16)&gt;11),IF(RIGHT(TRIM($N16),11)=" ALTERNATES",IF(VLOOKUP(LEFT(TRIM($N16),LEN(TRIM($N16))-11),HEADINGS,1,FALSE)=LEFT(TRIM($N16),LEN(TRIM($N16))-11),1,0)))</formula>
    </cfRule>
    <cfRule type="expression" dxfId="56" priority="52">
      <formula>IF(VLOOKUP($N16,HEADINGS,1,0)=$N16,1,0)</formula>
    </cfRule>
    <cfRule type="expression" dxfId="55" priority="45">
      <formula>IF(LEN(TRIM($N16)&gt;6),IF(RIGHT(TRIM($N16),6)=" CONT.",IF(VLOOKUP(LEFT(TRIM($N16),LEN(TRIM($N16))-6),HEADINGS,1,FALSE)=LEFT(TRIM($N16),LEN(TRIM($N16))-6),1,0)))</formula>
    </cfRule>
  </conditionalFormatting>
  <conditionalFormatting sqref="Q16 AC16:AD16 AF16:AH16">
    <cfRule type="expression" dxfId="54" priority="62">
      <formula>$CH16="ITEM CODE DOES NOT EXIST IN ITEM MASTER"</formula>
    </cfRule>
    <cfRule type="expression" dxfId="53" priority="63">
      <formula>IF(VLOOKUP($N16,HEADINGS,1,0)=$N16,1,0)</formula>
    </cfRule>
    <cfRule type="expression" dxfId="52" priority="64">
      <formula>IF(LEN(TRIM($N16)&gt;11),IF(RIGHT(TRIM($N16),11)=" ALTERNATES",IF(VLOOKUP(LEFT(TRIM($N16),LEN(TRIM($N16))-11),HEADINGS,1,FALSE)=LEFT(TRIM($N16),LEN(TRIM($N16))-11),1,0)))</formula>
    </cfRule>
    <cfRule type="expression" dxfId="51" priority="65">
      <formula>IF(LEN(TRIM($N16)&gt;8),IF(RIGHT(TRIM($N16),8)=" (CONT.)",IF(VLOOKUP(LEFT(TRIM($N16),LEN(TRIM($N16))-8),HEADINGS,1,FALSE)=LEFT(TRIM($N16),LEN(TRIM($N16))-8),1,0)))</formula>
    </cfRule>
    <cfRule type="expression" dxfId="50" priority="66">
      <formula>IF(LEN(TRIM($N16)&gt;13),IF(LEFT(TRIM($N16),13)="ITEMS OF WORK",1,0))</formula>
    </cfRule>
    <cfRule type="expression" dxfId="49" priority="59">
      <formula>OR($N16="STRUCTURE REPAIRS CONT.",$N16="STRUCTURES 20 FOOT SPAN AND UNDER CONT.",$N16="STRUCTURES OVER 20 FOOT SPAN CONT.",$N16="RETAINING WALLS CONT.")</formula>
    </cfRule>
    <cfRule type="expression" dxfId="48" priority="56">
      <formula>IF(LEN(TRIM($N16)&gt;6),IF(RIGHT(TRIM($N16),6)=" CONT.",IF(VLOOKUP(LEFT(TRIM($N16),LEN(TRIM($N16))-6),HEADINGS,1,FALSE)=LEFT(TRIM($N16),LEN(TRIM($N16))-6),1,0)))</formula>
    </cfRule>
    <cfRule type="expression" dxfId="47" priority="57">
      <formula>IF(LEN(TRIM($N16)&gt;10),IF(RIGHT(TRIM($N16),10)=" CONTINUED",IF(VLOOKUP(LEFT(TRIM($N16),LEN(TRIM($N16))-10),HEADINGS,1,FALSE)=LEFT(TRIM($N16),LEN(TRIM($N16))-10),1,0)))</formula>
    </cfRule>
    <cfRule type="expression" dxfId="46" priority="58">
      <formula>OR($N16="STRUCTURE REPAIRS",$N16="STRUCTURES 20 FOOT SPAN AND UNDER",$N16="STRUCTURES OVER 20 FOOT SPAN",$N16="RETAINING WALLS")</formula>
    </cfRule>
    <cfRule type="expression" dxfId="45" priority="60">
      <formula>OR($N16="STRUCTURE REPAIRS CONTINUED",$N16="STRUCTURES 20 FOOT SPAN AND UNDER CONTINUED",$N16="STRUCTURES OVER 20 FOOT SPAN CONTINUED",$N16="RETAINING WALLS CONTINUED")</formula>
    </cfRule>
    <cfRule type="expression" dxfId="44" priority="61">
      <formula>OR(LEFT($N16,15)="RETAINING WALLS",LEFT($N16,32)="STRUCTURE 20 FOOT SPAN AND UNDER",LEFT($N16,27)="STRUCTURE OVER 20 FOOT SPAN",LEFT($N16,16)="STRUCTURE REPAIR")</formula>
    </cfRule>
  </conditionalFormatting>
  <conditionalFormatting sqref="Q2:AD2 AH2">
    <cfRule type="expression" dxfId="43" priority="488">
      <formula>IF(LEN(TRIM($N16)&gt;6),IF(RIGHT(TRIM($N16),6)=" CONT.",IF(VLOOKUP(LEFT(TRIM($N16),LEN(TRIM($N16))-6),HEADINGS,1,FALSE)=LEFT(TRIM($N16),LEN(TRIM($N16))-6),1,0)))</formula>
    </cfRule>
    <cfRule type="expression" dxfId="42" priority="489">
      <formula>IF(LEN(TRIM($N16)&gt;10),IF(RIGHT(TRIM($N16),10)=" CONTINUED",IF(VLOOKUP(LEFT(TRIM($N16),LEN(TRIM($N16))-10),HEADINGS,1,FALSE)=LEFT(TRIM($N16),LEN(TRIM($N16))-10),1,0)))</formula>
    </cfRule>
    <cfRule type="expression" dxfId="41" priority="490">
      <formula>OR($N16="STRUCTURE REPAIRS",$N16="STRUCTURES 20 FOOT SPAN AND UNDER",$N16="STRUCTURES OVER 20 FOOT SPAN",$N16="RETAINING WALLS")</formula>
    </cfRule>
    <cfRule type="expression" dxfId="40" priority="491">
      <formula>OR($N16="STRUCTURE REPAIRS CONT.",$N16="STRUCTURES 20 FOOT SPAN AND UNDER CONT.",$N16="STRUCTURES OVER 20 FOOT SPAN CONT.",$N16="RETAINING WALLS CONT.")</formula>
    </cfRule>
    <cfRule type="expression" dxfId="39" priority="492">
      <formula>OR($N16="STRUCTURE REPAIRS CONTINUED",$N16="STRUCTURES 20 FOOT SPAN AND UNDER CONTINUED",$N16="STRUCTURES OVER 20 FOOT SPAN CONTINUED",$N16="RETAINING WALLS CONTINUED")</formula>
    </cfRule>
    <cfRule type="expression" dxfId="38" priority="493">
      <formula>OR(LEFT($N16,15)="RETAINING WALLS",LEFT($N16,32)="STRUCTURE 20 FOOT SPAN AND UNDER",LEFT($N16,27)="STRUCTURE OVER 20 FOOT SPAN",LEFT($N16,16)="STRUCTURE REPAIR")</formula>
    </cfRule>
    <cfRule type="expression" dxfId="37" priority="494">
      <formula>$CH16="ITEM CODE DOES NOT EXIST IN ITEM MASTER"</formula>
    </cfRule>
    <cfRule type="expression" dxfId="36" priority="495">
      <formula>IF(VLOOKUP($N16,HEADINGS,1,0)=$N16,1,0)</formula>
    </cfRule>
    <cfRule type="expression" dxfId="35" priority="496">
      <formula>IF(LEN(TRIM($N16)&gt;11),IF(RIGHT(TRIM($N16),11)=" ALTERNATES",IF(VLOOKUP(LEFT(TRIM($N16),LEN(TRIM($N16))-11),HEADINGS,1,FALSE)=LEFT(TRIM($N16),LEN(TRIM($N16))-11),1,0)))</formula>
    </cfRule>
    <cfRule type="expression" dxfId="34" priority="497">
      <formula>IF(LEN(TRIM($N16)&gt;8),IF(RIGHT(TRIM($N16),8)=" (CONT.)",IF(VLOOKUP(LEFT(TRIM($N16),LEN(TRIM($N16))-8),HEADINGS,1,FALSE)=LEFT(TRIM($N16),LEN(TRIM($N16))-8),1,0)))</formula>
    </cfRule>
    <cfRule type="expression" dxfId="33" priority="498">
      <formula>IF(LEN(TRIM($N16)&gt;13),IF(LEFT(TRIM($N16),13)="ITEMS OF WORK",1,0))</formula>
    </cfRule>
  </conditionalFormatting>
  <conditionalFormatting sqref="AE2:AG2">
    <cfRule type="expression" dxfId="32" priority="38">
      <formula>OR($N2="STRUCTURE REPAIRS CONTINUED",$N2="STRUCTURES 20 FOOT SPAN AND UNDER CONTINUED",$N2="STRUCTURES OVER 20 FOOT SPAN CONTINUED",$N2="RETAINING WALLS CONTINUED")</formula>
    </cfRule>
    <cfRule type="expression" dxfId="31" priority="37">
      <formula>OR($N2="STRUCTURE REPAIRS CONT.",$N2="STRUCTURES 20 FOOT SPAN AND UNDER CONT.",$N2="STRUCTURES OVER 20 FOOT SPAN CONT.",$N2="RETAINING WALLS CONT.")</formula>
    </cfRule>
    <cfRule type="expression" dxfId="30" priority="36">
      <formula>OR($N2="STRUCTURE REPAIRS",$N2="STRUCTURES 20 FOOT SPAN AND UNDER",$N2="STRUCTURES OVER 20 FOOT SPAN",$N2="RETAINING WALLS")</formula>
    </cfRule>
    <cfRule type="expression" dxfId="29" priority="35">
      <formula>IF(LEN(TRIM($N2)&gt;10),IF(RIGHT(TRIM($N2),10)=" CONTINUED",IF(VLOOKUP(LEFT(TRIM($N2),LEN(TRIM($N2))-10),HEADINGS,1,FALSE)=LEFT(TRIM($N2),LEN(TRIM($N2))-10),1,0)))</formula>
    </cfRule>
    <cfRule type="expression" dxfId="28" priority="34">
      <formula>IF(LEN(TRIM($N2)&gt;6),IF(RIGHT(TRIM($N2),6)=" CONT.",IF(VLOOKUP(LEFT(TRIM($N2),LEN(TRIM($N2))-6),HEADINGS,1,FALSE)=LEFT(TRIM($N2),LEN(TRIM($N2))-6),1,0)))</formula>
    </cfRule>
    <cfRule type="expression" dxfId="27" priority="39">
      <formula>OR(LEFT($N2,15)="RETAINING WALLS",LEFT($N2,32)="STRUCTURE 20 FOOT SPAN AND UNDER",LEFT($N2,27)="STRUCTURE OVER 20 FOOT SPAN",LEFT($N2,16)="STRUCTURE REPAIR")</formula>
    </cfRule>
    <cfRule type="expression" dxfId="26" priority="44">
      <formula>IF(LEN(TRIM($N2)&gt;13),IF(LEFT(TRIM($N2),13)="ITEMS OF WORK",1,0))</formula>
    </cfRule>
    <cfRule type="expression" dxfId="25" priority="43">
      <formula>IF(LEN(TRIM($N2)&gt;8),IF(RIGHT(TRIM($N2),8)=" (CONT.)",IF(VLOOKUP(LEFT(TRIM($N2),LEN(TRIM($N2))-8),HEADINGS,1,FALSE)=LEFT(TRIM($N2),LEN(TRIM($N2))-8),1,0)))</formula>
    </cfRule>
    <cfRule type="expression" dxfId="24" priority="42">
      <formula>IF(LEN(TRIM($N2)&gt;11),IF(RIGHT(TRIM($N2),11)=" ALTERNATES",IF(VLOOKUP(LEFT(TRIM($N2),LEN(TRIM($N2))-11),HEADINGS,1,FALSE)=LEFT(TRIM($N2),LEN(TRIM($N2))-11),1,0)))</formula>
    </cfRule>
    <cfRule type="expression" dxfId="23" priority="41">
      <formula>IF(VLOOKUP($N2,HEADINGS,1,0)=$N2,1,0)</formula>
    </cfRule>
    <cfRule type="expression" dxfId="22" priority="40">
      <formula>$CH2="ITEM CODE DOES NOT EXIST IN ITEM MASTER"</formula>
    </cfRule>
  </conditionalFormatting>
  <pageMargins left="0.7" right="0.7" top="0.75" bottom="0.75" header="0.3" footer="0.3"/>
  <pageSetup paperSize="256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51AE7-5521-461E-A4B4-02B84AE44B94}">
  <dimension ref="A1:BP37"/>
  <sheetViews>
    <sheetView zoomScale="70" zoomScaleNormal="70" workbookViewId="0">
      <selection activeCell="N7" sqref="N7"/>
    </sheetView>
  </sheetViews>
  <sheetFormatPr defaultRowHeight="15" x14ac:dyDescent="0.25"/>
  <cols>
    <col min="1" max="1" width="49.140625" customWidth="1"/>
    <col min="2" max="2" width="7.28515625" customWidth="1"/>
    <col min="3" max="10" width="6.7109375" customWidth="1"/>
    <col min="11" max="11" width="8.28515625" customWidth="1"/>
    <col min="12" max="12" width="8.5703125" bestFit="1" customWidth="1"/>
    <col min="13" max="13" width="7.85546875" bestFit="1" customWidth="1"/>
    <col min="14" max="14" width="7.7109375" customWidth="1"/>
    <col min="15" max="15" width="7.28515625" customWidth="1"/>
    <col min="16" max="24" width="6.7109375" customWidth="1"/>
    <col min="25" max="25" width="7.7109375" customWidth="1"/>
    <col min="26" max="26" width="7.85546875" bestFit="1" customWidth="1"/>
    <col min="27" max="27" width="6.7109375" customWidth="1"/>
    <col min="28" max="28" width="7.28515625" customWidth="1"/>
    <col min="29" max="33" width="6.7109375" customWidth="1"/>
    <col min="34" max="34" width="7.85546875" customWidth="1"/>
    <col min="35" max="35" width="8.140625" customWidth="1"/>
    <col min="36" max="36" width="7.7109375" customWidth="1"/>
    <col min="37" max="37" width="7.85546875" bestFit="1" customWidth="1"/>
    <col min="38" max="67" width="6.7109375" customWidth="1"/>
  </cols>
  <sheetData>
    <row r="1" spans="1:68" x14ac:dyDescent="0.25">
      <c r="A1" s="36" t="s">
        <v>0</v>
      </c>
      <c r="B1" s="1">
        <v>625</v>
      </c>
      <c r="C1" s="1">
        <v>625</v>
      </c>
      <c r="D1" s="1">
        <v>625</v>
      </c>
      <c r="E1" s="1">
        <v>625</v>
      </c>
      <c r="F1" s="1">
        <v>625</v>
      </c>
      <c r="G1" s="1">
        <v>625</v>
      </c>
      <c r="H1" s="1">
        <v>625</v>
      </c>
      <c r="I1" s="1">
        <v>625</v>
      </c>
      <c r="J1" s="1">
        <v>625</v>
      </c>
      <c r="K1" s="1">
        <v>625</v>
      </c>
      <c r="L1" s="1">
        <v>625</v>
      </c>
      <c r="M1" s="1">
        <v>625</v>
      </c>
      <c r="N1" s="1">
        <v>625</v>
      </c>
      <c r="O1" s="1">
        <v>625</v>
      </c>
      <c r="P1" s="1">
        <v>625</v>
      </c>
      <c r="Q1" s="1">
        <v>625</v>
      </c>
      <c r="R1" s="1">
        <v>625</v>
      </c>
      <c r="S1" s="1">
        <v>625</v>
      </c>
      <c r="T1" s="1">
        <v>625</v>
      </c>
      <c r="U1" s="1">
        <v>625</v>
      </c>
      <c r="V1" s="1">
        <v>625</v>
      </c>
      <c r="W1" s="1">
        <v>625</v>
      </c>
      <c r="X1" s="1">
        <v>625</v>
      </c>
      <c r="Y1" s="1">
        <v>625</v>
      </c>
      <c r="Z1" s="1">
        <v>625</v>
      </c>
      <c r="AA1" s="1">
        <v>625</v>
      </c>
      <c r="AB1" s="1">
        <v>625</v>
      </c>
      <c r="AC1" s="1">
        <v>625</v>
      </c>
      <c r="AD1" s="1">
        <v>632</v>
      </c>
      <c r="AE1" s="1">
        <v>632</v>
      </c>
      <c r="AF1" s="1">
        <v>632</v>
      </c>
      <c r="AG1" s="1">
        <v>632</v>
      </c>
      <c r="AH1" s="1">
        <v>632</v>
      </c>
      <c r="AI1" s="1">
        <v>632</v>
      </c>
      <c r="AJ1" s="1">
        <v>632</v>
      </c>
      <c r="AK1" s="10">
        <v>632</v>
      </c>
      <c r="AL1" s="6">
        <v>632</v>
      </c>
      <c r="AM1" s="1">
        <v>632</v>
      </c>
      <c r="AN1" s="1">
        <v>632</v>
      </c>
      <c r="AO1" s="1">
        <v>632</v>
      </c>
      <c r="AP1" s="1">
        <v>632</v>
      </c>
      <c r="AQ1" s="1">
        <v>632</v>
      </c>
      <c r="AR1" s="1">
        <v>632</v>
      </c>
      <c r="AS1" s="1">
        <v>632</v>
      </c>
      <c r="AT1" s="1">
        <v>632</v>
      </c>
      <c r="AU1" s="1">
        <v>632</v>
      </c>
      <c r="AV1" s="1">
        <v>632</v>
      </c>
      <c r="AW1" s="1">
        <v>632</v>
      </c>
      <c r="AX1" s="1">
        <v>632</v>
      </c>
      <c r="AY1" s="1">
        <v>632</v>
      </c>
      <c r="AZ1" s="1">
        <v>633</v>
      </c>
      <c r="BA1" s="1">
        <v>633</v>
      </c>
      <c r="BB1" s="1">
        <v>633</v>
      </c>
      <c r="BC1" s="1">
        <v>633</v>
      </c>
      <c r="BD1" s="1">
        <v>633</v>
      </c>
      <c r="BE1" s="1">
        <v>633</v>
      </c>
      <c r="BF1" s="1">
        <v>809</v>
      </c>
      <c r="BG1" s="1">
        <v>809</v>
      </c>
      <c r="BH1" s="1">
        <v>809</v>
      </c>
      <c r="BI1" s="1">
        <v>809</v>
      </c>
      <c r="BJ1" s="1">
        <v>809</v>
      </c>
      <c r="BK1" s="1">
        <v>809</v>
      </c>
      <c r="BL1" s="1">
        <v>809</v>
      </c>
      <c r="BM1" s="4">
        <v>809</v>
      </c>
      <c r="BN1" s="4">
        <v>809</v>
      </c>
      <c r="BO1" s="4">
        <v>816</v>
      </c>
      <c r="BP1" s="4">
        <v>816</v>
      </c>
    </row>
    <row r="2" spans="1:68" ht="348.75" customHeight="1" x14ac:dyDescent="0.25">
      <c r="A2" s="37"/>
      <c r="B2" s="2" t="s">
        <v>24</v>
      </c>
      <c r="C2" s="2" t="s">
        <v>25</v>
      </c>
      <c r="D2" s="2" t="s">
        <v>56</v>
      </c>
      <c r="E2" s="2" t="s">
        <v>79</v>
      </c>
      <c r="F2" s="2" t="s">
        <v>75</v>
      </c>
      <c r="G2" s="2" t="s">
        <v>80</v>
      </c>
      <c r="H2" s="2" t="s">
        <v>55</v>
      </c>
      <c r="I2" s="2" t="s">
        <v>73</v>
      </c>
      <c r="J2" s="2" t="s">
        <v>51</v>
      </c>
      <c r="K2" s="2" t="s">
        <v>52</v>
      </c>
      <c r="L2" s="2" t="s">
        <v>53</v>
      </c>
      <c r="M2" s="2" t="s">
        <v>54</v>
      </c>
      <c r="N2" s="2" t="s">
        <v>74</v>
      </c>
      <c r="O2" s="2" t="s">
        <v>26</v>
      </c>
      <c r="P2" s="2" t="s">
        <v>44</v>
      </c>
      <c r="Q2" s="2" t="s">
        <v>45</v>
      </c>
      <c r="R2" s="2" t="s">
        <v>46</v>
      </c>
      <c r="S2" s="2" t="s">
        <v>50</v>
      </c>
      <c r="T2" s="2" t="s">
        <v>47</v>
      </c>
      <c r="U2" s="2" t="s">
        <v>48</v>
      </c>
      <c r="V2" s="3" t="s">
        <v>27</v>
      </c>
      <c r="W2" s="3" t="s">
        <v>81</v>
      </c>
      <c r="X2" s="2" t="s">
        <v>1</v>
      </c>
      <c r="Y2" s="2" t="s">
        <v>2</v>
      </c>
      <c r="Z2" s="2" t="s">
        <v>3</v>
      </c>
      <c r="AA2" s="2" t="s">
        <v>4</v>
      </c>
      <c r="AB2" s="2" t="s">
        <v>60</v>
      </c>
      <c r="AC2" s="3" t="s">
        <v>5</v>
      </c>
      <c r="AD2" s="3" t="s">
        <v>67</v>
      </c>
      <c r="AE2" s="3" t="s">
        <v>61</v>
      </c>
      <c r="AF2" s="3" t="s">
        <v>6</v>
      </c>
      <c r="AG2" s="3" t="s">
        <v>30</v>
      </c>
      <c r="AH2" s="3" t="s">
        <v>31</v>
      </c>
      <c r="AI2" s="3" t="s">
        <v>32</v>
      </c>
      <c r="AJ2" s="3" t="s">
        <v>7</v>
      </c>
      <c r="AK2" s="11" t="s">
        <v>34</v>
      </c>
      <c r="AL2" s="7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</row>
    <row r="3" spans="1:68" x14ac:dyDescent="0.25">
      <c r="A3" s="37"/>
      <c r="B3" s="4" t="s">
        <v>13</v>
      </c>
      <c r="C3" s="4" t="s">
        <v>13</v>
      </c>
      <c r="D3" s="4" t="s">
        <v>13</v>
      </c>
      <c r="E3" s="4" t="s">
        <v>13</v>
      </c>
      <c r="F3" s="4" t="s">
        <v>13</v>
      </c>
      <c r="G3" s="4" t="s">
        <v>13</v>
      </c>
      <c r="H3" s="4" t="s">
        <v>13</v>
      </c>
      <c r="I3" s="4" t="s">
        <v>13</v>
      </c>
      <c r="J3" s="4" t="s">
        <v>13</v>
      </c>
      <c r="K3" s="4" t="s">
        <v>13</v>
      </c>
      <c r="L3" s="4" t="s">
        <v>13</v>
      </c>
      <c r="M3" s="4" t="s">
        <v>13</v>
      </c>
      <c r="N3" s="4" t="s">
        <v>12</v>
      </c>
      <c r="O3" s="4" t="s">
        <v>12</v>
      </c>
      <c r="P3" s="4" t="s">
        <v>12</v>
      </c>
      <c r="Q3" s="4" t="s">
        <v>12</v>
      </c>
      <c r="R3" s="4" t="s">
        <v>12</v>
      </c>
      <c r="S3" s="4" t="s">
        <v>12</v>
      </c>
      <c r="T3" s="4" t="s">
        <v>12</v>
      </c>
      <c r="U3" s="4" t="s">
        <v>12</v>
      </c>
      <c r="V3" s="4" t="s">
        <v>13</v>
      </c>
      <c r="W3" s="4" t="s">
        <v>13</v>
      </c>
      <c r="X3" s="4" t="s">
        <v>12</v>
      </c>
      <c r="Y3" s="4" t="s">
        <v>13</v>
      </c>
      <c r="Z3" s="4" t="s">
        <v>13</v>
      </c>
      <c r="AA3" s="4" t="s">
        <v>13</v>
      </c>
      <c r="AB3" s="4" t="s">
        <v>12</v>
      </c>
      <c r="AC3" s="4" t="s">
        <v>13</v>
      </c>
      <c r="AD3" s="4" t="s">
        <v>12</v>
      </c>
      <c r="AE3" s="4" t="s">
        <v>13</v>
      </c>
      <c r="AF3" s="4" t="s">
        <v>13</v>
      </c>
      <c r="AG3" s="4" t="s">
        <v>13</v>
      </c>
      <c r="AH3" s="4" t="s">
        <v>13</v>
      </c>
      <c r="AI3" s="4" t="s">
        <v>13</v>
      </c>
      <c r="AJ3" s="4" t="s">
        <v>13</v>
      </c>
      <c r="AK3" s="12" t="s">
        <v>12</v>
      </c>
      <c r="AL3" s="8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</row>
    <row r="4" spans="1:68" x14ac:dyDescent="0.25">
      <c r="A4" s="13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9"/>
      <c r="AE4" s="22"/>
      <c r="AF4" s="22"/>
      <c r="AG4" s="22"/>
      <c r="AH4" s="22"/>
      <c r="AI4" s="22"/>
      <c r="AJ4" s="22"/>
      <c r="AK4" s="20"/>
    </row>
    <row r="5" spans="1:68" x14ac:dyDescent="0.25">
      <c r="A5" s="15" t="s">
        <v>68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>
        <f>4+7</f>
        <v>11</v>
      </c>
      <c r="Q5" s="23"/>
      <c r="R5" s="23">
        <f>4+7</f>
        <v>11</v>
      </c>
      <c r="S5" s="23"/>
      <c r="T5" s="23"/>
      <c r="U5" s="23"/>
      <c r="V5" s="23"/>
      <c r="W5" s="23"/>
      <c r="X5" s="23">
        <f>4+7</f>
        <v>11</v>
      </c>
      <c r="Y5" s="23"/>
      <c r="Z5" s="23">
        <v>1</v>
      </c>
      <c r="AA5" s="23">
        <v>5</v>
      </c>
      <c r="AB5" s="23">
        <f>X5</f>
        <v>11</v>
      </c>
      <c r="AC5" s="23">
        <v>1</v>
      </c>
      <c r="AD5" s="9"/>
      <c r="AE5" s="23">
        <v>2</v>
      </c>
      <c r="AF5" s="23">
        <v>8</v>
      </c>
      <c r="AG5" s="23"/>
      <c r="AH5" s="23"/>
      <c r="AI5" s="23"/>
      <c r="AJ5" s="23">
        <v>10</v>
      </c>
      <c r="AK5" s="19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</row>
    <row r="6" spans="1:68" x14ac:dyDescent="0.25">
      <c r="A6" s="15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9"/>
      <c r="AE6" s="23"/>
      <c r="AF6" s="23"/>
      <c r="AG6" s="23"/>
      <c r="AH6" s="23"/>
      <c r="AI6" s="23"/>
      <c r="AJ6" s="23"/>
      <c r="AK6" s="19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</row>
    <row r="7" spans="1:68" x14ac:dyDescent="0.25">
      <c r="A7" s="15" t="s">
        <v>70</v>
      </c>
      <c r="B7" s="23">
        <f>2+2+2</f>
        <v>6</v>
      </c>
      <c r="C7" s="23">
        <f>3+3+3+3+3</f>
        <v>15</v>
      </c>
      <c r="D7" s="23"/>
      <c r="E7" s="23"/>
      <c r="F7" s="23"/>
      <c r="G7" s="23"/>
      <c r="H7" s="23"/>
      <c r="I7" s="23"/>
      <c r="J7" s="23"/>
      <c r="K7" s="23"/>
      <c r="L7" s="23">
        <v>1</v>
      </c>
      <c r="M7" s="23">
        <v>2</v>
      </c>
      <c r="N7" s="23">
        <f>3*((10+6+5+9+5)+(5+10+5+52+5+50+5+15+5)+(5+73+5+4+5))</f>
        <v>837</v>
      </c>
      <c r="O7" s="23">
        <f>3*((26+20+5)+(26+20+5)+(26+18+5))</f>
        <v>453</v>
      </c>
      <c r="P7" s="23"/>
      <c r="Q7" s="23">
        <f>9+10+52+15+4</f>
        <v>90</v>
      </c>
      <c r="R7" s="23">
        <v>6</v>
      </c>
      <c r="S7" s="23"/>
      <c r="T7" s="23">
        <f>50+73</f>
        <v>123</v>
      </c>
      <c r="U7" s="23"/>
      <c r="V7" s="23">
        <v>3</v>
      </c>
      <c r="W7" s="23"/>
      <c r="X7" s="23">
        <f>Q7+R7</f>
        <v>96</v>
      </c>
      <c r="Y7" s="23">
        <v>3</v>
      </c>
      <c r="Z7" s="23">
        <v>2</v>
      </c>
      <c r="AA7" s="23">
        <v>4</v>
      </c>
      <c r="AB7" s="23">
        <f>X7</f>
        <v>96</v>
      </c>
      <c r="AC7" s="23">
        <v>1</v>
      </c>
      <c r="AD7" s="9"/>
      <c r="AE7" s="23"/>
      <c r="AF7" s="23">
        <v>8</v>
      </c>
      <c r="AG7" s="23"/>
      <c r="AH7" s="23"/>
      <c r="AI7" s="23"/>
      <c r="AJ7" s="23">
        <v>8</v>
      </c>
      <c r="AK7" s="19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</row>
    <row r="8" spans="1:68" x14ac:dyDescent="0.25">
      <c r="A8" s="15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9"/>
      <c r="AE8" s="23"/>
      <c r="AF8" s="23"/>
      <c r="AG8" s="23"/>
      <c r="AH8" s="23"/>
      <c r="AI8" s="23"/>
      <c r="AJ8" s="23"/>
      <c r="AK8" s="19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</row>
    <row r="9" spans="1:68" x14ac:dyDescent="0.25">
      <c r="A9" s="15" t="s">
        <v>72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>
        <f>X9</f>
        <v>91</v>
      </c>
      <c r="R9" s="23"/>
      <c r="S9" s="23"/>
      <c r="T9" s="23">
        <f>23+20</f>
        <v>43</v>
      </c>
      <c r="U9" s="23"/>
      <c r="V9" s="23"/>
      <c r="W9" s="23"/>
      <c r="X9" s="23">
        <f>17+7+33+25+9</f>
        <v>91</v>
      </c>
      <c r="Y9" s="23"/>
      <c r="Z9" s="23"/>
      <c r="AA9" s="23">
        <v>7</v>
      </c>
      <c r="AB9" s="23">
        <f>X9</f>
        <v>91</v>
      </c>
      <c r="AC9" s="23"/>
      <c r="AD9" s="4">
        <v>100</v>
      </c>
      <c r="AE9" s="23"/>
      <c r="AF9" s="23"/>
      <c r="AG9" s="23">
        <v>8</v>
      </c>
      <c r="AH9" s="23">
        <v>8</v>
      </c>
      <c r="AI9" s="23">
        <v>8</v>
      </c>
      <c r="AJ9" s="23"/>
      <c r="AK9" s="19">
        <f>(10+35+5+20+4+5)+(10+33+5+33+4+5)+(10+33+5+60+5+25+4+5)+(10+33+5+60+5+25+4+5)+(10+35+5+80+5+7+4+5)+(10+35+5+80+5+16+4+5)+(10+25+100+25+9+4+5)+(10+25+100+25+23+4+5)</f>
        <v>1144</v>
      </c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</row>
    <row r="10" spans="1:68" x14ac:dyDescent="0.25">
      <c r="A10" s="15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9"/>
      <c r="AE10" s="23"/>
      <c r="AF10" s="23"/>
      <c r="AG10" s="23"/>
      <c r="AH10" s="23"/>
      <c r="AI10" s="23"/>
      <c r="AJ10" s="23"/>
      <c r="AK10" s="19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</row>
    <row r="11" spans="1:68" x14ac:dyDescent="0.25">
      <c r="A11" s="15" t="s">
        <v>71</v>
      </c>
      <c r="B11" s="23">
        <f>2*4</f>
        <v>8</v>
      </c>
      <c r="C11" s="23">
        <f>(3*5)+3</f>
        <v>18</v>
      </c>
      <c r="D11" s="23"/>
      <c r="E11" s="23"/>
      <c r="F11" s="23">
        <v>1</v>
      </c>
      <c r="G11" s="23">
        <v>1</v>
      </c>
      <c r="H11" s="23">
        <v>2</v>
      </c>
      <c r="I11" s="23"/>
      <c r="J11" s="23">
        <v>2</v>
      </c>
      <c r="K11" s="23"/>
      <c r="L11" s="23"/>
      <c r="M11" s="23"/>
      <c r="N11" s="23">
        <f>3*((10+12+5+13)+(10+12+5+56+5+75+5+21+5)+(10+12+5+56+5+17+5)+(10+12+5+20+5+50+5+13+5))</f>
        <v>1407</v>
      </c>
      <c r="O11" s="23">
        <f>(3*(27+10+5))+(3*(24+10+5))+(3*(30+8+5))+(3*(14+5))</f>
        <v>429</v>
      </c>
      <c r="P11" s="23">
        <f>12+13+9+8+12+13+5+27</f>
        <v>99</v>
      </c>
      <c r="Q11" s="23"/>
      <c r="R11" s="23">
        <f>12+12+13+20</f>
        <v>57</v>
      </c>
      <c r="S11" s="23">
        <f>46+17+6+50+28</f>
        <v>147</v>
      </c>
      <c r="T11" s="23"/>
      <c r="U11" s="23">
        <f>75+56+21</f>
        <v>152</v>
      </c>
      <c r="V11" s="23">
        <v>3</v>
      </c>
      <c r="W11" s="23">
        <v>1</v>
      </c>
      <c r="X11" s="23">
        <f>SUM(P11:R11)</f>
        <v>156</v>
      </c>
      <c r="Y11" s="23"/>
      <c r="Z11" s="23">
        <f>2+2+1</f>
        <v>5</v>
      </c>
      <c r="AA11" s="23">
        <f>3+2</f>
        <v>5</v>
      </c>
      <c r="AB11" s="23">
        <f>X11</f>
        <v>156</v>
      </c>
      <c r="AC11" s="23">
        <v>1</v>
      </c>
      <c r="AD11" s="9"/>
      <c r="AE11" s="23"/>
      <c r="AF11" s="23">
        <v>8</v>
      </c>
      <c r="AG11" s="23">
        <v>8</v>
      </c>
      <c r="AH11" s="23">
        <v>8</v>
      </c>
      <c r="AI11" s="23">
        <v>8</v>
      </c>
      <c r="AJ11" s="23">
        <v>8</v>
      </c>
      <c r="AK11" s="19">
        <f>(10+12+9+4+5)+(10+12+56+5+6+4+5)+(10+12+56+5+75+5+46+4+5)+(10+12+56+5+75+5+5+4+5)+(10+12+56+5+75+5+27+4+5)+(10+12+20+5+8+4+5)+(10+12+20+5+50+5+12+4+5)+(10+12+20+5+50+5+28+4+5)</f>
        <v>1058</v>
      </c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</row>
    <row r="12" spans="1:68" x14ac:dyDescent="0.25">
      <c r="A12" s="15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9"/>
      <c r="AE12" s="23"/>
      <c r="AF12" s="23"/>
      <c r="AG12" s="23"/>
      <c r="AH12" s="23"/>
      <c r="AI12" s="23"/>
      <c r="AJ12" s="23"/>
      <c r="AK12" s="19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</row>
    <row r="13" spans="1:68" x14ac:dyDescent="0.25">
      <c r="A13" s="15" t="s">
        <v>69</v>
      </c>
      <c r="B13" s="23">
        <f>2*4</f>
        <v>8</v>
      </c>
      <c r="C13" s="23">
        <f>3*6</f>
        <v>18</v>
      </c>
      <c r="D13" s="23">
        <v>1</v>
      </c>
      <c r="E13" s="23">
        <v>1</v>
      </c>
      <c r="F13" s="23"/>
      <c r="G13" s="23"/>
      <c r="H13" s="23">
        <v>2</v>
      </c>
      <c r="I13" s="23">
        <v>1</v>
      </c>
      <c r="J13" s="23"/>
      <c r="K13" s="23">
        <v>1</v>
      </c>
      <c r="L13" s="23">
        <v>1</v>
      </c>
      <c r="M13" s="23"/>
      <c r="N13" s="23">
        <f>3*((10+9)+(10+5+49+5+33+5+45+5+17)+(10+5+49+5+10)+(10+5+49+5+33+5+45+5+25+5+50+5+4))</f>
        <v>1554</v>
      </c>
      <c r="O13" s="23">
        <f>(3*(26+12+5))+(3*(26+15+5))+(3*(30+8+5))+(3*(14+5))</f>
        <v>453</v>
      </c>
      <c r="P13" s="23">
        <f>14+9</f>
        <v>23</v>
      </c>
      <c r="Q13" s="23"/>
      <c r="R13" s="23">
        <f>9+5</f>
        <v>14</v>
      </c>
      <c r="S13" s="23">
        <f>10+15+16+14+50+4+8</f>
        <v>117</v>
      </c>
      <c r="T13" s="23"/>
      <c r="U13" s="23">
        <f>49+33+45+17+25</f>
        <v>169</v>
      </c>
      <c r="V13" s="23">
        <v>3</v>
      </c>
      <c r="W13" s="23">
        <v>1</v>
      </c>
      <c r="X13" s="23">
        <f>SUM(P13:R13)</f>
        <v>37</v>
      </c>
      <c r="Y13" s="23">
        <v>1</v>
      </c>
      <c r="Z13" s="23">
        <v>5</v>
      </c>
      <c r="AA13" s="23">
        <f>3+2</f>
        <v>5</v>
      </c>
      <c r="AB13" s="23">
        <f>X13</f>
        <v>37</v>
      </c>
      <c r="AC13" s="23">
        <v>1</v>
      </c>
      <c r="AD13" s="9"/>
      <c r="AE13" s="23"/>
      <c r="AF13" s="23">
        <v>8</v>
      </c>
      <c r="AG13" s="23">
        <v>6</v>
      </c>
      <c r="AH13" s="23">
        <v>6</v>
      </c>
      <c r="AI13" s="23">
        <v>6</v>
      </c>
      <c r="AJ13" s="23">
        <v>8</v>
      </c>
      <c r="AK13" s="19">
        <f>(10+14+4+5)+(10+5+49+5+15+4+5)+(10+5+49+5+33+5+45+5+16+4+5)+(10+5+49+5+33+5+45+5+25+5+14+4+5)+(10+5+49+5+33+5+45+5+25+5+50+4+4+5)</f>
        <v>768</v>
      </c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</row>
    <row r="14" spans="1:68" x14ac:dyDescent="0.25">
      <c r="A14" s="15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9"/>
      <c r="AE14" s="23"/>
      <c r="AF14" s="23"/>
      <c r="AG14" s="23"/>
      <c r="AH14" s="23"/>
      <c r="AI14" s="23"/>
      <c r="AJ14" s="23"/>
      <c r="AK14" s="19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</row>
    <row r="15" spans="1:68" ht="15.75" thickBot="1" x14ac:dyDescent="0.3">
      <c r="A15" s="16" t="s">
        <v>42</v>
      </c>
      <c r="B15" s="24">
        <f>SUM(B4:B14)</f>
        <v>22</v>
      </c>
      <c r="C15" s="24">
        <f t="shared" ref="C15:AK15" si="0">SUM(C4:C14)</f>
        <v>51</v>
      </c>
      <c r="D15" s="24">
        <f t="shared" si="0"/>
        <v>1</v>
      </c>
      <c r="E15" s="24">
        <f t="shared" si="0"/>
        <v>1</v>
      </c>
      <c r="F15" s="24">
        <f t="shared" si="0"/>
        <v>1</v>
      </c>
      <c r="G15" s="24">
        <f t="shared" si="0"/>
        <v>1</v>
      </c>
      <c r="H15" s="24">
        <f t="shared" si="0"/>
        <v>4</v>
      </c>
      <c r="I15" s="24">
        <f t="shared" si="0"/>
        <v>1</v>
      </c>
      <c r="J15" s="24">
        <f t="shared" si="0"/>
        <v>2</v>
      </c>
      <c r="K15" s="24">
        <f t="shared" si="0"/>
        <v>1</v>
      </c>
      <c r="L15" s="24">
        <f t="shared" si="0"/>
        <v>2</v>
      </c>
      <c r="M15" s="24">
        <f t="shared" si="0"/>
        <v>2</v>
      </c>
      <c r="N15" s="24">
        <f t="shared" si="0"/>
        <v>3798</v>
      </c>
      <c r="O15" s="24">
        <f t="shared" si="0"/>
        <v>1335</v>
      </c>
      <c r="P15" s="24">
        <f t="shared" si="0"/>
        <v>133</v>
      </c>
      <c r="Q15" s="24">
        <f t="shared" si="0"/>
        <v>181</v>
      </c>
      <c r="R15" s="24">
        <f t="shared" ref="R15:AC15" si="1">SUM(R4:R14)</f>
        <v>88</v>
      </c>
      <c r="S15" s="24">
        <f t="shared" si="1"/>
        <v>264</v>
      </c>
      <c r="T15" s="24">
        <f t="shared" si="1"/>
        <v>166</v>
      </c>
      <c r="U15" s="24">
        <f t="shared" si="1"/>
        <v>321</v>
      </c>
      <c r="V15" s="24">
        <f t="shared" si="1"/>
        <v>9</v>
      </c>
      <c r="W15" s="24">
        <f t="shared" si="1"/>
        <v>2</v>
      </c>
      <c r="X15" s="24">
        <f t="shared" si="1"/>
        <v>391</v>
      </c>
      <c r="Y15" s="24">
        <f t="shared" si="1"/>
        <v>4</v>
      </c>
      <c r="Z15" s="24">
        <f t="shared" si="1"/>
        <v>13</v>
      </c>
      <c r="AA15" s="24">
        <f t="shared" si="1"/>
        <v>26</v>
      </c>
      <c r="AB15" s="24">
        <f t="shared" si="1"/>
        <v>391</v>
      </c>
      <c r="AC15" s="24">
        <f t="shared" si="1"/>
        <v>4</v>
      </c>
      <c r="AD15" s="24">
        <f t="shared" si="0"/>
        <v>100</v>
      </c>
      <c r="AE15" s="24">
        <f t="shared" si="0"/>
        <v>2</v>
      </c>
      <c r="AF15" s="24">
        <f t="shared" si="0"/>
        <v>32</v>
      </c>
      <c r="AG15" s="24">
        <f t="shared" si="0"/>
        <v>22</v>
      </c>
      <c r="AH15" s="24">
        <f t="shared" si="0"/>
        <v>22</v>
      </c>
      <c r="AI15" s="24">
        <f t="shared" si="0"/>
        <v>22</v>
      </c>
      <c r="AJ15" s="24">
        <f t="shared" si="0"/>
        <v>34</v>
      </c>
      <c r="AK15" s="21">
        <f t="shared" si="0"/>
        <v>2970</v>
      </c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</row>
    <row r="16" spans="1:68" ht="15.75" thickBot="1" x14ac:dyDescent="0.3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4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</row>
    <row r="17" spans="1:68" x14ac:dyDescent="0.25">
      <c r="A17" s="36" t="s">
        <v>0</v>
      </c>
      <c r="B17" s="25">
        <v>632</v>
      </c>
      <c r="C17" s="25">
        <v>632</v>
      </c>
      <c r="D17" s="25">
        <v>632</v>
      </c>
      <c r="E17" s="1">
        <v>632</v>
      </c>
      <c r="F17" s="1">
        <v>632</v>
      </c>
      <c r="G17" s="1">
        <v>632</v>
      </c>
      <c r="H17" s="1">
        <v>632</v>
      </c>
      <c r="I17" s="1">
        <v>632</v>
      </c>
      <c r="J17" s="1">
        <v>632</v>
      </c>
      <c r="K17" s="1">
        <v>632</v>
      </c>
      <c r="L17" s="1">
        <v>632</v>
      </c>
      <c r="M17" s="1">
        <v>632</v>
      </c>
      <c r="N17" s="1">
        <v>632</v>
      </c>
      <c r="O17" s="1">
        <v>632</v>
      </c>
      <c r="P17" s="1">
        <v>632</v>
      </c>
      <c r="Q17" s="1">
        <v>632</v>
      </c>
      <c r="R17" s="1">
        <v>632</v>
      </c>
      <c r="S17" s="1">
        <v>632</v>
      </c>
      <c r="T17" s="1">
        <v>632</v>
      </c>
      <c r="U17" s="1">
        <v>633</v>
      </c>
      <c r="V17" s="1">
        <v>633</v>
      </c>
      <c r="W17" s="1">
        <v>633</v>
      </c>
      <c r="X17" s="1">
        <v>633</v>
      </c>
      <c r="Y17" s="1">
        <v>633</v>
      </c>
      <c r="Z17" s="1">
        <v>809</v>
      </c>
      <c r="AA17" s="1">
        <v>809</v>
      </c>
      <c r="AB17" s="1">
        <v>809</v>
      </c>
      <c r="AC17" s="1">
        <v>809</v>
      </c>
      <c r="AD17" s="1">
        <v>809</v>
      </c>
      <c r="AE17" s="1">
        <v>809</v>
      </c>
      <c r="AF17" s="1">
        <v>809</v>
      </c>
      <c r="AG17" s="1">
        <v>809</v>
      </c>
      <c r="AH17" s="1">
        <v>630</v>
      </c>
      <c r="AI17" s="1">
        <v>630</v>
      </c>
      <c r="AJ17" s="1">
        <v>630</v>
      </c>
      <c r="AK17" s="10">
        <v>632</v>
      </c>
      <c r="AL17" s="5"/>
      <c r="AM17" s="1"/>
      <c r="AN17" s="1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</row>
    <row r="18" spans="1:68" ht="303" x14ac:dyDescent="0.25">
      <c r="A18" s="37"/>
      <c r="B18" s="28" t="s">
        <v>35</v>
      </c>
      <c r="C18" s="28" t="s">
        <v>8</v>
      </c>
      <c r="D18" s="28" t="s">
        <v>9</v>
      </c>
      <c r="E18" s="3" t="s">
        <v>33</v>
      </c>
      <c r="F18" s="3" t="s">
        <v>22</v>
      </c>
      <c r="G18" s="3" t="s">
        <v>10</v>
      </c>
      <c r="H18" s="3" t="s">
        <v>58</v>
      </c>
      <c r="I18" s="3" t="s">
        <v>59</v>
      </c>
      <c r="J18" s="3" t="s">
        <v>49</v>
      </c>
      <c r="K18" s="3" t="s">
        <v>11</v>
      </c>
      <c r="L18" s="3" t="s">
        <v>65</v>
      </c>
      <c r="M18" s="3" t="s">
        <v>66</v>
      </c>
      <c r="N18" s="3" t="s">
        <v>63</v>
      </c>
      <c r="O18" s="3" t="s">
        <v>64</v>
      </c>
      <c r="P18" s="3" t="s">
        <v>28</v>
      </c>
      <c r="Q18" s="3" t="s">
        <v>29</v>
      </c>
      <c r="R18" s="3" t="s">
        <v>57</v>
      </c>
      <c r="S18" s="3" t="s">
        <v>36</v>
      </c>
      <c r="T18" s="3" t="s">
        <v>14</v>
      </c>
      <c r="U18" s="3" t="s">
        <v>15</v>
      </c>
      <c r="V18" s="3" t="s">
        <v>16</v>
      </c>
      <c r="W18" s="3" t="s">
        <v>17</v>
      </c>
      <c r="X18" s="3" t="s">
        <v>18</v>
      </c>
      <c r="Y18" s="3" t="s">
        <v>62</v>
      </c>
      <c r="Z18" s="3" t="s">
        <v>37</v>
      </c>
      <c r="AA18" s="3" t="s">
        <v>38</v>
      </c>
      <c r="AB18" s="3" t="s">
        <v>39</v>
      </c>
      <c r="AC18" s="3" t="s">
        <v>40</v>
      </c>
      <c r="AD18" s="3" t="s">
        <v>41</v>
      </c>
      <c r="AE18" s="3" t="s">
        <v>20</v>
      </c>
      <c r="AF18" s="3" t="s">
        <v>21</v>
      </c>
      <c r="AG18" s="3" t="s">
        <v>23</v>
      </c>
      <c r="AH18" s="3" t="s">
        <v>76</v>
      </c>
      <c r="AI18" s="3" t="s">
        <v>82</v>
      </c>
      <c r="AJ18" s="3" t="s">
        <v>77</v>
      </c>
      <c r="AK18" s="11" t="s">
        <v>43</v>
      </c>
      <c r="AL18" s="5"/>
      <c r="AM18" s="3"/>
      <c r="AN18" s="3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</row>
    <row r="19" spans="1:68" x14ac:dyDescent="0.25">
      <c r="A19" s="37"/>
      <c r="B19" s="26" t="s">
        <v>12</v>
      </c>
      <c r="C19" s="26" t="s">
        <v>12</v>
      </c>
      <c r="D19" s="26" t="s">
        <v>13</v>
      </c>
      <c r="E19" s="4" t="s">
        <v>13</v>
      </c>
      <c r="F19" s="4" t="s">
        <v>12</v>
      </c>
      <c r="G19" s="4" t="s">
        <v>12</v>
      </c>
      <c r="H19" s="4" t="s">
        <v>12</v>
      </c>
      <c r="I19" s="4" t="s">
        <v>12</v>
      </c>
      <c r="J19" s="4" t="s">
        <v>13</v>
      </c>
      <c r="K19" s="4" t="s">
        <v>13</v>
      </c>
      <c r="L19" s="4" t="s">
        <v>13</v>
      </c>
      <c r="M19" s="9" t="s">
        <v>13</v>
      </c>
      <c r="N19" s="4" t="s">
        <v>13</v>
      </c>
      <c r="O19" s="9" t="s">
        <v>13</v>
      </c>
      <c r="P19" s="4" t="s">
        <v>13</v>
      </c>
      <c r="Q19" s="4" t="s">
        <v>13</v>
      </c>
      <c r="R19" s="4" t="s">
        <v>13</v>
      </c>
      <c r="S19" s="4" t="s">
        <v>13</v>
      </c>
      <c r="T19" s="4" t="s">
        <v>13</v>
      </c>
      <c r="U19" s="4" t="s">
        <v>13</v>
      </c>
      <c r="V19" s="4" t="s">
        <v>13</v>
      </c>
      <c r="W19" s="4" t="s">
        <v>13</v>
      </c>
      <c r="X19" s="4" t="s">
        <v>13</v>
      </c>
      <c r="Y19" s="4" t="s">
        <v>13</v>
      </c>
      <c r="Z19" s="4" t="s">
        <v>13</v>
      </c>
      <c r="AA19" s="4" t="s">
        <v>13</v>
      </c>
      <c r="AB19" s="4" t="s">
        <v>12</v>
      </c>
      <c r="AC19" s="4" t="s">
        <v>13</v>
      </c>
      <c r="AD19" s="4" t="s">
        <v>13</v>
      </c>
      <c r="AE19" s="4" t="s">
        <v>13</v>
      </c>
      <c r="AF19" s="4" t="s">
        <v>13</v>
      </c>
      <c r="AG19" s="4" t="s">
        <v>13</v>
      </c>
      <c r="AH19" s="4" t="s">
        <v>78</v>
      </c>
      <c r="AI19" s="4" t="s">
        <v>13</v>
      </c>
      <c r="AJ19" s="4" t="s">
        <v>13</v>
      </c>
      <c r="AK19" s="12" t="s">
        <v>13</v>
      </c>
      <c r="AL19" s="5"/>
      <c r="AM19" s="4"/>
      <c r="AN19" s="4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</row>
    <row r="20" spans="1:68" x14ac:dyDescent="0.25">
      <c r="A20" s="15"/>
      <c r="B20" s="8"/>
      <c r="C20" s="8"/>
      <c r="D20" s="8"/>
      <c r="E20" s="22"/>
      <c r="F20" s="22"/>
      <c r="G20" s="22"/>
      <c r="H20" s="22"/>
      <c r="I20" s="22"/>
      <c r="J20" s="22"/>
      <c r="K20" s="22"/>
      <c r="L20" s="9"/>
      <c r="M20" s="9"/>
      <c r="N20" s="22"/>
      <c r="O20" s="9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9"/>
      <c r="AJ20" s="9"/>
      <c r="AK20" s="20"/>
      <c r="AL20" s="5"/>
      <c r="AM20" s="22"/>
      <c r="AN20" s="22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</row>
    <row r="21" spans="1:68" x14ac:dyDescent="0.25">
      <c r="A21" s="15" t="s">
        <v>68</v>
      </c>
      <c r="B21" s="8">
        <f>(10+4+5+7+5+26+25+9+5+11+5)+(10+4+5+7+5+26+25+54+46+5+11+5)</f>
        <v>315</v>
      </c>
      <c r="C21" s="8">
        <f>(10+4+5+7+5+26+25+31+5)+(10+4+5+7+5+26+25+69+4+10+12+5)+(10+4+5+7+5+26+25+36+10+11+5)+(10+4+5+7+5+26+25+54+35+5)</f>
        <v>620</v>
      </c>
      <c r="D21" s="8">
        <v>4</v>
      </c>
      <c r="E21" s="23"/>
      <c r="F21" s="23">
        <f>30+7+5+4+3+10</f>
        <v>59</v>
      </c>
      <c r="G21" s="23">
        <v>71</v>
      </c>
      <c r="H21" s="23">
        <f>27+49+27+61+30+54+25+69</f>
        <v>342</v>
      </c>
      <c r="I21" s="23">
        <f>27+49+27+61+30+54+25+69</f>
        <v>342</v>
      </c>
      <c r="J21" s="23">
        <v>1</v>
      </c>
      <c r="K21" s="23">
        <v>1</v>
      </c>
      <c r="L21" s="9"/>
      <c r="M21" s="9"/>
      <c r="N21" s="23"/>
      <c r="O21" s="9"/>
      <c r="P21" s="23"/>
      <c r="Q21" s="23"/>
      <c r="R21" s="23">
        <v>4</v>
      </c>
      <c r="S21" s="23"/>
      <c r="T21" s="23">
        <v>1</v>
      </c>
      <c r="U21" s="23">
        <v>1</v>
      </c>
      <c r="V21" s="23">
        <v>1</v>
      </c>
      <c r="W21" s="23">
        <v>1</v>
      </c>
      <c r="X21" s="23">
        <v>1</v>
      </c>
      <c r="Y21" s="23">
        <v>1</v>
      </c>
      <c r="Z21" s="23">
        <v>1</v>
      </c>
      <c r="AA21" s="23">
        <v>4</v>
      </c>
      <c r="AB21" s="23">
        <f>(10+4+5+7+5+26+25+15+5)+(10+4+5+7+5+26+25+69+11+5)+(10+4+5+7+5+26+25+42+5)+(10+4+5+7+5+26+25+54+52+5)</f>
        <v>591</v>
      </c>
      <c r="AC21" s="23">
        <v>1</v>
      </c>
      <c r="AD21" s="23">
        <v>4</v>
      </c>
      <c r="AE21" s="23">
        <v>4</v>
      </c>
      <c r="AF21" s="23">
        <v>4</v>
      </c>
      <c r="AG21" s="23">
        <v>1</v>
      </c>
      <c r="AH21" s="23"/>
      <c r="AI21" s="4">
        <v>1</v>
      </c>
      <c r="AJ21" s="9"/>
      <c r="AK21" s="19">
        <v>1</v>
      </c>
      <c r="AL21" s="5"/>
      <c r="AM21" s="23"/>
      <c r="AN21" s="23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</row>
    <row r="22" spans="1:68" x14ac:dyDescent="0.25">
      <c r="A22" s="15"/>
      <c r="B22" s="8"/>
      <c r="C22" s="8"/>
      <c r="D22" s="8"/>
      <c r="E22" s="23"/>
      <c r="F22" s="23"/>
      <c r="G22" s="23"/>
      <c r="H22" s="23"/>
      <c r="I22" s="23"/>
      <c r="J22" s="23"/>
      <c r="K22" s="23"/>
      <c r="L22" s="9"/>
      <c r="M22" s="9"/>
      <c r="N22" s="23"/>
      <c r="O22" s="9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9"/>
      <c r="AJ22" s="9"/>
      <c r="AK22" s="19"/>
      <c r="AL22" s="5"/>
      <c r="AM22" s="23"/>
      <c r="AN22" s="23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</row>
    <row r="23" spans="1:68" x14ac:dyDescent="0.25">
      <c r="A23" s="15" t="s">
        <v>70</v>
      </c>
      <c r="B23" s="8">
        <f>(10+6+5+9+5+21+22+10+11+5)+(10+6+5+10+5+52+5+50+5+15+21+37+10+10+5)+(10+6+5+10+5+52+5+50+5+73+5+4+21+19+10+11+5)+(10+6+5+10+5+52+5+50+5+73+5+4+21+38+10+10+5)</f>
        <v>960</v>
      </c>
      <c r="C23" s="8"/>
      <c r="D23" s="8">
        <v>3</v>
      </c>
      <c r="E23" s="23"/>
      <c r="F23" s="23">
        <f>26+15+10</f>
        <v>51</v>
      </c>
      <c r="G23" s="23">
        <v>34</v>
      </c>
      <c r="H23" s="23"/>
      <c r="I23" s="23"/>
      <c r="J23" s="23">
        <v>1</v>
      </c>
      <c r="K23" s="23">
        <v>1</v>
      </c>
      <c r="L23" s="9"/>
      <c r="M23" s="9"/>
      <c r="N23" s="23">
        <v>1</v>
      </c>
      <c r="O23" s="9"/>
      <c r="P23" s="23">
        <v>1</v>
      </c>
      <c r="Q23" s="23">
        <v>1</v>
      </c>
      <c r="R23" s="23"/>
      <c r="S23" s="23"/>
      <c r="T23" s="23">
        <v>1</v>
      </c>
      <c r="U23" s="23">
        <v>1</v>
      </c>
      <c r="V23" s="23">
        <v>1</v>
      </c>
      <c r="W23" s="23">
        <v>1</v>
      </c>
      <c r="X23" s="23">
        <v>1</v>
      </c>
      <c r="Y23" s="23">
        <v>1</v>
      </c>
      <c r="Z23" s="23"/>
      <c r="AA23" s="23"/>
      <c r="AB23" s="23"/>
      <c r="AC23" s="23"/>
      <c r="AD23" s="23"/>
      <c r="AE23" s="23">
        <v>4</v>
      </c>
      <c r="AF23" s="23">
        <v>4</v>
      </c>
      <c r="AG23" s="23">
        <v>1</v>
      </c>
      <c r="AH23" s="23"/>
      <c r="AI23" s="9"/>
      <c r="AJ23" s="9"/>
      <c r="AK23" s="19"/>
      <c r="AM23" s="23"/>
      <c r="AN23" s="23"/>
    </row>
    <row r="24" spans="1:68" x14ac:dyDescent="0.25">
      <c r="A24" s="15"/>
      <c r="B24" s="8"/>
      <c r="C24" s="8"/>
      <c r="D24" s="8"/>
      <c r="E24" s="23"/>
      <c r="F24" s="23"/>
      <c r="G24" s="23"/>
      <c r="H24" s="23"/>
      <c r="I24" s="23"/>
      <c r="J24" s="23"/>
      <c r="K24" s="23"/>
      <c r="L24" s="9"/>
      <c r="M24" s="9"/>
      <c r="N24" s="23"/>
      <c r="O24" s="9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9"/>
      <c r="AJ24" s="9"/>
      <c r="AK24" s="19"/>
      <c r="AM24" s="23"/>
      <c r="AN24" s="23"/>
    </row>
    <row r="25" spans="1:68" x14ac:dyDescent="0.25">
      <c r="A25" s="15" t="s">
        <v>72</v>
      </c>
      <c r="B25" s="8">
        <f>(10+35+5+20+8+5)+(10+33+5+33+8+5)+(10+33+5+60+5+25+8+5)+(10+33+5+60+5+25+8+5)+(10+35+5+80+5+7+8+5)+(10+35+5+80+5+16+8+5)+(10+25+100+25+9+8+5)+(10+25+100+25+23+8+5)</f>
        <v>1176</v>
      </c>
      <c r="C25" s="8"/>
      <c r="D25" s="8"/>
      <c r="E25" s="23">
        <v>7</v>
      </c>
      <c r="F25" s="23"/>
      <c r="G25" s="23"/>
      <c r="H25" s="23"/>
      <c r="I25" s="23"/>
      <c r="J25" s="23"/>
      <c r="K25" s="23"/>
      <c r="L25" s="9"/>
      <c r="M25" s="9"/>
      <c r="N25" s="23"/>
      <c r="O25" s="9"/>
      <c r="P25" s="23"/>
      <c r="Q25" s="23"/>
      <c r="R25" s="23"/>
      <c r="S25" s="23">
        <v>7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>
        <f>8*((9*15)/144)</f>
        <v>7.5</v>
      </c>
      <c r="AI25" s="4"/>
      <c r="AJ25" s="4">
        <v>8</v>
      </c>
      <c r="AK25" s="19">
        <v>1</v>
      </c>
      <c r="AM25" s="23"/>
      <c r="AN25" s="23"/>
    </row>
    <row r="26" spans="1:68" x14ac:dyDescent="0.25">
      <c r="A26" s="15"/>
      <c r="B26" s="8"/>
      <c r="C26" s="8"/>
      <c r="D26" s="8"/>
      <c r="E26" s="23"/>
      <c r="F26" s="23"/>
      <c r="G26" s="23"/>
      <c r="H26" s="23"/>
      <c r="I26" s="23"/>
      <c r="J26" s="23"/>
      <c r="K26" s="23"/>
      <c r="L26" s="9"/>
      <c r="M26" s="9"/>
      <c r="N26" s="23"/>
      <c r="O26" s="9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4"/>
      <c r="AJ26" s="4"/>
      <c r="AK26" s="19"/>
      <c r="AM26" s="23"/>
      <c r="AN26" s="23"/>
    </row>
    <row r="27" spans="1:68" x14ac:dyDescent="0.25">
      <c r="A27" s="15" t="s">
        <v>71</v>
      </c>
      <c r="B27" s="8">
        <f>(10+12+9+8+5)+(10+12+56+5+6+8+5)+(10+12+56+5+75+5+46+8+5)+(10+12+56+5+75+5+5+8+5)+(10+12+56+5+75+5+27+8+5)+(10+12+20+5+8+8+5)+(10+12+20+5+50+5+12+8+5)+(10+12+20+5+50+5+28+8+5)</f>
        <v>1090</v>
      </c>
      <c r="C27" s="8">
        <f>(10+12+13+22+5+37+13+5)+(10+12+13+22+5+27+13+5)+(10+12+56+5+75+5+21+5+19+36+12+5)+(10+12+56+5+75+5+21+5+19+18+13+5)</f>
        <v>729</v>
      </c>
      <c r="D27" s="8">
        <v>2</v>
      </c>
      <c r="E27" s="23">
        <v>8</v>
      </c>
      <c r="F27" s="23">
        <f>27+13+12+10</f>
        <v>62</v>
      </c>
      <c r="G27" s="23">
        <v>24</v>
      </c>
      <c r="H27" s="23"/>
      <c r="I27" s="23"/>
      <c r="J27" s="23">
        <v>1</v>
      </c>
      <c r="K27" s="23">
        <v>1</v>
      </c>
      <c r="L27" s="9"/>
      <c r="M27" s="9"/>
      <c r="N27" s="23">
        <v>1</v>
      </c>
      <c r="O27" s="4">
        <v>1</v>
      </c>
      <c r="P27" s="23"/>
      <c r="Q27" s="23"/>
      <c r="R27" s="23"/>
      <c r="S27" s="23">
        <v>8</v>
      </c>
      <c r="T27" s="23">
        <v>1</v>
      </c>
      <c r="U27" s="23">
        <v>1</v>
      </c>
      <c r="V27" s="23">
        <v>1</v>
      </c>
      <c r="W27" s="23">
        <v>1</v>
      </c>
      <c r="X27" s="23">
        <v>1</v>
      </c>
      <c r="Y27" s="23">
        <v>1</v>
      </c>
      <c r="Z27" s="23"/>
      <c r="AA27" s="23"/>
      <c r="AB27" s="23"/>
      <c r="AC27" s="23"/>
      <c r="AD27" s="23"/>
      <c r="AE27" s="23">
        <v>4</v>
      </c>
      <c r="AF27" s="23">
        <v>4</v>
      </c>
      <c r="AG27" s="23">
        <v>1</v>
      </c>
      <c r="AH27" s="23">
        <v>8</v>
      </c>
      <c r="AI27" s="4"/>
      <c r="AJ27" s="4">
        <v>8</v>
      </c>
      <c r="AK27" s="19"/>
      <c r="AM27" s="23"/>
      <c r="AN27" s="23"/>
    </row>
    <row r="28" spans="1:68" x14ac:dyDescent="0.25">
      <c r="A28" s="15"/>
      <c r="B28" s="8"/>
      <c r="C28" s="8"/>
      <c r="D28" s="8"/>
      <c r="E28" s="23"/>
      <c r="F28" s="23"/>
      <c r="G28" s="23"/>
      <c r="H28" s="23"/>
      <c r="I28" s="23"/>
      <c r="J28" s="23"/>
      <c r="K28" s="23"/>
      <c r="L28" s="9"/>
      <c r="M28" s="9"/>
      <c r="N28" s="23"/>
      <c r="O28" s="9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4"/>
      <c r="AJ28" s="4"/>
      <c r="AK28" s="19"/>
      <c r="AM28" s="23"/>
      <c r="AN28" s="23"/>
    </row>
    <row r="29" spans="1:68" x14ac:dyDescent="0.25">
      <c r="A29" s="15" t="s">
        <v>69</v>
      </c>
      <c r="B29" s="8">
        <f>(10+14+8+5)+(10+5+49+5+15+8+5)+(10+5+49+5+33+5+45+5+16+8+5)+(10+5+49+5+33+5+45+5+25+5+14+8+5)+(10+5+49+5+33+5+45+5+25+5+50+4+8+5)</f>
        <v>788</v>
      </c>
      <c r="C29" s="8">
        <f>(10+9+21+5+40+9+5)+(10+9+21+5+18+8+5)+(10+5+49+5+33+5+45+5+17+5+21+5+35+8+5)+(10+5+49+5+33+5+45+5+17+5+21+5+20+9+5)</f>
        <v>667</v>
      </c>
      <c r="D29" s="8">
        <v>2</v>
      </c>
      <c r="E29" s="23">
        <v>5</v>
      </c>
      <c r="F29" s="23">
        <f>26+9+10</f>
        <v>45</v>
      </c>
      <c r="G29" s="23">
        <v>65</v>
      </c>
      <c r="H29" s="23"/>
      <c r="I29" s="23"/>
      <c r="J29" s="23">
        <v>1</v>
      </c>
      <c r="K29" s="23">
        <v>1</v>
      </c>
      <c r="L29" s="4">
        <v>1</v>
      </c>
      <c r="M29" s="4">
        <v>1</v>
      </c>
      <c r="N29" s="23"/>
      <c r="O29" s="9"/>
      <c r="P29" s="23"/>
      <c r="Q29" s="23"/>
      <c r="R29" s="23"/>
      <c r="S29" s="23">
        <v>5</v>
      </c>
      <c r="T29" s="23">
        <v>1</v>
      </c>
      <c r="U29" s="23">
        <v>1</v>
      </c>
      <c r="V29" s="23">
        <v>1</v>
      </c>
      <c r="W29" s="23">
        <v>1</v>
      </c>
      <c r="X29" s="23">
        <v>1</v>
      </c>
      <c r="Y29" s="23">
        <v>1</v>
      </c>
      <c r="Z29" s="23">
        <v>1</v>
      </c>
      <c r="AA29" s="23">
        <v>4</v>
      </c>
      <c r="AB29" s="23">
        <f>((2*(10+9+5+21))+45+21)+((2*(10+5+49+5+33+5+45+5+17+5+21))+41+24)</f>
        <v>621</v>
      </c>
      <c r="AC29" s="23">
        <v>1</v>
      </c>
      <c r="AD29" s="23">
        <v>4</v>
      </c>
      <c r="AE29" s="23">
        <v>4</v>
      </c>
      <c r="AF29" s="23">
        <v>4</v>
      </c>
      <c r="AG29" s="23">
        <v>1</v>
      </c>
      <c r="AH29" s="23">
        <v>6</v>
      </c>
      <c r="AI29" s="4"/>
      <c r="AJ29" s="4">
        <v>6</v>
      </c>
      <c r="AK29" s="19"/>
      <c r="AM29" s="23"/>
      <c r="AN29" s="23"/>
    </row>
    <row r="30" spans="1:68" x14ac:dyDescent="0.25">
      <c r="A30" s="15"/>
      <c r="B30" s="8"/>
      <c r="C30" s="8"/>
      <c r="D30" s="8"/>
      <c r="E30" s="22"/>
      <c r="F30" s="22"/>
      <c r="G30" s="22"/>
      <c r="H30" s="22"/>
      <c r="I30" s="22"/>
      <c r="J30" s="22"/>
      <c r="K30" s="22"/>
      <c r="L30" s="9"/>
      <c r="M30" s="9"/>
      <c r="N30" s="22"/>
      <c r="O30" s="9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9"/>
      <c r="AJ30" s="9"/>
      <c r="AK30" s="20"/>
      <c r="AM30" s="22"/>
      <c r="AN30" s="22"/>
    </row>
    <row r="31" spans="1:68" ht="15.75" thickBot="1" x14ac:dyDescent="0.3">
      <c r="A31" s="16" t="s">
        <v>42</v>
      </c>
      <c r="B31" s="27">
        <f t="shared" ref="B31:C31" si="2">SUM(B20:B30)</f>
        <v>4329</v>
      </c>
      <c r="C31" s="27">
        <f t="shared" si="2"/>
        <v>2016</v>
      </c>
      <c r="D31" s="27">
        <f>SUM(D20:D30)</f>
        <v>11</v>
      </c>
      <c r="E31" s="24">
        <f>SUM(E20:E30)</f>
        <v>20</v>
      </c>
      <c r="F31" s="24">
        <f>SUM(F20:F30)</f>
        <v>217</v>
      </c>
      <c r="G31" s="24">
        <f t="shared" ref="G31:I31" si="3">SUM(G20:G30)</f>
        <v>194</v>
      </c>
      <c r="H31" s="24">
        <f t="shared" si="3"/>
        <v>342</v>
      </c>
      <c r="I31" s="24">
        <f t="shared" si="3"/>
        <v>342</v>
      </c>
      <c r="J31" s="24">
        <f t="shared" ref="J31:R31" si="4">SUM(J20:J30)</f>
        <v>4</v>
      </c>
      <c r="K31" s="24">
        <f t="shared" si="4"/>
        <v>4</v>
      </c>
      <c r="L31" s="24">
        <f t="shared" si="4"/>
        <v>1</v>
      </c>
      <c r="M31" s="24">
        <f t="shared" si="4"/>
        <v>1</v>
      </c>
      <c r="N31" s="24">
        <f t="shared" si="4"/>
        <v>2</v>
      </c>
      <c r="O31" s="24">
        <f t="shared" si="4"/>
        <v>1</v>
      </c>
      <c r="P31" s="24">
        <f t="shared" si="4"/>
        <v>1</v>
      </c>
      <c r="Q31" s="24">
        <f t="shared" si="4"/>
        <v>1</v>
      </c>
      <c r="R31" s="24">
        <f t="shared" si="4"/>
        <v>4</v>
      </c>
      <c r="S31" s="24">
        <f t="shared" ref="S31:AI31" si="5">SUM(S20:S30)</f>
        <v>20</v>
      </c>
      <c r="T31" s="24">
        <f t="shared" si="5"/>
        <v>4</v>
      </c>
      <c r="U31" s="24">
        <f t="shared" si="5"/>
        <v>4</v>
      </c>
      <c r="V31" s="24">
        <f t="shared" si="5"/>
        <v>4</v>
      </c>
      <c r="W31" s="24">
        <f t="shared" si="5"/>
        <v>4</v>
      </c>
      <c r="X31" s="24">
        <f t="shared" si="5"/>
        <v>4</v>
      </c>
      <c r="Y31" s="24">
        <f t="shared" si="5"/>
        <v>4</v>
      </c>
      <c r="Z31" s="24">
        <f t="shared" si="5"/>
        <v>2</v>
      </c>
      <c r="AA31" s="24">
        <f t="shared" si="5"/>
        <v>8</v>
      </c>
      <c r="AB31" s="24">
        <f t="shared" si="5"/>
        <v>1212</v>
      </c>
      <c r="AC31" s="24">
        <f t="shared" si="5"/>
        <v>2</v>
      </c>
      <c r="AD31" s="24">
        <f t="shared" si="5"/>
        <v>8</v>
      </c>
      <c r="AE31" s="24">
        <f t="shared" si="5"/>
        <v>16</v>
      </c>
      <c r="AF31" s="24">
        <f t="shared" si="5"/>
        <v>16</v>
      </c>
      <c r="AG31" s="24">
        <f t="shared" si="5"/>
        <v>4</v>
      </c>
      <c r="AH31" s="24">
        <f t="shared" si="5"/>
        <v>21.5</v>
      </c>
      <c r="AI31" s="24">
        <f t="shared" si="5"/>
        <v>1</v>
      </c>
      <c r="AJ31" s="24">
        <f t="shared" ref="AJ31:AK31" si="6">SUM(AJ20:AJ30)</f>
        <v>22</v>
      </c>
      <c r="AK31" s="21">
        <f t="shared" si="6"/>
        <v>2</v>
      </c>
    </row>
    <row r="37" spans="26:30" x14ac:dyDescent="0.25">
      <c r="Z37" s="23">
        <v>1</v>
      </c>
      <c r="AA37" s="23">
        <v>4</v>
      </c>
      <c r="AB37" s="23">
        <f>((2*(10+12+13+5+22))+43+33)+((2*(10+12+56+5+75+5+21+5+19))+42+24)</f>
        <v>682</v>
      </c>
      <c r="AC37" s="23">
        <v>1</v>
      </c>
      <c r="AD37" s="23">
        <v>4</v>
      </c>
    </row>
  </sheetData>
  <mergeCells count="3">
    <mergeCell ref="A1:A3"/>
    <mergeCell ref="A17:A19"/>
    <mergeCell ref="A16:AK16"/>
  </mergeCells>
  <conditionalFormatting sqref="B2:BP2">
    <cfRule type="expression" dxfId="21" priority="378">
      <formula>IF(LEN(TRIM($T2)&gt;6),IF(RIGHT(TRIM($T2),6)=" CONT.",IF(VLOOKUP(LEFT(TRIM($T2),LEN(TRIM($T2))-6),HEADINGS,1,FALSE)=LEFT(TRIM($T2),LEN(TRIM($T2))-6),1,0)))</formula>
    </cfRule>
    <cfRule type="expression" dxfId="20" priority="379">
      <formula>IF(LEN(TRIM($T2)&gt;10),IF(RIGHT(TRIM($T2),10)=" CONTINUED",IF(VLOOKUP(LEFT(TRIM($T2),LEN(TRIM($T2))-10),HEADINGS,1,FALSE)=LEFT(TRIM($T2),LEN(TRIM($T2))-10),1,0)))</formula>
    </cfRule>
    <cfRule type="expression" dxfId="19" priority="380">
      <formula>OR($T2="STRUCTURE REPAIRS",$T2="STRUCTURES 20 FOOT SPAN AND UNDER",$T2="STRUCTURES OVER 20 FOOT SPAN",$T2="RETAINING WALLS")</formula>
    </cfRule>
    <cfRule type="expression" dxfId="18" priority="381">
      <formula>OR($T2="STRUCTURE REPAIRS CONT.",$T2="STRUCTURES 20 FOOT SPAN AND UNDER CONT.",$T2="STRUCTURES OVER 20 FOOT SPAN CONT.",$T2="RETAINING WALLS CONT.")</formula>
    </cfRule>
    <cfRule type="expression" dxfId="17" priority="382">
      <formula>OR($T2="STRUCTURE REPAIRS CONTINUED",$T2="STRUCTURES 20 FOOT SPAN AND UNDER CONTINUED",$T2="STRUCTURES OVER 20 FOOT SPAN CONTINUED",$T2="RETAINING WALLS CONTINUED")</formula>
    </cfRule>
    <cfRule type="expression" dxfId="16" priority="383">
      <formula>OR(LEFT($T2,15)="RETAINING WALLS",LEFT($T2,32)="STRUCTURE 20 FOOT SPAN AND UNDER",LEFT($T2,27)="STRUCTURE OVER 20 FOOT SPAN",LEFT($T2,16)="STRUCTURE REPAIR")</formula>
    </cfRule>
    <cfRule type="expression" dxfId="15" priority="384">
      <formula>$CK2="ITEM CODE DOES NOT EXIST IN ITEM MASTER"</formula>
    </cfRule>
    <cfRule type="expression" dxfId="14" priority="385">
      <formula>IF(VLOOKUP($T2,HEADINGS,1,0)=$T2,1,0)</formula>
    </cfRule>
    <cfRule type="expression" dxfId="13" priority="386">
      <formula>IF(LEN(TRIM($T2)&gt;11),IF(RIGHT(TRIM($T2),11)=" ALTERNATES",IF(VLOOKUP(LEFT(TRIM($T2),LEN(TRIM($T2))-11),HEADINGS,1,FALSE)=LEFT(TRIM($T2),LEN(TRIM($T2))-11),1,0)))</formula>
    </cfRule>
    <cfRule type="expression" dxfId="12" priority="387">
      <formula>IF(LEN(TRIM($T2)&gt;8),IF(RIGHT(TRIM($T2),8)=" (CONT.)",IF(VLOOKUP(LEFT(TRIM($T2),LEN(TRIM($T2))-8),HEADINGS,1,FALSE)=LEFT(TRIM($T2),LEN(TRIM($T2))-8),1,0)))</formula>
    </cfRule>
    <cfRule type="expression" dxfId="11" priority="388">
      <formula>IF(LEN(TRIM($T2)&gt;13),IF(LEFT(TRIM($T2),13)="ITEMS OF WORK",1,0))</formula>
    </cfRule>
  </conditionalFormatting>
  <conditionalFormatting sqref="E18:AK18 AM18:AN18">
    <cfRule type="expression" dxfId="10" priority="400">
      <formula>IF(LEN(TRIM($S18)&gt;6),IF(RIGHT(TRIM($S18),6)=" CONT.",IF(VLOOKUP(LEFT(TRIM($S18),LEN(TRIM($S18))-6),HEADINGS,1,FALSE)=LEFT(TRIM($S18),LEN(TRIM($S18))-6),1,0)))</formula>
    </cfRule>
    <cfRule type="expression" dxfId="9" priority="401">
      <formula>IF(LEN(TRIM($S18)&gt;10),IF(RIGHT(TRIM($S18),10)=" CONTINUED",IF(VLOOKUP(LEFT(TRIM($S18),LEN(TRIM($S18))-10),HEADINGS,1,FALSE)=LEFT(TRIM($S18),LEN(TRIM($S18))-10),1,0)))</formula>
    </cfRule>
    <cfRule type="expression" dxfId="8" priority="402">
      <formula>OR($S18="STRUCTURE REPAIRS",$S18="STRUCTURES 20 FOOT SPAN AND UNDER",$S18="STRUCTURES OVER 20 FOOT SPAN",$S18="RETAINING WALLS")</formula>
    </cfRule>
    <cfRule type="expression" dxfId="7" priority="403">
      <formula>OR($S18="STRUCTURE REPAIRS CONT.",$S18="STRUCTURES 20 FOOT SPAN AND UNDER CONT.",$S18="STRUCTURES OVER 20 FOOT SPAN CONT.",$S18="RETAINING WALLS CONT.")</formula>
    </cfRule>
    <cfRule type="expression" dxfId="6" priority="404">
      <formula>OR($S18="STRUCTURE REPAIRS CONTINUED",$S18="STRUCTURES 20 FOOT SPAN AND UNDER CONTINUED",$S18="STRUCTURES OVER 20 FOOT SPAN CONTINUED",$S18="RETAINING WALLS CONTINUED")</formula>
    </cfRule>
    <cfRule type="expression" dxfId="5" priority="405">
      <formula>OR(LEFT($S18,15)="RETAINING WALLS",LEFT($S18,32)="STRUCTURE 20 FOOT SPAN AND UNDER",LEFT($S18,27)="STRUCTURE OVER 20 FOOT SPAN",LEFT($S18,16)="STRUCTURE REPAIR")</formula>
    </cfRule>
    <cfRule type="expression" dxfId="4" priority="406">
      <formula>$CK18="ITEM CODE DOES NOT EXIST IN ITEM MASTER"</formula>
    </cfRule>
    <cfRule type="expression" dxfId="3" priority="407">
      <formula>IF(VLOOKUP($S18,HEADINGS,1,0)=$S18,1,0)</formula>
    </cfRule>
    <cfRule type="expression" dxfId="2" priority="408">
      <formula>IF(LEN(TRIM($S18)&gt;11),IF(RIGHT(TRIM($S18),11)=" ALTERNATES",IF(VLOOKUP(LEFT(TRIM($S18),LEN(TRIM($S18))-11),HEADINGS,1,FALSE)=LEFT(TRIM($S18),LEN(TRIM($S18))-11),1,0)))</formula>
    </cfRule>
    <cfRule type="expression" dxfId="1" priority="409">
      <formula>IF(LEN(TRIM($S18)&gt;8),IF(RIGHT(TRIM($S18),8)=" (CONT.)",IF(VLOOKUP(LEFT(TRIM($S18),LEN(TRIM($S18))-8),HEADINGS,1,FALSE)=LEFT(TRIM($S18),LEN(TRIM($S18))-8),1,0)))</formula>
    </cfRule>
    <cfRule type="expression" dxfId="0" priority="410">
      <formula>IF(LEN(TRIM($S18)&gt;13),IF(LEFT(TRIM($S18),13)="ITEMS OF WORK",1,0))</formula>
    </cfRule>
  </conditionalFormatting>
  <pageMargins left="0.7" right="0.7" top="0.75" bottom="0.75" header="0.3" footer="0.3"/>
  <pageSetup paperSize="256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Eppley</dc:creator>
  <cp:lastModifiedBy>Ricer, Jacob</cp:lastModifiedBy>
  <dcterms:created xsi:type="dcterms:W3CDTF">2022-06-15T12:23:37Z</dcterms:created>
  <dcterms:modified xsi:type="dcterms:W3CDTF">2025-12-08T18:14:09Z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