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3\60\06634_6R\traffic\work\JRH\"/>
    </mc:Choice>
  </mc:AlternateContent>
  <bookViews>
    <workbookView xWindow="0" yWindow="0" windowWidth="25590" windowHeight="12000" activeTab="1"/>
  </bookViews>
  <sheets>
    <sheet name="6R" sheetId="1" r:id="rId1"/>
    <sheet name="6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I8" i="2"/>
  <c r="J8" i="2" s="1"/>
  <c r="G8" i="2"/>
  <c r="F8" i="2"/>
  <c r="E8" i="2"/>
  <c r="H6" i="2"/>
  <c r="I6" i="2"/>
  <c r="J6" i="2" s="1"/>
  <c r="G6" i="2"/>
  <c r="F6" i="2"/>
  <c r="E6" i="2"/>
  <c r="I10" i="2"/>
  <c r="J10" i="2" s="1"/>
  <c r="H10" i="2"/>
  <c r="G10" i="2"/>
  <c r="G9" i="2"/>
  <c r="I9" i="2" s="1"/>
  <c r="J9" i="2" s="1"/>
  <c r="F7" i="2"/>
  <c r="G7" i="2" s="1"/>
  <c r="E7" i="2"/>
  <c r="F5" i="2"/>
  <c r="G5" i="2" s="1"/>
  <c r="E5" i="2"/>
  <c r="F4" i="2"/>
  <c r="G4" i="2" s="1"/>
  <c r="E4" i="2"/>
  <c r="F3" i="2"/>
  <c r="G3" i="2" s="1"/>
  <c r="E3" i="2"/>
  <c r="J2" i="2"/>
  <c r="I2" i="2"/>
  <c r="H2" i="2"/>
  <c r="F12" i="1"/>
  <c r="E12" i="1"/>
  <c r="F11" i="1"/>
  <c r="E11" i="1"/>
  <c r="I7" i="2" l="1"/>
  <c r="J7" i="2" s="1"/>
  <c r="H7" i="2"/>
  <c r="H4" i="2"/>
  <c r="I4" i="2"/>
  <c r="J4" i="2" s="1"/>
  <c r="I5" i="2"/>
  <c r="J5" i="2" s="1"/>
  <c r="H5" i="2"/>
  <c r="I3" i="2"/>
  <c r="J3" i="2" s="1"/>
  <c r="H3" i="2"/>
  <c r="E24" i="1"/>
  <c r="G20" i="1"/>
  <c r="G19" i="1"/>
  <c r="H19" i="1" s="1"/>
  <c r="G16" i="1"/>
  <c r="G17" i="1"/>
  <c r="G15" i="1"/>
  <c r="H15" i="1" s="1"/>
  <c r="H4" i="1"/>
  <c r="H5" i="1"/>
  <c r="H6" i="1"/>
  <c r="H7" i="1"/>
  <c r="H8" i="1"/>
  <c r="H9" i="1"/>
  <c r="H10" i="1"/>
  <c r="H13" i="1"/>
  <c r="H14" i="1"/>
  <c r="H16" i="1"/>
  <c r="H17" i="1"/>
  <c r="H18" i="1"/>
  <c r="H20" i="1"/>
  <c r="H3" i="1"/>
  <c r="F10" i="1" l="1"/>
  <c r="G10" i="1" s="1"/>
  <c r="I10" i="1" s="1"/>
  <c r="J10" i="1" s="1"/>
  <c r="F9" i="1"/>
  <c r="F8" i="1"/>
  <c r="F6" i="1"/>
  <c r="F5" i="1"/>
  <c r="F4" i="1"/>
  <c r="F3" i="1"/>
  <c r="G3" i="1" s="1"/>
  <c r="I3" i="1" s="1"/>
  <c r="J3" i="1" s="1"/>
  <c r="F13" i="1"/>
  <c r="F14" i="1"/>
  <c r="F18" i="1"/>
  <c r="E18" i="1"/>
  <c r="E14" i="1"/>
  <c r="E13" i="1"/>
  <c r="E10" i="1"/>
  <c r="E9" i="1"/>
  <c r="E8" i="1"/>
  <c r="E6" i="1"/>
  <c r="E5" i="1"/>
  <c r="G5" i="1" s="1"/>
  <c r="I5" i="1" s="1"/>
  <c r="J5" i="1" s="1"/>
  <c r="E4" i="1"/>
  <c r="G4" i="1" s="1"/>
  <c r="I4" i="1" s="1"/>
  <c r="J4" i="1" s="1"/>
  <c r="G8" i="1"/>
  <c r="I8" i="1" s="1"/>
  <c r="J8" i="1" s="1"/>
  <c r="G11" i="1"/>
  <c r="G12" i="1"/>
  <c r="I12" i="1" s="1"/>
  <c r="J12" i="1" s="1"/>
  <c r="I15" i="1"/>
  <c r="J15" i="1" s="1"/>
  <c r="I16" i="1"/>
  <c r="J16" i="1" s="1"/>
  <c r="I17" i="1"/>
  <c r="J17" i="1" s="1"/>
  <c r="I19" i="1"/>
  <c r="J19" i="1" s="1"/>
  <c r="I20" i="1"/>
  <c r="J20" i="1"/>
  <c r="I7" i="1"/>
  <c r="J7" i="1"/>
  <c r="G7" i="1"/>
  <c r="E7" i="1"/>
  <c r="F7" i="1"/>
  <c r="E3" i="1"/>
  <c r="I11" i="1" l="1"/>
  <c r="J11" i="1" s="1"/>
  <c r="H11" i="1"/>
  <c r="G9" i="1"/>
  <c r="I9" i="1" s="1"/>
  <c r="J9" i="1" s="1"/>
  <c r="G6" i="1"/>
  <c r="I6" i="1" s="1"/>
  <c r="J6" i="1" s="1"/>
  <c r="G13" i="1"/>
  <c r="I13" i="1" s="1"/>
  <c r="J13" i="1" s="1"/>
  <c r="G14" i="1"/>
  <c r="I14" i="1" s="1"/>
  <c r="J14" i="1" s="1"/>
  <c r="G18" i="1"/>
  <c r="I18" i="1" s="1"/>
  <c r="J18" i="1" s="1"/>
  <c r="J2" i="1"/>
  <c r="I2" i="1"/>
  <c r="H2" i="1"/>
</calcChain>
</file>

<file path=xl/sharedStrings.xml><?xml version="1.0" encoding="utf-8"?>
<sst xmlns="http://schemas.openxmlformats.org/spreadsheetml/2006/main" count="42" uniqueCount="27">
  <si>
    <t>Location</t>
  </si>
  <si>
    <t>Current Year ADT (2010)</t>
  </si>
  <si>
    <t>Design Year ADT (2035)</t>
  </si>
  <si>
    <t>Design Hourly Volume (2035)</t>
  </si>
  <si>
    <t>I-71 SB (North of Greenlawn)</t>
  </si>
  <si>
    <t>I-71 SB (Over SR 315)</t>
  </si>
  <si>
    <t>I-71 SB (Over Scioto River)</t>
  </si>
  <si>
    <t>I-70 WB (Over Scioto River)</t>
  </si>
  <si>
    <t>I-70 WB (East of Front St.)</t>
  </si>
  <si>
    <t>Ramp C3 (I-70 EB Ramp to I-71 SB)</t>
  </si>
  <si>
    <t>Trans Ramp D3 North (I-70 WB Ramp to Rich/Town)</t>
  </si>
  <si>
    <t>Ramp B3 (I-71 SB Ramp to Greenlawn Ave.)</t>
  </si>
  <si>
    <t>Ramp D6 (2nd St. Ramp to I-71 SB)</t>
  </si>
  <si>
    <t>Ramp D7 (Mound St. Ramp to I-70 WB)</t>
  </si>
  <si>
    <t>Mound St. (West of 2nd St.)</t>
  </si>
  <si>
    <t>Mound St. (East of 2nd St.)</t>
  </si>
  <si>
    <t>Short St.</t>
  </si>
  <si>
    <t>Civic Center Dr.</t>
  </si>
  <si>
    <t>Jewett St.</t>
  </si>
  <si>
    <t>Second St.</t>
  </si>
  <si>
    <t>Ludlow St.</t>
  </si>
  <si>
    <t>Scioto Blvd.</t>
  </si>
  <si>
    <t>--</t>
  </si>
  <si>
    <t>Build AM+PM DHV (2015)</t>
  </si>
  <si>
    <t>Build AM+PM DHV (2035)</t>
  </si>
  <si>
    <t>Ramp D3 (I-70 WB Ramp to W. Mound &amp; Rich/Town)</t>
  </si>
  <si>
    <t>Ramp D4 (I-70 WB to SR 315 NB)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</si>
</sst>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right"/>
    </xf>
    <xf numFmtId="3" fontId="0" fillId="0" borderId="0" xfId="0" quotePrefix="1" applyNumberFormat="1" applyAlignment="1">
      <alignment horizontal="right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3" fontId="0" fillId="2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3" fontId="0" fillId="0" borderId="0" xfId="0" applyNumberFormat="1"/>
    <xf numFmtId="4" fontId="0" fillId="3" borderId="0" xfId="0" applyNumberFormat="1" applyFill="1" applyAlignment="1">
      <alignment horizontal="right"/>
    </xf>
    <xf numFmtId="3" fontId="0" fillId="0" borderId="0" xfId="0" quotePrefix="1" applyNumberFormat="1"/>
    <xf numFmtId="3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3" fontId="1" fillId="0" borderId="0" xfId="0" quotePrefix="1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H1" sqref="H1:J1048576"/>
    </sheetView>
  </sheetViews>
  <sheetFormatPr defaultRowHeight="15" x14ac:dyDescent="0.25"/>
  <cols>
    <col min="1" max="1" width="46.85546875" bestFit="1" customWidth="1"/>
    <col min="5" max="6" width="9.140625" style="4" hidden="1" customWidth="1"/>
    <col min="7" max="7" width="9.140625" hidden="1" customWidth="1"/>
    <col min="8" max="10" width="9.140625" style="12"/>
  </cols>
  <sheetData>
    <row r="1" spans="1:10" x14ac:dyDescent="0.25">
      <c r="B1">
        <v>2010</v>
      </c>
      <c r="C1">
        <v>2035</v>
      </c>
      <c r="D1">
        <v>2035</v>
      </c>
      <c r="E1" s="4">
        <v>2015</v>
      </c>
      <c r="F1" s="4">
        <v>2035</v>
      </c>
      <c r="H1" s="12">
        <v>2020</v>
      </c>
      <c r="I1" s="12">
        <v>2044</v>
      </c>
      <c r="J1" s="12">
        <v>2044</v>
      </c>
    </row>
    <row r="2" spans="1:10" s="1" customFormat="1" ht="60" x14ac:dyDescent="0.25">
      <c r="A2" s="1" t="s">
        <v>0</v>
      </c>
      <c r="B2" s="1" t="s">
        <v>1</v>
      </c>
      <c r="C2" s="1" t="s">
        <v>2</v>
      </c>
      <c r="D2" s="1" t="s">
        <v>3</v>
      </c>
      <c r="E2" s="5" t="s">
        <v>23</v>
      </c>
      <c r="F2" s="5" t="s">
        <v>24</v>
      </c>
      <c r="H2" s="13" t="str">
        <f>CONCATENATE("Current Year (",H1,")")</f>
        <v>Current Year (2020)</v>
      </c>
      <c r="I2" s="13" t="str">
        <f>CONCATENATE("Design Year ADT (",I1,")")</f>
        <v>Design Year ADT (2044)</v>
      </c>
      <c r="J2" s="13" t="str">
        <f>CONCATENATE("Design Hourly Volume (",J1,")")</f>
        <v>Design Hourly Volume (2044)</v>
      </c>
    </row>
    <row r="3" spans="1:10" x14ac:dyDescent="0.25">
      <c r="A3" t="s">
        <v>4</v>
      </c>
      <c r="B3" s="2">
        <v>56700</v>
      </c>
      <c r="C3" s="2">
        <v>30500</v>
      </c>
      <c r="D3" s="2">
        <v>2820</v>
      </c>
      <c r="E3" s="6">
        <f>3370-1890+6400-3990</f>
        <v>3890</v>
      </c>
      <c r="F3" s="6">
        <f>3850+7260-2090-4440</f>
        <v>4580</v>
      </c>
      <c r="G3" s="7">
        <f>((F3/E3)-1)/($F$1-$E$1)</f>
        <v>8.8688946015424205E-3</v>
      </c>
      <c r="H3" s="14">
        <f>ROUND(B3*(1+G3*($H$1-$B$1)),-2)</f>
        <v>61700</v>
      </c>
      <c r="I3" s="11">
        <f t="shared" ref="I3:I6" si="0">ROUND(C3*(1+G3*($I$1-$C$1)),-2)</f>
        <v>32900</v>
      </c>
      <c r="J3" s="11">
        <f t="shared" ref="J3:J6" si="1">ROUND(D3/C3*I3,-1)</f>
        <v>3040</v>
      </c>
    </row>
    <row r="4" spans="1:10" x14ac:dyDescent="0.25">
      <c r="A4" t="s">
        <v>5</v>
      </c>
      <c r="B4" s="2">
        <v>19800</v>
      </c>
      <c r="C4" s="2">
        <v>21100</v>
      </c>
      <c r="D4" s="2">
        <v>1910</v>
      </c>
      <c r="E4" s="6">
        <f>960+1500</f>
        <v>2460</v>
      </c>
      <c r="F4" s="6">
        <f>1260+1910</f>
        <v>3170</v>
      </c>
      <c r="G4" s="7">
        <f t="shared" ref="G3:G20" si="2">((F4/E4)-1)/($F$1-$E$1)</f>
        <v>1.4430894308943088E-2</v>
      </c>
      <c r="H4" s="14">
        <f t="shared" ref="H4:H20" si="3">ROUND(B4*(1+G4*($H$1-$B$1)),-2)</f>
        <v>22700</v>
      </c>
      <c r="I4" s="11">
        <f t="shared" si="0"/>
        <v>23800</v>
      </c>
      <c r="J4" s="11">
        <f t="shared" si="1"/>
        <v>2150</v>
      </c>
    </row>
    <row r="5" spans="1:10" x14ac:dyDescent="0.25">
      <c r="A5" t="s">
        <v>6</v>
      </c>
      <c r="B5" s="2">
        <v>25800</v>
      </c>
      <c r="C5" s="2">
        <v>38300</v>
      </c>
      <c r="D5" s="2">
        <v>3370</v>
      </c>
      <c r="E5" s="6">
        <f>960+1500+330+160+810+1040</f>
        <v>4800</v>
      </c>
      <c r="F5" s="6">
        <f>1260+1910+440+220+1110+1460</f>
        <v>6400</v>
      </c>
      <c r="G5" s="7">
        <f t="shared" si="2"/>
        <v>1.6666666666666663E-2</v>
      </c>
      <c r="H5" s="14">
        <f t="shared" si="3"/>
        <v>30100</v>
      </c>
      <c r="I5" s="11">
        <f t="shared" si="0"/>
        <v>44000</v>
      </c>
      <c r="J5" s="11">
        <f t="shared" si="1"/>
        <v>3870</v>
      </c>
    </row>
    <row r="6" spans="1:10" x14ac:dyDescent="0.25">
      <c r="A6" t="s">
        <v>8</v>
      </c>
      <c r="B6" s="2">
        <v>62200</v>
      </c>
      <c r="C6" s="2">
        <v>70900</v>
      </c>
      <c r="D6" s="2">
        <v>5830</v>
      </c>
      <c r="E6" s="6">
        <f>3500+4010</f>
        <v>7510</v>
      </c>
      <c r="F6" s="6">
        <f>4800+5830</f>
        <v>10630</v>
      </c>
      <c r="G6" s="7">
        <f t="shared" si="2"/>
        <v>2.0772303595206387E-2</v>
      </c>
      <c r="H6" s="14">
        <f t="shared" si="3"/>
        <v>75100</v>
      </c>
      <c r="I6" s="11">
        <f t="shared" si="0"/>
        <v>84200</v>
      </c>
      <c r="J6" s="11">
        <f t="shared" si="1"/>
        <v>6920</v>
      </c>
    </row>
    <row r="7" spans="1:10" x14ac:dyDescent="0.25">
      <c r="A7" t="s">
        <v>7</v>
      </c>
      <c r="B7" s="2">
        <v>35900</v>
      </c>
      <c r="C7" s="2">
        <v>31900</v>
      </c>
      <c r="D7" s="2">
        <v>2640</v>
      </c>
      <c r="E7" s="6">
        <f>1900+3270</f>
        <v>5170</v>
      </c>
      <c r="F7" s="6">
        <f>2540+4190</f>
        <v>6730</v>
      </c>
      <c r="G7" s="7">
        <f>((F7/E7)-1)/($F$1-$E$1)</f>
        <v>1.5087040618955517E-2</v>
      </c>
      <c r="H7" s="14">
        <f t="shared" si="3"/>
        <v>41300</v>
      </c>
      <c r="I7" s="11">
        <f>ROUND(C7*(1+G7*($I$1-$C$1)),-2)</f>
        <v>36200</v>
      </c>
      <c r="J7" s="11">
        <f>ROUND(D7/C7*I7,-1)</f>
        <v>3000</v>
      </c>
    </row>
    <row r="8" spans="1:10" x14ac:dyDescent="0.25">
      <c r="A8" t="s">
        <v>9</v>
      </c>
      <c r="B8" s="2">
        <v>9400</v>
      </c>
      <c r="C8" s="2">
        <v>9400</v>
      </c>
      <c r="D8" s="2">
        <v>910</v>
      </c>
      <c r="E8" s="6">
        <f>520+910</f>
        <v>1430</v>
      </c>
      <c r="F8" s="6">
        <f>500+910</f>
        <v>1410</v>
      </c>
      <c r="G8" s="7">
        <f t="shared" si="2"/>
        <v>-6.9930069930069778E-4</v>
      </c>
      <c r="H8" s="14">
        <f t="shared" si="3"/>
        <v>9300</v>
      </c>
      <c r="I8" s="11">
        <f t="shared" ref="I8:I20" si="4">ROUND(C8*(1+G8*($I$1-$C$1)),-2)</f>
        <v>9300</v>
      </c>
      <c r="J8" s="11">
        <f t="shared" ref="J8:J20" si="5">ROUND(D8/C8*I8,-1)</f>
        <v>900</v>
      </c>
    </row>
    <row r="9" spans="1:10" x14ac:dyDescent="0.25">
      <c r="A9" t="s">
        <v>10</v>
      </c>
      <c r="B9" s="2">
        <v>5300</v>
      </c>
      <c r="C9" s="2">
        <v>4400</v>
      </c>
      <c r="D9" s="2">
        <v>440</v>
      </c>
      <c r="E9" s="6">
        <f>330+160</f>
        <v>490</v>
      </c>
      <c r="F9" s="6">
        <f>440+220</f>
        <v>660</v>
      </c>
      <c r="G9" s="7">
        <f t="shared" si="2"/>
        <v>1.73469387755102E-2</v>
      </c>
      <c r="H9" s="14">
        <f t="shared" si="3"/>
        <v>6200</v>
      </c>
      <c r="I9" s="11">
        <f t="shared" si="4"/>
        <v>5100</v>
      </c>
      <c r="J9" s="11">
        <f t="shared" si="5"/>
        <v>510</v>
      </c>
    </row>
    <row r="10" spans="1:10" x14ac:dyDescent="0.25">
      <c r="A10" t="s">
        <v>11</v>
      </c>
      <c r="B10" s="2">
        <v>8200</v>
      </c>
      <c r="C10" s="2">
        <v>7100</v>
      </c>
      <c r="D10" s="2">
        <v>630</v>
      </c>
      <c r="E10" s="6">
        <f>780+880</f>
        <v>1660</v>
      </c>
      <c r="F10" s="6">
        <f>890+1030</f>
        <v>1920</v>
      </c>
      <c r="G10" s="7">
        <f t="shared" si="2"/>
        <v>7.8313253012048164E-3</v>
      </c>
      <c r="H10" s="14">
        <f t="shared" si="3"/>
        <v>8800</v>
      </c>
      <c r="I10" s="11">
        <f t="shared" si="4"/>
        <v>7600</v>
      </c>
      <c r="J10" s="11">
        <f t="shared" si="5"/>
        <v>670</v>
      </c>
    </row>
    <row r="11" spans="1:10" x14ac:dyDescent="0.25">
      <c r="A11" t="s">
        <v>12</v>
      </c>
      <c r="B11" s="2">
        <v>5100</v>
      </c>
      <c r="C11" s="2">
        <v>7800</v>
      </c>
      <c r="D11" s="2">
        <v>880</v>
      </c>
      <c r="E11" s="6">
        <f>ROUND((500+1960)*E24,-1)</f>
        <v>1150</v>
      </c>
      <c r="F11" s="6">
        <f>ROUND((550+1950)*E24,-1)</f>
        <v>1170</v>
      </c>
      <c r="G11" s="7">
        <f t="shared" si="2"/>
        <v>8.6956521739129928E-4</v>
      </c>
      <c r="H11" s="14">
        <f t="shared" si="3"/>
        <v>5100</v>
      </c>
      <c r="I11" s="11">
        <f t="shared" si="4"/>
        <v>7900</v>
      </c>
      <c r="J11" s="11">
        <f t="shared" si="5"/>
        <v>890</v>
      </c>
    </row>
    <row r="12" spans="1:10" x14ac:dyDescent="0.25">
      <c r="A12" t="s">
        <v>13</v>
      </c>
      <c r="B12" s="3" t="s">
        <v>22</v>
      </c>
      <c r="C12" s="2">
        <v>8900</v>
      </c>
      <c r="D12" s="2">
        <v>1070</v>
      </c>
      <c r="E12" s="6">
        <f>500+1960-E11</f>
        <v>1310</v>
      </c>
      <c r="F12" s="6">
        <f>550+1950-F11</f>
        <v>1330</v>
      </c>
      <c r="G12" s="7">
        <f t="shared" si="2"/>
        <v>7.6335877862595549E-4</v>
      </c>
      <c r="H12" s="15" t="s">
        <v>22</v>
      </c>
      <c r="I12" s="11">
        <f t="shared" si="4"/>
        <v>9000</v>
      </c>
      <c r="J12" s="11">
        <f t="shared" si="5"/>
        <v>1080</v>
      </c>
    </row>
    <row r="13" spans="1:10" x14ac:dyDescent="0.25">
      <c r="A13" t="s">
        <v>14</v>
      </c>
      <c r="B13" s="2">
        <v>3600</v>
      </c>
      <c r="C13" s="2">
        <v>2000</v>
      </c>
      <c r="D13" s="2">
        <v>200</v>
      </c>
      <c r="E13" s="6">
        <f>20+10+10+10</f>
        <v>50</v>
      </c>
      <c r="F13" s="6">
        <f>10+20+10+10</f>
        <v>50</v>
      </c>
      <c r="G13" s="7">
        <f t="shared" si="2"/>
        <v>0</v>
      </c>
      <c r="H13" s="14">
        <f t="shared" si="3"/>
        <v>3600</v>
      </c>
      <c r="I13" s="11">
        <f t="shared" si="4"/>
        <v>2000</v>
      </c>
      <c r="J13" s="11">
        <f t="shared" si="5"/>
        <v>200</v>
      </c>
    </row>
    <row r="14" spans="1:10" x14ac:dyDescent="0.25">
      <c r="A14" t="s">
        <v>15</v>
      </c>
      <c r="B14" s="2">
        <v>11200</v>
      </c>
      <c r="C14" s="2">
        <v>13200</v>
      </c>
      <c r="D14" s="2">
        <v>1510</v>
      </c>
      <c r="E14" s="6">
        <f>250+250+10+10+370+1280</f>
        <v>2170</v>
      </c>
      <c r="F14" s="6">
        <f>300+300+10+10+350+1200</f>
        <v>2170</v>
      </c>
      <c r="G14" s="7">
        <f t="shared" si="2"/>
        <v>0</v>
      </c>
      <c r="H14" s="14">
        <f t="shared" si="3"/>
        <v>11200</v>
      </c>
      <c r="I14" s="11">
        <f t="shared" si="4"/>
        <v>13200</v>
      </c>
      <c r="J14" s="11">
        <f t="shared" si="5"/>
        <v>1510</v>
      </c>
    </row>
    <row r="15" spans="1:10" x14ac:dyDescent="0.25">
      <c r="A15" t="s">
        <v>16</v>
      </c>
      <c r="B15" s="2">
        <v>2400</v>
      </c>
      <c r="C15" s="2">
        <v>5000</v>
      </c>
      <c r="D15" s="2">
        <v>500</v>
      </c>
      <c r="E15" s="6"/>
      <c r="F15" s="6"/>
      <c r="G15" s="9">
        <f>((C15/B15)-1)/($C$1-$B$1)</f>
        <v>4.3333333333333342E-2</v>
      </c>
      <c r="H15" s="14">
        <f t="shared" si="3"/>
        <v>3400</v>
      </c>
      <c r="I15" s="11">
        <f t="shared" si="4"/>
        <v>7000</v>
      </c>
      <c r="J15" s="11">
        <f t="shared" si="5"/>
        <v>700</v>
      </c>
    </row>
    <row r="16" spans="1:10" x14ac:dyDescent="0.25">
      <c r="A16" t="s">
        <v>17</v>
      </c>
      <c r="B16" s="2">
        <v>3700</v>
      </c>
      <c r="C16" s="2">
        <v>6800</v>
      </c>
      <c r="D16" s="2">
        <v>640</v>
      </c>
      <c r="E16" s="6"/>
      <c r="F16" s="6"/>
      <c r="G16" s="9">
        <f t="shared" ref="G16:G17" si="6">((C16/B16)-1)/($C$1-$B$1)</f>
        <v>3.3513513513513518E-2</v>
      </c>
      <c r="H16" s="14">
        <f t="shared" si="3"/>
        <v>4900</v>
      </c>
      <c r="I16" s="11">
        <f t="shared" si="4"/>
        <v>8900</v>
      </c>
      <c r="J16" s="11">
        <f t="shared" si="5"/>
        <v>840</v>
      </c>
    </row>
    <row r="17" spans="1:10" x14ac:dyDescent="0.25">
      <c r="A17" t="s">
        <v>18</v>
      </c>
      <c r="B17" s="2">
        <v>1000</v>
      </c>
      <c r="C17" s="2">
        <v>1200</v>
      </c>
      <c r="D17" s="2">
        <v>100</v>
      </c>
      <c r="E17" s="6"/>
      <c r="F17" s="6"/>
      <c r="G17" s="9">
        <f t="shared" si="6"/>
        <v>7.9999999999999984E-3</v>
      </c>
      <c r="H17" s="14">
        <f t="shared" si="3"/>
        <v>1100</v>
      </c>
      <c r="I17" s="11">
        <f t="shared" si="4"/>
        <v>1300</v>
      </c>
      <c r="J17" s="11">
        <f t="shared" si="5"/>
        <v>110</v>
      </c>
    </row>
    <row r="18" spans="1:10" x14ac:dyDescent="0.25">
      <c r="A18" t="s">
        <v>19</v>
      </c>
      <c r="B18" s="2">
        <v>6600</v>
      </c>
      <c r="C18" s="2">
        <v>9600</v>
      </c>
      <c r="D18" s="2">
        <v>770</v>
      </c>
      <c r="E18" s="6">
        <f>20+10+130+680+250+250</f>
        <v>1340</v>
      </c>
      <c r="F18" s="6">
        <f>10+20+200+750+300+300</f>
        <v>1580</v>
      </c>
      <c r="G18" s="7">
        <f t="shared" si="2"/>
        <v>8.9552238805970189E-3</v>
      </c>
      <c r="H18" s="14">
        <f t="shared" si="3"/>
        <v>7200</v>
      </c>
      <c r="I18" s="11">
        <f t="shared" si="4"/>
        <v>10400</v>
      </c>
      <c r="J18" s="11">
        <f t="shared" si="5"/>
        <v>830</v>
      </c>
    </row>
    <row r="19" spans="1:10" x14ac:dyDescent="0.25">
      <c r="A19" t="s">
        <v>20</v>
      </c>
      <c r="B19" s="2">
        <v>1000</v>
      </c>
      <c r="C19" s="2">
        <v>1200</v>
      </c>
      <c r="D19" s="2">
        <v>100</v>
      </c>
      <c r="E19" s="6"/>
      <c r="F19" s="6"/>
      <c r="G19" s="9">
        <f>((C19/B19)-1)/($C$1-$B$1)</f>
        <v>7.9999999999999984E-3</v>
      </c>
      <c r="H19" s="14">
        <f t="shared" si="3"/>
        <v>1100</v>
      </c>
      <c r="I19" s="11">
        <f t="shared" si="4"/>
        <v>1300</v>
      </c>
      <c r="J19" s="11">
        <f t="shared" si="5"/>
        <v>110</v>
      </c>
    </row>
    <row r="20" spans="1:10" x14ac:dyDescent="0.25">
      <c r="A20" t="s">
        <v>21</v>
      </c>
      <c r="B20" s="2">
        <v>250</v>
      </c>
      <c r="C20" s="2">
        <v>270</v>
      </c>
      <c r="D20" s="2">
        <v>20</v>
      </c>
      <c r="E20" s="6"/>
      <c r="F20" s="6"/>
      <c r="G20" s="9">
        <f t="shared" ref="G20" si="7">((C20/B20)-1)/($C$1-$B$1)</f>
        <v>3.2000000000000028E-3</v>
      </c>
      <c r="H20" s="14">
        <f t="shared" si="3"/>
        <v>300</v>
      </c>
      <c r="I20" s="11">
        <f t="shared" si="4"/>
        <v>300</v>
      </c>
      <c r="J20" s="11">
        <f t="shared" si="5"/>
        <v>20</v>
      </c>
    </row>
    <row r="24" spans="1:10" x14ac:dyDescent="0.25">
      <c r="E24" s="4">
        <f>(290+880)/(290+880+260+1070)</f>
        <v>0.46800000000000003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selection activeCell="H1" sqref="H1:J1048576"/>
    </sheetView>
  </sheetViews>
  <sheetFormatPr defaultRowHeight="15" x14ac:dyDescent="0.25"/>
  <cols>
    <col min="1" max="1" width="47.5703125" bestFit="1" customWidth="1"/>
    <col min="5" max="7" width="0" hidden="1" customWidth="1"/>
    <col min="8" max="10" width="9.140625" style="12"/>
  </cols>
  <sheetData>
    <row r="1" spans="1:10" x14ac:dyDescent="0.25">
      <c r="B1">
        <v>2010</v>
      </c>
      <c r="C1">
        <v>2035</v>
      </c>
      <c r="D1">
        <v>2035</v>
      </c>
      <c r="E1" s="4">
        <v>2015</v>
      </c>
      <c r="F1" s="4">
        <v>2035</v>
      </c>
      <c r="H1" s="12">
        <v>2020</v>
      </c>
      <c r="I1" s="12">
        <v>2046</v>
      </c>
      <c r="J1" s="12">
        <v>2046</v>
      </c>
    </row>
    <row r="2" spans="1:10" s="1" customFormat="1" ht="60" x14ac:dyDescent="0.25">
      <c r="A2" s="1" t="s">
        <v>0</v>
      </c>
      <c r="B2" s="1" t="s">
        <v>1</v>
      </c>
      <c r="C2" s="1" t="s">
        <v>2</v>
      </c>
      <c r="D2" s="1" t="s">
        <v>3</v>
      </c>
      <c r="E2" s="5" t="s">
        <v>23</v>
      </c>
      <c r="F2" s="5" t="s">
        <v>24</v>
      </c>
      <c r="H2" s="13" t="str">
        <f>CONCATENATE("Current Year (",H1,")")</f>
        <v>Current Year (2020)</v>
      </c>
      <c r="I2" s="13" t="str">
        <f>CONCATENATE("Design Year ADT (",I1,")")</f>
        <v>Design Year ADT (2046)</v>
      </c>
      <c r="J2" s="13" t="str">
        <f>CONCATENATE("Design Hourly Volume (",J1,")")</f>
        <v>Design Hourly Volume (2046)</v>
      </c>
    </row>
    <row r="3" spans="1:10" x14ac:dyDescent="0.25">
      <c r="A3" t="s">
        <v>6</v>
      </c>
      <c r="B3" s="8">
        <v>25800</v>
      </c>
      <c r="C3" s="8">
        <v>38300</v>
      </c>
      <c r="D3" s="8">
        <v>3370</v>
      </c>
      <c r="E3" s="6">
        <f>960+1500+330+160+810+1040</f>
        <v>4800</v>
      </c>
      <c r="F3" s="6">
        <f>1260+1910+440+220+1110+1460</f>
        <v>6400</v>
      </c>
      <c r="G3" s="7">
        <f t="shared" ref="G3:G4" si="0">((F3/E3)-1)/($F$1-$E$1)</f>
        <v>1.6666666666666663E-2</v>
      </c>
      <c r="H3" s="14">
        <f t="shared" ref="H3:H5" si="1">ROUND(B3*(1+G3*($H$1-$B$1)),-2)</f>
        <v>30100</v>
      </c>
      <c r="I3" s="11">
        <f t="shared" ref="I3:I4" si="2">ROUND(C3*(1+G3*($I$1-$C$1)),-2)</f>
        <v>45300</v>
      </c>
      <c r="J3" s="11">
        <f t="shared" ref="J3:J4" si="3">ROUND(D3/C3*I3,-1)</f>
        <v>3990</v>
      </c>
    </row>
    <row r="4" spans="1:10" x14ac:dyDescent="0.25">
      <c r="A4" t="s">
        <v>8</v>
      </c>
      <c r="B4" s="8">
        <v>62200</v>
      </c>
      <c r="C4" s="8">
        <v>70900</v>
      </c>
      <c r="D4" s="8">
        <v>5830</v>
      </c>
      <c r="E4" s="6">
        <f>3500+4010</f>
        <v>7510</v>
      </c>
      <c r="F4" s="6">
        <f>4800+5830</f>
        <v>10630</v>
      </c>
      <c r="G4" s="7">
        <f t="shared" si="0"/>
        <v>2.0772303595206387E-2</v>
      </c>
      <c r="H4" s="14">
        <f t="shared" si="1"/>
        <v>75100</v>
      </c>
      <c r="I4" s="11">
        <f t="shared" si="2"/>
        <v>87100</v>
      </c>
      <c r="J4" s="11">
        <f t="shared" si="3"/>
        <v>7160</v>
      </c>
    </row>
    <row r="5" spans="1:10" x14ac:dyDescent="0.25">
      <c r="A5" t="s">
        <v>7</v>
      </c>
      <c r="B5" s="8">
        <v>35900</v>
      </c>
      <c r="C5" s="8">
        <v>31900</v>
      </c>
      <c r="D5" s="8">
        <v>2640</v>
      </c>
      <c r="E5" s="6">
        <f>1900+3270</f>
        <v>5170</v>
      </c>
      <c r="F5" s="6">
        <f>2540+4190</f>
        <v>6730</v>
      </c>
      <c r="G5" s="7">
        <f>((F5/E5)-1)/($F$1-$E$1)</f>
        <v>1.5087040618955517E-2</v>
      </c>
      <c r="H5" s="14">
        <f t="shared" si="1"/>
        <v>41300</v>
      </c>
      <c r="I5" s="11">
        <f>ROUND(C5*(1+G5*($I$1-$C$1)),-2)</f>
        <v>37200</v>
      </c>
      <c r="J5" s="11">
        <f>ROUND(D5/C5*I5,-1)</f>
        <v>3080</v>
      </c>
    </row>
    <row r="6" spans="1:10" x14ac:dyDescent="0.25">
      <c r="A6" t="s">
        <v>25</v>
      </c>
      <c r="B6" s="8">
        <v>13350</v>
      </c>
      <c r="C6" s="8">
        <v>17300</v>
      </c>
      <c r="D6" s="8">
        <v>1770</v>
      </c>
      <c r="E6" s="6">
        <f>330+160+310+620</f>
        <v>1420</v>
      </c>
      <c r="F6" s="6">
        <f>440+220+340+700</f>
        <v>1700</v>
      </c>
      <c r="G6" s="7">
        <f>((F6/E6)-1)/($F$1-$E$1)</f>
        <v>9.8591549295774621E-3</v>
      </c>
      <c r="H6" s="14">
        <f t="shared" ref="H6" si="4">ROUND(B6*(1+G6*($H$1-$B$1)),-2)</f>
        <v>14700</v>
      </c>
      <c r="I6" s="11">
        <f>ROUND(C6*(1+G6*($I$1-$C$1)),-2)</f>
        <v>19200</v>
      </c>
      <c r="J6" s="11">
        <f>ROUND(D6/C6*I6,-1)</f>
        <v>1960</v>
      </c>
    </row>
    <row r="7" spans="1:10" x14ac:dyDescent="0.25">
      <c r="A7" t="s">
        <v>10</v>
      </c>
      <c r="B7" s="8">
        <v>5300</v>
      </c>
      <c r="C7" s="8">
        <v>4400</v>
      </c>
      <c r="D7" s="8">
        <v>440</v>
      </c>
      <c r="E7" s="6">
        <f>330+160</f>
        <v>490</v>
      </c>
      <c r="F7" s="6">
        <f>440+220</f>
        <v>660</v>
      </c>
      <c r="G7" s="7">
        <f t="shared" ref="G7:G8" si="5">((F7/E7)-1)/($F$1-$E$1)</f>
        <v>1.73469387755102E-2</v>
      </c>
      <c r="H7" s="14">
        <f t="shared" ref="H7" si="6">ROUND(B7*(1+G7*($H$1-$B$1)),-2)</f>
        <v>6200</v>
      </c>
      <c r="I7" s="11">
        <f t="shared" ref="I7" si="7">ROUND(C7*(1+G7*($I$1-$C$1)),-2)</f>
        <v>5200</v>
      </c>
      <c r="J7" s="11">
        <f t="shared" ref="J7" si="8">ROUND(D7/C7*I7,-1)</f>
        <v>520</v>
      </c>
    </row>
    <row r="8" spans="1:10" x14ac:dyDescent="0.25">
      <c r="A8" t="s">
        <v>26</v>
      </c>
      <c r="B8" s="8">
        <v>6600</v>
      </c>
      <c r="C8" s="8">
        <v>17100</v>
      </c>
      <c r="D8" s="8">
        <v>1460</v>
      </c>
      <c r="E8" s="6">
        <f>810+1040</f>
        <v>1850</v>
      </c>
      <c r="F8" s="6">
        <f>1110+1460</f>
        <v>2570</v>
      </c>
      <c r="G8" s="7">
        <f t="shared" si="5"/>
        <v>1.9459459459459462E-2</v>
      </c>
      <c r="H8" s="14">
        <f t="shared" ref="H8" si="9">ROUND(B8*(1+G8*($H$1-$B$1)),-2)</f>
        <v>7900</v>
      </c>
      <c r="I8" s="11">
        <f t="shared" ref="I8" si="10">ROUND(C8*(1+G8*($I$1-$C$1)),-2)</f>
        <v>20800</v>
      </c>
      <c r="J8" s="11">
        <f t="shared" ref="J8" si="11">ROUND(D8/C8*I8,-1)</f>
        <v>1780</v>
      </c>
    </row>
    <row r="9" spans="1:10" x14ac:dyDescent="0.25">
      <c r="A9" t="s">
        <v>13</v>
      </c>
      <c r="B9" s="10" t="s">
        <v>22</v>
      </c>
      <c r="C9" s="8">
        <v>8900</v>
      </c>
      <c r="D9" s="8">
        <v>1070</v>
      </c>
      <c r="E9" s="6">
        <v>1340</v>
      </c>
      <c r="F9" s="6">
        <v>1580</v>
      </c>
      <c r="G9" s="7">
        <f t="shared" ref="G9" si="12">((F9/E9)-1)/($F$1-$E$1)</f>
        <v>8.9552238805970189E-3</v>
      </c>
      <c r="H9" s="15" t="s">
        <v>22</v>
      </c>
      <c r="I9" s="11">
        <f t="shared" ref="I9:I10" si="13">ROUND(C9*(1+G9*($I$1-$C$1)),-2)</f>
        <v>9800</v>
      </c>
      <c r="J9" s="11">
        <f t="shared" ref="J9:J10" si="14">ROUND(D9/C9*I9,-1)</f>
        <v>1180</v>
      </c>
    </row>
    <row r="10" spans="1:10" x14ac:dyDescent="0.25">
      <c r="A10" t="s">
        <v>16</v>
      </c>
      <c r="B10" s="8">
        <v>2400</v>
      </c>
      <c r="C10" s="8">
        <v>5000</v>
      </c>
      <c r="D10" s="8">
        <v>500</v>
      </c>
      <c r="E10" s="6"/>
      <c r="F10" s="6"/>
      <c r="G10" s="9">
        <f>((C10/B10)-1)/($C$1-$B$1)</f>
        <v>4.3333333333333342E-2</v>
      </c>
      <c r="H10" s="14">
        <f t="shared" ref="H10" si="15">ROUND(B10*(1+G10*($H$1-$B$1)),-2)</f>
        <v>3400</v>
      </c>
      <c r="I10" s="11">
        <f t="shared" si="13"/>
        <v>7400</v>
      </c>
      <c r="J10" s="11">
        <f t="shared" si="14"/>
        <v>740</v>
      </c>
    </row>
    <row r="11" spans="1:10" x14ac:dyDescent="0.25">
      <c r="B11" s="8"/>
      <c r="C11" s="8"/>
      <c r="D11" s="8"/>
      <c r="E11" s="8"/>
      <c r="F11" s="8"/>
    </row>
    <row r="12" spans="1:10" x14ac:dyDescent="0.25">
      <c r="B12" s="8"/>
      <c r="C12" s="8"/>
      <c r="D12" s="8"/>
      <c r="E12" s="8"/>
      <c r="F12" s="8"/>
    </row>
    <row r="13" spans="1:10" x14ac:dyDescent="0.25">
      <c r="B13" s="8"/>
      <c r="C13" s="8"/>
      <c r="D13" s="8"/>
      <c r="E13" s="8"/>
      <c r="F13" s="8"/>
    </row>
    <row r="14" spans="1:10" x14ac:dyDescent="0.25">
      <c r="B14" s="8"/>
      <c r="C14" s="8"/>
      <c r="D14" s="8"/>
      <c r="E14" s="8"/>
      <c r="F14" s="8"/>
    </row>
    <row r="15" spans="1:10" x14ac:dyDescent="0.25">
      <c r="B15" s="8"/>
      <c r="C15" s="8"/>
      <c r="D15" s="8"/>
      <c r="E15" s="8"/>
      <c r="F15" s="8"/>
    </row>
    <row r="16" spans="1:10" x14ac:dyDescent="0.25">
      <c r="B16" s="8"/>
      <c r="C16" s="8"/>
      <c r="D16" s="8"/>
      <c r="E16" s="8"/>
      <c r="F16" s="8"/>
    </row>
    <row r="17" spans="2:6" x14ac:dyDescent="0.25">
      <c r="B17" s="8"/>
      <c r="C17" s="8"/>
      <c r="D17" s="8"/>
      <c r="E17" s="8"/>
      <c r="F17" s="8"/>
    </row>
    <row r="18" spans="2:6" x14ac:dyDescent="0.25">
      <c r="B18" s="8"/>
      <c r="C18" s="8"/>
      <c r="D18" s="8"/>
      <c r="E18" s="8"/>
      <c r="F18" s="8"/>
    </row>
    <row r="19" spans="2:6" x14ac:dyDescent="0.25">
      <c r="B19" s="8"/>
      <c r="C19" s="8"/>
      <c r="D19" s="8"/>
      <c r="E19" s="8"/>
      <c r="F19" s="8"/>
    </row>
    <row r="20" spans="2:6" x14ac:dyDescent="0.25">
      <c r="B20" s="8"/>
      <c r="C20" s="8"/>
      <c r="D20" s="8"/>
      <c r="E20" s="8"/>
      <c r="F20" s="8"/>
    </row>
    <row r="21" spans="2:6" x14ac:dyDescent="0.25">
      <c r="B21" s="8"/>
      <c r="C21" s="8"/>
      <c r="D21" s="8"/>
      <c r="E21" s="8"/>
      <c r="F21" s="8"/>
    </row>
    <row r="22" spans="2:6" x14ac:dyDescent="0.25">
      <c r="B22" s="8"/>
      <c r="C22" s="8"/>
      <c r="D22" s="8"/>
      <c r="E22" s="8"/>
      <c r="F22" s="8"/>
    </row>
    <row r="23" spans="2:6" x14ac:dyDescent="0.25">
      <c r="B23" s="8"/>
      <c r="C23" s="8"/>
      <c r="D23" s="8"/>
      <c r="E23" s="8"/>
      <c r="F23" s="8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6R</vt:lpstr>
      <vt:lpstr>6A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Howdyshell, Jennifer</dc:creator>
  <cp:lastModifiedBy>Howdyshell, Jennifer</cp:lastModifiedBy>
  <dcterms:created xsi:type="dcterms:W3CDTF">2020-11-19T15:20:24Z</dcterms:created>
  <dcterms:modified xsi:type="dcterms:W3CDTF">2020-11-20T19:56:13Z</dcterms:modified>
</cp:coreProperties>
</file>