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pw_work\arcadispw01\andrew.farmer\dms78751\"/>
    </mc:Choice>
  </mc:AlternateContent>
  <xr:revisionPtr revIDLastSave="0" documentId="13_ncr:1_{7A01CF5F-6EED-4769-BB49-3C2F1B517AB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ridge Design C" sheetId="27" r:id="rId1"/>
    <sheet name="Ditch C" sheetId="22" r:id="rId2"/>
    <sheet name="Tc" sheetId="21" r:id="rId3"/>
    <sheet name="SR-51 Bridge Culvert" sheetId="26" r:id="rId4"/>
    <sheet name="25+75 Culvert Flow" sheetId="23" r:id="rId5"/>
    <sheet name="28+56.85 Culvert Flow" sheetId="24" r:id="rId6"/>
    <sheet name="Ex. Bike Path" sheetId="2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22" l="1"/>
  <c r="J46" i="22" s="1"/>
  <c r="K46" i="22" s="1"/>
  <c r="G46" i="22"/>
  <c r="H46" i="22" s="1"/>
  <c r="U46" i="22" s="1"/>
  <c r="V46" i="22" s="1"/>
  <c r="F46" i="22"/>
  <c r="E46" i="22"/>
  <c r="U36" i="22"/>
  <c r="E36" i="22"/>
  <c r="F8" i="24"/>
  <c r="E14" i="24"/>
  <c r="E8" i="24"/>
  <c r="D9" i="24"/>
  <c r="E9" i="24" s="1"/>
  <c r="C9" i="24"/>
  <c r="B9" i="24"/>
  <c r="E15" i="24"/>
  <c r="E34" i="22"/>
  <c r="E13" i="23"/>
  <c r="F13" i="23" s="1"/>
  <c r="D14" i="23"/>
  <c r="E14" i="23" s="1"/>
  <c r="C14" i="23"/>
  <c r="B14" i="23"/>
  <c r="E8" i="23"/>
  <c r="F8" i="23" s="1"/>
  <c r="E22" i="23"/>
  <c r="E21" i="23"/>
  <c r="F21" i="23" s="1"/>
  <c r="I21" i="23" s="1"/>
  <c r="D9" i="23"/>
  <c r="E9" i="23" s="1"/>
  <c r="C9" i="23"/>
  <c r="B9" i="23"/>
  <c r="U26" i="22"/>
  <c r="E26" i="22"/>
  <c r="E25" i="22"/>
  <c r="G45" i="22"/>
  <c r="H45" i="22" s="1"/>
  <c r="I45" i="22"/>
  <c r="J45" i="22" s="1"/>
  <c r="K45" i="22" s="1"/>
  <c r="E45" i="22"/>
  <c r="G44" i="22"/>
  <c r="H44" i="22" s="1"/>
  <c r="I44" i="22"/>
  <c r="J44" i="22" s="1"/>
  <c r="K44" i="22" s="1"/>
  <c r="E44" i="22"/>
  <c r="G43" i="22"/>
  <c r="H43" i="22" s="1"/>
  <c r="I43" i="22"/>
  <c r="J43" i="22" s="1"/>
  <c r="K43" i="22" s="1"/>
  <c r="E43" i="22"/>
  <c r="G42" i="22"/>
  <c r="H42" i="22" s="1"/>
  <c r="I42" i="22"/>
  <c r="J42" i="22" s="1"/>
  <c r="K42" i="22" s="1"/>
  <c r="E42" i="22"/>
  <c r="G41" i="22"/>
  <c r="H41" i="22" s="1"/>
  <c r="I41" i="22"/>
  <c r="J41" i="22" s="1"/>
  <c r="K41" i="22" s="1"/>
  <c r="E41" i="22"/>
  <c r="E40" i="22"/>
  <c r="G40" i="22"/>
  <c r="H40" i="22" s="1"/>
  <c r="I40" i="22"/>
  <c r="J40" i="22" s="1"/>
  <c r="K40" i="22" s="1"/>
  <c r="G39" i="22"/>
  <c r="H39" i="22" s="1"/>
  <c r="I39" i="22"/>
  <c r="J39" i="22" s="1"/>
  <c r="K39" i="22" s="1"/>
  <c r="E39" i="22"/>
  <c r="E13" i="25"/>
  <c r="E12" i="25"/>
  <c r="D13" i="25"/>
  <c r="G38" i="22"/>
  <c r="H38" i="22" s="1"/>
  <c r="I38" i="22"/>
  <c r="J38" i="22" s="1"/>
  <c r="K38" i="22" s="1"/>
  <c r="G37" i="22"/>
  <c r="H37" i="22" s="1"/>
  <c r="I37" i="22"/>
  <c r="J37" i="22" s="1"/>
  <c r="K37" i="22" s="1"/>
  <c r="E37" i="22"/>
  <c r="G36" i="22"/>
  <c r="H36" i="22" s="1"/>
  <c r="I36" i="22"/>
  <c r="J36" i="22" s="1"/>
  <c r="K36" i="22" s="1"/>
  <c r="F35" i="22"/>
  <c r="I35" i="22" s="1"/>
  <c r="J35" i="22" s="1"/>
  <c r="K35" i="22" s="1"/>
  <c r="E35" i="22"/>
  <c r="F34" i="22"/>
  <c r="I34" i="22" s="1"/>
  <c r="J34" i="22" s="1"/>
  <c r="K34" i="22" s="1"/>
  <c r="F33" i="22"/>
  <c r="G33" i="22" s="1"/>
  <c r="H33" i="22" s="1"/>
  <c r="E33" i="22"/>
  <c r="G32" i="22"/>
  <c r="H32" i="22" s="1"/>
  <c r="I32" i="22"/>
  <c r="J32" i="22" s="1"/>
  <c r="K32" i="22" s="1"/>
  <c r="E32" i="22"/>
  <c r="D23" i="27"/>
  <c r="E23" i="27" s="1"/>
  <c r="D22" i="27"/>
  <c r="E22" i="27" s="1"/>
  <c r="I23" i="27"/>
  <c r="D21" i="27"/>
  <c r="E21" i="27" s="1"/>
  <c r="F24" i="27"/>
  <c r="E24" i="27"/>
  <c r="F23" i="27"/>
  <c r="G23" i="27" s="1"/>
  <c r="H23" i="27" s="1"/>
  <c r="F22" i="27"/>
  <c r="F31" i="22"/>
  <c r="G31" i="22" s="1"/>
  <c r="H31" i="22" s="1"/>
  <c r="E31" i="22"/>
  <c r="F30" i="22"/>
  <c r="I30" i="22" s="1"/>
  <c r="J30" i="22" s="1"/>
  <c r="K30" i="22" s="1"/>
  <c r="E30" i="22"/>
  <c r="F29" i="22"/>
  <c r="G29" i="22" s="1"/>
  <c r="H29" i="22" s="1"/>
  <c r="E29" i="22"/>
  <c r="F28" i="22"/>
  <c r="G28" i="22" s="1"/>
  <c r="H28" i="22" s="1"/>
  <c r="E28" i="22"/>
  <c r="F27" i="22"/>
  <c r="G27" i="22" s="1"/>
  <c r="H27" i="22" s="1"/>
  <c r="I27" i="22"/>
  <c r="J27" i="22" s="1"/>
  <c r="K27" i="22" s="1"/>
  <c r="E27" i="22"/>
  <c r="I26" i="22"/>
  <c r="J26" i="22" s="1"/>
  <c r="K26" i="22" s="1"/>
  <c r="G26" i="22"/>
  <c r="H26" i="22" s="1"/>
  <c r="I25" i="22"/>
  <c r="J25" i="22" s="1"/>
  <c r="K25" i="22" s="1"/>
  <c r="G25" i="22"/>
  <c r="H25" i="22" s="1"/>
  <c r="D9" i="26"/>
  <c r="E9" i="26" s="1"/>
  <c r="F9" i="26" s="1"/>
  <c r="C9" i="26"/>
  <c r="B9" i="26"/>
  <c r="E8" i="26"/>
  <c r="F8" i="26" s="1"/>
  <c r="G24" i="22"/>
  <c r="H24" i="22" s="1"/>
  <c r="I24" i="22"/>
  <c r="J24" i="22" s="1"/>
  <c r="K24" i="22" s="1"/>
  <c r="E24" i="22"/>
  <c r="F23" i="22"/>
  <c r="G23" i="22" s="1"/>
  <c r="H23" i="22" s="1"/>
  <c r="E23" i="22"/>
  <c r="F22" i="22"/>
  <c r="I22" i="22" s="1"/>
  <c r="J22" i="22" s="1"/>
  <c r="K22" i="22" s="1"/>
  <c r="E22" i="22"/>
  <c r="AI22" i="21"/>
  <c r="AI23" i="21"/>
  <c r="AI24" i="21"/>
  <c r="AI25" i="21"/>
  <c r="AI26" i="21"/>
  <c r="AI21" i="21"/>
  <c r="C21" i="21"/>
  <c r="E21" i="21" s="1"/>
  <c r="AD21" i="21"/>
  <c r="AC21" i="21"/>
  <c r="V21" i="21"/>
  <c r="T21" i="21"/>
  <c r="P21" i="21"/>
  <c r="O21" i="21"/>
  <c r="M21" i="21"/>
  <c r="J21" i="21"/>
  <c r="H21" i="21"/>
  <c r="F21" i="22"/>
  <c r="I21" i="22" s="1"/>
  <c r="J21" i="22" s="1"/>
  <c r="K21" i="22" s="1"/>
  <c r="E21" i="22"/>
  <c r="B8" i="25"/>
  <c r="E9" i="25"/>
  <c r="E8" i="25"/>
  <c r="B9" i="25"/>
  <c r="F9" i="25" s="1"/>
  <c r="L9" i="25" s="1"/>
  <c r="B14" i="24"/>
  <c r="B15" i="24" s="1"/>
  <c r="E22" i="21"/>
  <c r="H22" i="21"/>
  <c r="J22" i="21"/>
  <c r="M22" i="21"/>
  <c r="O22" i="21"/>
  <c r="P22" i="21"/>
  <c r="T22" i="21"/>
  <c r="V22" i="21"/>
  <c r="AC22" i="21"/>
  <c r="AD22" i="21"/>
  <c r="E23" i="21"/>
  <c r="H23" i="21"/>
  <c r="J23" i="21"/>
  <c r="M23" i="21"/>
  <c r="O23" i="21"/>
  <c r="P23" i="21"/>
  <c r="T23" i="21"/>
  <c r="V23" i="21"/>
  <c r="AC23" i="21"/>
  <c r="AD23" i="21"/>
  <c r="E24" i="21"/>
  <c r="J24" i="21"/>
  <c r="O24" i="21"/>
  <c r="P24" i="21"/>
  <c r="V24" i="21"/>
  <c r="AH24" i="21"/>
  <c r="E25" i="21"/>
  <c r="J25" i="21"/>
  <c r="O25" i="21"/>
  <c r="P25" i="21"/>
  <c r="V25" i="21"/>
  <c r="AH25" i="21"/>
  <c r="E26" i="21"/>
  <c r="H26" i="21"/>
  <c r="J26" i="21"/>
  <c r="M26" i="21"/>
  <c r="O26" i="21"/>
  <c r="P26" i="21"/>
  <c r="T26" i="21"/>
  <c r="V26" i="21"/>
  <c r="AC26" i="21"/>
  <c r="AF26" i="21" s="1"/>
  <c r="AD26" i="21"/>
  <c r="AE26" i="21"/>
  <c r="AH26" i="21"/>
  <c r="F14" i="24" l="1"/>
  <c r="F9" i="24"/>
  <c r="F16" i="23"/>
  <c r="F14" i="23"/>
  <c r="F9" i="23"/>
  <c r="U42" i="22"/>
  <c r="V42" i="22" s="1"/>
  <c r="U43" i="22"/>
  <c r="V43" i="22" s="1"/>
  <c r="U45" i="22"/>
  <c r="V45" i="22" s="1"/>
  <c r="U44" i="22"/>
  <c r="V44" i="22" s="1"/>
  <c r="G21" i="22"/>
  <c r="H21" i="22" s="1"/>
  <c r="U21" i="22" s="1"/>
  <c r="U41" i="22"/>
  <c r="V41" i="22" s="1"/>
  <c r="U27" i="22"/>
  <c r="V27" i="22" s="1"/>
  <c r="I31" i="22"/>
  <c r="J31" i="22" s="1"/>
  <c r="K31" i="22" s="1"/>
  <c r="U31" i="22" s="1"/>
  <c r="V31" i="22" s="1"/>
  <c r="U40" i="22"/>
  <c r="V40" i="22" s="1"/>
  <c r="I29" i="22"/>
  <c r="J29" i="22" s="1"/>
  <c r="K29" i="22" s="1"/>
  <c r="U29" i="22" s="1"/>
  <c r="V29" i="22" s="1"/>
  <c r="U37" i="22"/>
  <c r="V37" i="22" s="1"/>
  <c r="G34" i="22"/>
  <c r="H34" i="22" s="1"/>
  <c r="G30" i="22"/>
  <c r="H30" i="22" s="1"/>
  <c r="U30" i="22" s="1"/>
  <c r="V30" i="22" s="1"/>
  <c r="V26" i="22"/>
  <c r="I23" i="22"/>
  <c r="J23" i="22" s="1"/>
  <c r="K23" i="22" s="1"/>
  <c r="U23" i="22" s="1"/>
  <c r="V23" i="22" s="1"/>
  <c r="G22" i="22"/>
  <c r="H22" i="22" s="1"/>
  <c r="U22" i="22" s="1"/>
  <c r="V22" i="22" s="1"/>
  <c r="U32" i="22"/>
  <c r="V32" i="22" s="1"/>
  <c r="V36" i="22"/>
  <c r="I33" i="22"/>
  <c r="J33" i="22" s="1"/>
  <c r="K33" i="22" s="1"/>
  <c r="U33" i="22" s="1"/>
  <c r="V33" i="22" s="1"/>
  <c r="U24" i="22"/>
  <c r="V24" i="22" s="1"/>
  <c r="U39" i="22"/>
  <c r="V39" i="22" s="1"/>
  <c r="G35" i="22"/>
  <c r="H35" i="22" s="1"/>
  <c r="U35" i="22" s="1"/>
  <c r="V35" i="22" s="1"/>
  <c r="F21" i="27"/>
  <c r="G21" i="27" s="1"/>
  <c r="H21" i="27" s="1"/>
  <c r="I21" i="27" s="1"/>
  <c r="G24" i="27"/>
  <c r="H24" i="27" s="1"/>
  <c r="I24" i="27" s="1"/>
  <c r="G22" i="27"/>
  <c r="H22" i="27" s="1"/>
  <c r="I22" i="27" s="1"/>
  <c r="I28" i="22"/>
  <c r="J28" i="22" s="1"/>
  <c r="K28" i="22" s="1"/>
  <c r="U28" i="22" s="1"/>
  <c r="V28" i="22" s="1"/>
  <c r="AE23" i="21"/>
  <c r="AF23" i="21" s="1"/>
  <c r="AH23" i="21" s="1"/>
  <c r="AJ23" i="21" s="1"/>
  <c r="AE21" i="21"/>
  <c r="AF21" i="21" s="1"/>
  <c r="AH21" i="21" s="1"/>
  <c r="AJ21" i="21" s="1"/>
  <c r="F8" i="25"/>
  <c r="L8" i="25" s="1"/>
  <c r="F15" i="24"/>
  <c r="I15" i="24" s="1"/>
  <c r="I14" i="24"/>
  <c r="F22" i="23"/>
  <c r="I22" i="23" s="1"/>
  <c r="AE22" i="21"/>
  <c r="AF22" i="21" s="1"/>
  <c r="AJ25" i="21"/>
  <c r="AJ26" i="21"/>
  <c r="AJ24" i="21"/>
  <c r="V21" i="22"/>
  <c r="F17" i="23" l="1"/>
  <c r="E38" i="22"/>
  <c r="B12" i="25" s="1"/>
  <c r="B13" i="25" s="1"/>
  <c r="U25" i="22"/>
  <c r="AH22" i="21"/>
  <c r="AJ22" i="21" s="1"/>
  <c r="V25" i="22" l="1"/>
  <c r="U34" i="22"/>
  <c r="V34" i="22" l="1"/>
  <c r="U38" i="22"/>
  <c r="V38" i="22" l="1"/>
  <c r="C12" i="25"/>
  <c r="C13" i="25" l="1"/>
  <c r="F13" i="25" s="1"/>
  <c r="L13" i="25" s="1"/>
  <c r="F12" i="25"/>
  <c r="L12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afarmer</author>
  </authors>
  <commentList>
    <comment ref="F20" authorId="0" shapeId="0" xr:uid="{B9DBAC4B-347D-4B1B-933D-6FF575EDC708}">
      <text>
        <r>
          <rPr>
            <b/>
            <sz val="9"/>
            <color indexed="81"/>
            <rFont val="Tahoma"/>
            <charset val="1"/>
          </rPr>
          <t>afarmer:</t>
        </r>
        <r>
          <rPr>
            <sz val="9"/>
            <color indexed="81"/>
            <rFont val="Tahoma"/>
            <charset val="1"/>
          </rPr>
          <t xml:space="preserve">
Scratch 11 BD102
</t>
        </r>
      </text>
    </comment>
    <comment ref="O20" authorId="0" shapeId="0" xr:uid="{508B42F9-2FE6-4A7A-8F41-BB590034CB0C}">
      <text>
        <r>
          <rPr>
            <b/>
            <sz val="9"/>
            <color indexed="81"/>
            <rFont val="Tahoma"/>
            <family val="2"/>
          </rPr>
          <t>afarmer:</t>
        </r>
        <r>
          <rPr>
            <sz val="9"/>
            <color indexed="81"/>
            <rFont val="Tahoma"/>
            <family val="2"/>
          </rPr>
          <t xml:space="preserve">
Scratch 3 BD005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afarmer</author>
  </authors>
  <commentList>
    <comment ref="B19" authorId="0" shapeId="0" xr:uid="{CF415FCF-AE56-421E-912F-9C99D6832C05}">
      <text>
        <r>
          <rPr>
            <b/>
            <sz val="9"/>
            <color indexed="81"/>
            <rFont val="Tahoma"/>
            <family val="2"/>
          </rPr>
          <t>afarmer:</t>
        </r>
        <r>
          <rPr>
            <sz val="9"/>
            <color indexed="81"/>
            <rFont val="Tahoma"/>
            <family val="2"/>
          </rPr>
          <t xml:space="preserve">
TC lines in BD102 Scratch 15 color yellow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afarmer</author>
  </authors>
  <commentList>
    <comment ref="G20" authorId="0" shapeId="0" xr:uid="{4BA70774-7A15-42A2-830F-77CDF7A4CDA8}">
      <text>
        <r>
          <rPr>
            <b/>
            <sz val="9"/>
            <color indexed="81"/>
            <rFont val="Tahoma"/>
            <charset val="1"/>
          </rPr>
          <t>afarmer:</t>
        </r>
        <r>
          <rPr>
            <sz val="9"/>
            <color indexed="81"/>
            <rFont val="Tahoma"/>
            <charset val="1"/>
          </rPr>
          <t xml:space="preserve">
from capacity of existing pipes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afarmer</author>
  </authors>
  <commentList>
    <comment ref="G13" authorId="0" shapeId="0" xr:uid="{B4BDA232-52DE-4BAB-8171-94942D474C0A}">
      <text>
        <r>
          <rPr>
            <b/>
            <sz val="9"/>
            <color indexed="81"/>
            <rFont val="Tahoma"/>
            <charset val="1"/>
          </rPr>
          <t>afarmer:</t>
        </r>
        <r>
          <rPr>
            <sz val="9"/>
            <color indexed="81"/>
            <rFont val="Tahoma"/>
            <charset val="1"/>
          </rPr>
          <t xml:space="preserve">
from capacity of existing pipes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afarmer</author>
  </authors>
  <commentList>
    <comment ref="G7" authorId="0" shapeId="0" xr:uid="{3A8A6A8F-3E7F-4FA9-96A5-0F45DC1A45A1}">
      <text>
        <r>
          <rPr>
            <b/>
            <sz val="9"/>
            <color indexed="81"/>
            <rFont val="Tahoma"/>
            <charset val="1"/>
          </rPr>
          <t>afarmer:</t>
        </r>
        <r>
          <rPr>
            <sz val="9"/>
            <color indexed="81"/>
            <rFont val="Tahoma"/>
            <charset val="1"/>
          </rPr>
          <t xml:space="preserve">
from capacity of existing pipes</t>
        </r>
      </text>
    </comment>
    <comment ref="G11" authorId="0" shapeId="0" xr:uid="{7C0EB779-1F3D-4DD0-81AF-42447550B7E5}">
      <text>
        <r>
          <rPr>
            <b/>
            <sz val="9"/>
            <color indexed="81"/>
            <rFont val="Tahoma"/>
            <charset val="1"/>
          </rPr>
          <t>afarmer:</t>
        </r>
        <r>
          <rPr>
            <sz val="9"/>
            <color indexed="81"/>
            <rFont val="Tahoma"/>
            <charset val="1"/>
          </rPr>
          <t xml:space="preserve">
from capacity of existing pipes</t>
        </r>
      </text>
    </comment>
  </commentList>
</comments>
</file>

<file path=xl/sharedStrings.xml><?xml version="1.0" encoding="utf-8"?>
<sst xmlns="http://schemas.openxmlformats.org/spreadsheetml/2006/main" count="325" uniqueCount="179">
  <si>
    <t>Pavement "C" =</t>
  </si>
  <si>
    <t>Berms/Slopes (4:1 and flatter) "C" =</t>
  </si>
  <si>
    <t>Berms/Slopes (steeper than 4:1) "C" =</t>
  </si>
  <si>
    <t>Residential Single Family "C" =</t>
  </si>
  <si>
    <t>Residential Multi-Family "C" =</t>
  </si>
  <si>
    <t>Commercial "C" =</t>
  </si>
  <si>
    <t>Gravel "C" =</t>
  </si>
  <si>
    <t>Woods "C" =</t>
  </si>
  <si>
    <t>Area
(SF)</t>
  </si>
  <si>
    <t>Area
(AC)</t>
  </si>
  <si>
    <t>Weighted C</t>
  </si>
  <si>
    <t>Pavement
(SF)</t>
  </si>
  <si>
    <t>Pavement
(Acres)</t>
  </si>
  <si>
    <t>Pavement
(A*C)</t>
  </si>
  <si>
    <t>Summation of A*C</t>
  </si>
  <si>
    <t>L (ft)</t>
  </si>
  <si>
    <t>C</t>
  </si>
  <si>
    <t>s (%)</t>
  </si>
  <si>
    <t>Overland Flow</t>
  </si>
  <si>
    <t>Forest with heavy ground filter "k" =</t>
  </si>
  <si>
    <t>Min. tillage cultivated; woodland "k" =</t>
  </si>
  <si>
    <t>Short grass pasture "k" =</t>
  </si>
  <si>
    <t>Cultivated straight row "k" =</t>
  </si>
  <si>
    <t>Poor grass; untilled "k" =</t>
  </si>
  <si>
    <t>Grassed waterways "k" =</t>
  </si>
  <si>
    <t>Unpaved area; bare soil "k" =</t>
  </si>
  <si>
    <t>Paved area "k" =</t>
  </si>
  <si>
    <t>Shallow Concentrated Flow</t>
  </si>
  <si>
    <t>V (fps)</t>
  </si>
  <si>
    <t>Open Channel Flow</t>
  </si>
  <si>
    <t>n</t>
  </si>
  <si>
    <t>S (ft/ft)</t>
  </si>
  <si>
    <t>Pipe Diameter (in)</t>
  </si>
  <si>
    <t>Pipe Flow</t>
  </si>
  <si>
    <t>Bottom Width (ft)</t>
  </si>
  <si>
    <t>Side Slope 1 (x:1)</t>
  </si>
  <si>
    <t>Side Slope 2 (x:1)</t>
  </si>
  <si>
    <t>Assumed Depth (ft)</t>
  </si>
  <si>
    <t>Wetted Perimeter (ft)</t>
  </si>
  <si>
    <t>Actual Flow (cfs)</t>
  </si>
  <si>
    <t>Berms/Slopes (4:1 and flatter)
(SF)</t>
  </si>
  <si>
    <t>Berms/Slopes (4:1 and flatter)
(Acres)</t>
  </si>
  <si>
    <t>Berms/Slopes (4:1 and flatter)
(A*C)</t>
  </si>
  <si>
    <t>Cultivated "C" =</t>
  </si>
  <si>
    <t>Residential Single Family
(SF)</t>
  </si>
  <si>
    <t>Residential Single Family
(Acres)</t>
  </si>
  <si>
    <t>Residential Single Family
(A*C)</t>
  </si>
  <si>
    <r>
      <t>t</t>
    </r>
    <r>
      <rPr>
        <vertAlign val="sub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 xml:space="preserve"> (min)</t>
    </r>
  </si>
  <si>
    <r>
      <t>k</t>
    </r>
    <r>
      <rPr>
        <vertAlign val="subscript"/>
        <sz val="11"/>
        <rFont val="Calibri"/>
        <family val="2"/>
        <scheme val="minor"/>
      </rPr>
      <t>1</t>
    </r>
  </si>
  <si>
    <r>
      <t>s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(%)</t>
    </r>
  </si>
  <si>
    <r>
      <t>V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(fps)</t>
    </r>
  </si>
  <si>
    <r>
      <t>L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(ft)</t>
    </r>
  </si>
  <si>
    <r>
      <t>t</t>
    </r>
    <r>
      <rPr>
        <vertAlign val="subscript"/>
        <sz val="11"/>
        <rFont val="Calibri"/>
        <family val="2"/>
        <scheme val="minor"/>
      </rPr>
      <t>s,1</t>
    </r>
    <r>
      <rPr>
        <sz val="11"/>
        <rFont val="Calibri"/>
        <family val="2"/>
        <scheme val="minor"/>
      </rPr>
      <t xml:space="preserve"> (min)</t>
    </r>
  </si>
  <si>
    <r>
      <t>k</t>
    </r>
    <r>
      <rPr>
        <vertAlign val="subscript"/>
        <sz val="11"/>
        <rFont val="Calibri"/>
        <family val="2"/>
        <scheme val="minor"/>
      </rPr>
      <t>2</t>
    </r>
  </si>
  <si>
    <r>
      <t>s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(%)</t>
    </r>
  </si>
  <si>
    <r>
      <t>V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(fps)</t>
    </r>
  </si>
  <si>
    <r>
      <t>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(ft)</t>
    </r>
  </si>
  <si>
    <r>
      <t>t</t>
    </r>
    <r>
      <rPr>
        <vertAlign val="subscript"/>
        <sz val="11"/>
        <rFont val="Calibri"/>
        <family val="2"/>
        <scheme val="minor"/>
      </rPr>
      <t>s,2</t>
    </r>
    <r>
      <rPr>
        <sz val="11"/>
        <rFont val="Calibri"/>
        <family val="2"/>
        <scheme val="minor"/>
      </rPr>
      <t xml:space="preserve"> (min)</t>
    </r>
  </si>
  <si>
    <r>
      <t>t</t>
    </r>
    <r>
      <rPr>
        <vertAlign val="subscript"/>
        <sz val="11"/>
        <rFont val="Calibri"/>
        <family val="2"/>
        <scheme val="minor"/>
      </rPr>
      <t>s, total</t>
    </r>
    <r>
      <rPr>
        <sz val="11"/>
        <rFont val="Calibri"/>
        <family val="2"/>
        <scheme val="minor"/>
      </rPr>
      <t xml:space="preserve"> (min)</t>
    </r>
  </si>
  <si>
    <r>
      <t>t</t>
    </r>
    <r>
      <rPr>
        <vertAlign val="subscript"/>
        <sz val="11"/>
        <rFont val="Calibri"/>
        <family val="2"/>
        <scheme val="minor"/>
      </rPr>
      <t>d</t>
    </r>
    <r>
      <rPr>
        <sz val="11"/>
        <rFont val="Calibri"/>
        <family val="2"/>
        <scheme val="minor"/>
      </rPr>
      <t xml:space="preserve"> (min)</t>
    </r>
  </si>
  <si>
    <r>
      <t>Flow Area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</si>
  <si>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Woods
(SF)</t>
  </si>
  <si>
    <t>Woods
(Acres)</t>
  </si>
  <si>
    <t>Woods
(A*C)</t>
  </si>
  <si>
    <t>Name</t>
  </si>
  <si>
    <t>Cultivated
(SF)</t>
  </si>
  <si>
    <t>Cultivated
(Acres)</t>
  </si>
  <si>
    <t>Cultivated
(A*C)</t>
  </si>
  <si>
    <t>All areas measured in CAD</t>
  </si>
  <si>
    <t>Project: GRE-68-13.56</t>
  </si>
  <si>
    <t>Date: 8/20/21</t>
  </si>
  <si>
    <t>Ditch Design</t>
  </si>
  <si>
    <t>Ditch Time of Concentration</t>
  </si>
  <si>
    <t>Station/Offset</t>
  </si>
  <si>
    <t>DA (ac)</t>
  </si>
  <si>
    <t>Tc (min)</t>
  </si>
  <si>
    <t>a</t>
  </si>
  <si>
    <t>b</t>
  </si>
  <si>
    <t>c</t>
  </si>
  <si>
    <t>Zone A</t>
  </si>
  <si>
    <t>Storm</t>
  </si>
  <si>
    <t>25-Yr</t>
  </si>
  <si>
    <t>100-Yr</t>
  </si>
  <si>
    <t>i</t>
  </si>
  <si>
    <t>Q</t>
  </si>
  <si>
    <t>Point Flows</t>
  </si>
  <si>
    <t>Total Flow</t>
  </si>
  <si>
    <t>1st culvert</t>
  </si>
  <si>
    <t>2nd culvert</t>
  </si>
  <si>
    <t>Date: 10/20/22</t>
  </si>
  <si>
    <t>Project: LUC-23-11.75</t>
  </si>
  <si>
    <t>Alignment</t>
  </si>
  <si>
    <t>CLP_NB_ENT</t>
  </si>
  <si>
    <r>
      <t>t</t>
    </r>
    <r>
      <rPr>
        <vertAlign val="subscript"/>
        <sz val="11"/>
        <rFont val="Calibri"/>
        <family val="2"/>
        <scheme val="minor"/>
      </rPr>
      <t>c</t>
    </r>
    <r>
      <rPr>
        <sz val="11"/>
        <rFont val="Calibri"/>
        <family val="2"/>
        <scheme val="minor"/>
      </rPr>
      <t xml:space="preserve"> [min] (min. = 15)</t>
    </r>
  </si>
  <si>
    <r>
      <t>t</t>
    </r>
    <r>
      <rPr>
        <vertAlign val="subscript"/>
        <sz val="10"/>
        <rFont val="Arial"/>
        <family val="2"/>
      </rPr>
      <t>c</t>
    </r>
    <r>
      <rPr>
        <sz val="11"/>
        <rFont val="Calibri"/>
        <family val="2"/>
        <scheme val="minor"/>
      </rPr>
      <t xml:space="preserve"> (min)</t>
    </r>
  </si>
  <si>
    <t>DA-1</t>
  </si>
  <si>
    <t>DA-2</t>
  </si>
  <si>
    <t>DA-3</t>
  </si>
  <si>
    <t>DA-4</t>
  </si>
  <si>
    <t>Notes</t>
  </si>
  <si>
    <t>10-Yr</t>
  </si>
  <si>
    <t>Upstream of SR-51 bridge embankment.</t>
  </si>
  <si>
    <t>DA-5</t>
  </si>
  <si>
    <t>NW of culvert. Area and C value for ditch analysis from sum of upstream drainage areas.</t>
  </si>
  <si>
    <t>DA-6</t>
  </si>
  <si>
    <t>E of culvert. Included areas from Bergmann calcs, look in OneNote.</t>
  </si>
  <si>
    <t>DA-7</t>
  </si>
  <si>
    <t>31+50.00 LT</t>
  </si>
  <si>
    <t>25+75.00 RT</t>
  </si>
  <si>
    <t>30+00.00 RT</t>
  </si>
  <si>
    <t>31+00.00 RT</t>
  </si>
  <si>
    <t>33+55.00 RT</t>
  </si>
  <si>
    <t>36+10.00 RT</t>
  </si>
  <si>
    <t>DA-8</t>
  </si>
  <si>
    <t>DA-9</t>
  </si>
  <si>
    <t>27+50.00 LT</t>
  </si>
  <si>
    <t>DA-10</t>
  </si>
  <si>
    <t>26+50.00 LT</t>
  </si>
  <si>
    <t>DA-11</t>
  </si>
  <si>
    <t>25+39.07 LT</t>
  </si>
  <si>
    <t>North of ex. stream confluence.</t>
  </si>
  <si>
    <t>Bridge Spread Design</t>
  </si>
  <si>
    <t>Bridge 1</t>
  </si>
  <si>
    <t>Location</t>
  </si>
  <si>
    <t>SE Corner</t>
  </si>
  <si>
    <t>182+29</t>
  </si>
  <si>
    <t>CLP_Monroe</t>
  </si>
  <si>
    <t>Bridge 2</t>
  </si>
  <si>
    <t>SW Corner</t>
  </si>
  <si>
    <t>178+98</t>
  </si>
  <si>
    <t>Bridge 3</t>
  </si>
  <si>
    <t>SW SUP</t>
  </si>
  <si>
    <t>DA-12</t>
  </si>
  <si>
    <t>CLP_NB_EXT</t>
  </si>
  <si>
    <t>29+50.00 LT</t>
  </si>
  <si>
    <t>24+45.52 RT</t>
  </si>
  <si>
    <t>DA-13</t>
  </si>
  <si>
    <t>East of ex. stream confluence.</t>
  </si>
  <si>
    <t>DA-14</t>
  </si>
  <si>
    <t>28+57 RT</t>
  </si>
  <si>
    <t>DA-15</t>
  </si>
  <si>
    <t>North of upstream end of NB_EXT culvert.</t>
  </si>
  <si>
    <t>South of upstream end of NB_EXT culvert.</t>
  </si>
  <si>
    <t>DA-16</t>
  </si>
  <si>
    <t>Begin of NB_EXT RT ditch, added flows from outlet designed by Bergmann.</t>
  </si>
  <si>
    <t>23+31.53 LT</t>
  </si>
  <si>
    <t>DA-17</t>
  </si>
  <si>
    <t>28+57 LT</t>
  </si>
  <si>
    <t>Outlet of NB_EXT culvert, upstream of culvert discharge.</t>
  </si>
  <si>
    <t>DA-18</t>
  </si>
  <si>
    <t>31+40 LT</t>
  </si>
  <si>
    <t>DA-19</t>
  </si>
  <si>
    <t>CLP_SB</t>
  </si>
  <si>
    <t>Included areas from Monroe St. Outlets (from Tetra Tech)</t>
  </si>
  <si>
    <t>DA-20</t>
  </si>
  <si>
    <t>14+00 RT</t>
  </si>
  <si>
    <t>CLP_SB_ENT</t>
  </si>
  <si>
    <t>23+00 LT</t>
  </si>
  <si>
    <t>DA-21</t>
  </si>
  <si>
    <t>CLP_US_23</t>
  </si>
  <si>
    <t>928+00 LT</t>
  </si>
  <si>
    <t>DA-22</t>
  </si>
  <si>
    <t>932+50 LT</t>
  </si>
  <si>
    <t>DA-23</t>
  </si>
  <si>
    <t>937+50 LT</t>
  </si>
  <si>
    <t>DA-24</t>
  </si>
  <si>
    <t>942+50 LT</t>
  </si>
  <si>
    <t>DA-25</t>
  </si>
  <si>
    <t>947+00 LT</t>
  </si>
  <si>
    <t>29+50 RT</t>
  </si>
  <si>
    <t>DA &amp; C From NB Ent 27+50 to 25+75 RT CDSS Ditch Calcs</t>
  </si>
  <si>
    <t>DA &amp; C From NB Ent Begin to 25+75 RT CDSS Ditch Calcs</t>
  </si>
  <si>
    <t>25-Yr Design Flow for HY-8 =</t>
  </si>
  <si>
    <t>100-Yr Flow for HY-8 =</t>
  </si>
  <si>
    <t>Initial Estimate Flow</t>
  </si>
  <si>
    <t>DA &amp; C From Ex. Ditch NB Ent 25+39 LT to NB Exit 28+57 CDSS Ditch Calcs</t>
  </si>
  <si>
    <t>DA-26</t>
  </si>
  <si>
    <t>25+00 LT</t>
  </si>
  <si>
    <t>Date: 3/21/24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</si>
</sst>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vertAlign val="subscript"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vertAlign val="subscript"/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5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2" fontId="0" fillId="0" borderId="0" xfId="0" applyNumberFormat="1"/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711874" cy="288405"/>
    <xdr:pic>
      <xdr:nvPicPr>
        <xdr:cNvPr id="2" name="Picture 1">
          <a:extLst>
            <a:ext uri="{FF2B5EF4-FFF2-40B4-BE49-F238E27FC236}">
              <a16:creationId xmlns:a16="http://schemas.microsoft.com/office/drawing/2014/main" id="{ED7F69F6-5385-457A-9BCD-15ED8563D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711874" cy="28840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10583</xdr:colOff>
      <xdr:row>0</xdr:row>
      <xdr:rowOff>138642</xdr:rowOff>
    </xdr:from>
    <xdr:ext cx="2711874" cy="288405"/>
    <xdr:pic>
      <xdr:nvPicPr>
        <xdr:cNvPr id="2" name="Picture 1">
          <a:extLst>
            <a:ext uri="{FF2B5EF4-FFF2-40B4-BE49-F238E27FC236}">
              <a16:creationId xmlns:a16="http://schemas.microsoft.com/office/drawing/2014/main" id="{CE90A65A-3814-4D4D-92F5-4124424D2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" y="138642"/>
          <a:ext cx="2711874" cy="28840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95250</xdr:rowOff>
    </xdr:from>
    <xdr:ext cx="2726903" cy="280785"/>
    <xdr:pic>
      <xdr:nvPicPr>
        <xdr:cNvPr id="2" name="Picture 1">
          <a:extLst>
            <a:ext uri="{FF2B5EF4-FFF2-40B4-BE49-F238E27FC236}">
              <a16:creationId xmlns:a16="http://schemas.microsoft.com/office/drawing/2014/main" id="{097B21F1-57B3-486D-8485-192C15D4A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2726903" cy="2807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43B1-BCEA-4199-B1F2-EA487D086C88}">
  <sheetPr>
    <pageSetUpPr fitToPage="1"/>
  </sheetPr>
  <dimension ref="A4:K24"/>
  <sheetViews>
    <sheetView zoomScale="90" zoomScaleNormal="90" workbookViewId="0">
      <pane xSplit="5" ySplit="20" topLeftCell="F21" activePane="bottomRight" state="frozen"/>
      <selection pane="topRight" activeCell="F1" sqref="F1"/>
      <selection pane="bottomLeft" activeCell="A21" sqref="A21"/>
      <selection pane="bottomRight" activeCell="D24" sqref="D24"/>
    </sheetView>
  </sheetViews>
  <sheetFormatPr defaultColWidth="9.140625" defaultRowHeight="12.75" x14ac:dyDescent="0.2"/>
  <cols>
    <col min="1" max="1" width="21.28515625" style="3" bestFit="1" customWidth="1"/>
    <col min="2" max="3" width="21.28515625" style="3" customWidth="1"/>
    <col min="4" max="4" width="10.85546875" style="3" customWidth="1"/>
    <col min="5" max="7" width="10.42578125" style="3" customWidth="1"/>
    <col min="8" max="8" width="10.5703125" style="3" customWidth="1"/>
    <col min="9" max="9" width="16.42578125" style="3" customWidth="1"/>
    <col min="10" max="10" width="10.7109375" style="3" bestFit="1" customWidth="1"/>
    <col min="11" max="11" width="42" style="3" customWidth="1"/>
    <col min="12" max="16384" width="9.140625" style="3"/>
  </cols>
  <sheetData>
    <row r="4" spans="1:8" x14ac:dyDescent="0.2">
      <c r="A4" s="1" t="s">
        <v>121</v>
      </c>
      <c r="B4" s="1"/>
    </row>
    <row r="5" spans="1:8" x14ac:dyDescent="0.2">
      <c r="A5" s="1" t="s">
        <v>89</v>
      </c>
      <c r="B5" s="1"/>
    </row>
    <row r="6" spans="1:8" x14ac:dyDescent="0.2">
      <c r="A6" s="1" t="s">
        <v>90</v>
      </c>
      <c r="B6" s="1"/>
    </row>
    <row r="7" spans="1:8" x14ac:dyDescent="0.2">
      <c r="A7" s="1" t="s">
        <v>68</v>
      </c>
      <c r="B7" s="1"/>
    </row>
    <row r="9" spans="1:8" x14ac:dyDescent="0.2">
      <c r="A9" s="1" t="s">
        <v>0</v>
      </c>
      <c r="B9" s="1"/>
      <c r="C9" s="2">
        <v>0.9</v>
      </c>
      <c r="F9" s="2"/>
      <c r="G9" s="2"/>
      <c r="H9" s="2"/>
    </row>
    <row r="10" spans="1:8" ht="12.75" customHeight="1" x14ac:dyDescent="0.2">
      <c r="A10" s="1" t="s">
        <v>1</v>
      </c>
      <c r="B10" s="1"/>
      <c r="C10" s="2">
        <v>0.5</v>
      </c>
      <c r="F10" s="2"/>
      <c r="G10" s="2"/>
      <c r="H10" s="2"/>
    </row>
    <row r="11" spans="1:8" ht="12.75" customHeight="1" x14ac:dyDescent="0.2">
      <c r="A11" s="1" t="s">
        <v>2</v>
      </c>
      <c r="B11" s="1"/>
      <c r="C11" s="2">
        <v>0.7</v>
      </c>
      <c r="F11" s="2"/>
      <c r="G11" s="2"/>
      <c r="H11" s="2"/>
    </row>
    <row r="12" spans="1:8" ht="12.75" customHeight="1" x14ac:dyDescent="0.2">
      <c r="A12" s="1" t="s">
        <v>3</v>
      </c>
      <c r="B12" s="1"/>
      <c r="C12" s="2">
        <v>0.4</v>
      </c>
      <c r="F12" s="2"/>
      <c r="G12" s="2"/>
      <c r="H12" s="2"/>
    </row>
    <row r="13" spans="1:8" ht="12.75" customHeight="1" x14ac:dyDescent="0.2">
      <c r="A13" s="1" t="s">
        <v>4</v>
      </c>
      <c r="B13" s="1"/>
      <c r="C13" s="2">
        <v>0.55000000000000004</v>
      </c>
      <c r="F13" s="2"/>
      <c r="G13" s="2"/>
      <c r="H13" s="2"/>
    </row>
    <row r="14" spans="1:8" x14ac:dyDescent="0.2">
      <c r="A14" s="1" t="s">
        <v>5</v>
      </c>
      <c r="B14" s="1"/>
      <c r="C14" s="2">
        <v>0.65</v>
      </c>
      <c r="F14" s="2"/>
      <c r="G14" s="2"/>
      <c r="H14" s="2"/>
    </row>
    <row r="15" spans="1:8" x14ac:dyDescent="0.2">
      <c r="A15" s="1" t="s">
        <v>6</v>
      </c>
      <c r="B15" s="1"/>
      <c r="C15" s="2">
        <v>0.6</v>
      </c>
      <c r="F15" s="2"/>
      <c r="G15" s="2"/>
      <c r="H15" s="2"/>
    </row>
    <row r="16" spans="1:8" x14ac:dyDescent="0.2">
      <c r="A16" s="1" t="s">
        <v>7</v>
      </c>
      <c r="B16" s="1"/>
      <c r="C16" s="2">
        <v>0.3</v>
      </c>
      <c r="F16" s="2"/>
      <c r="G16" s="2"/>
      <c r="H16" s="2"/>
    </row>
    <row r="17" spans="1:11" x14ac:dyDescent="0.2">
      <c r="A17" s="1" t="s">
        <v>43</v>
      </c>
      <c r="B17" s="1"/>
      <c r="C17" s="2">
        <v>0.4</v>
      </c>
      <c r="F17" s="2"/>
      <c r="G17" s="2"/>
      <c r="H17" s="2"/>
    </row>
    <row r="20" spans="1:11" ht="38.25" customHeight="1" x14ac:dyDescent="0.2">
      <c r="A20" s="6" t="s">
        <v>64</v>
      </c>
      <c r="B20" s="6" t="s">
        <v>91</v>
      </c>
      <c r="C20" s="6" t="s">
        <v>123</v>
      </c>
      <c r="D20" s="7" t="s">
        <v>8</v>
      </c>
      <c r="E20" s="7" t="s">
        <v>9</v>
      </c>
      <c r="F20" s="7" t="s">
        <v>11</v>
      </c>
      <c r="G20" s="7" t="s">
        <v>12</v>
      </c>
      <c r="H20" s="7" t="s">
        <v>13</v>
      </c>
      <c r="I20" s="6" t="s">
        <v>14</v>
      </c>
      <c r="J20" s="6" t="s">
        <v>10</v>
      </c>
      <c r="K20" s="6" t="s">
        <v>99</v>
      </c>
    </row>
    <row r="21" spans="1:11" x14ac:dyDescent="0.2">
      <c r="A21" s="14" t="s">
        <v>122</v>
      </c>
      <c r="B21" s="14" t="s">
        <v>126</v>
      </c>
      <c r="C21" s="14" t="s">
        <v>125</v>
      </c>
      <c r="D21" s="14">
        <f>ROUND(160.28*47,2)</f>
        <v>7533.16</v>
      </c>
      <c r="E21" s="13">
        <f t="shared" ref="E21:E24" si="0">ROUND(D21/43560,2)</f>
        <v>0.17</v>
      </c>
      <c r="F21" s="15">
        <f>D21</f>
        <v>7533.16</v>
      </c>
      <c r="G21" s="14">
        <f t="shared" ref="G21:G24" si="1">ROUND(F21/43560,2)</f>
        <v>0.17</v>
      </c>
      <c r="H21" s="14">
        <f t="shared" ref="H21:H24" si="2">ROUND(G21*$C$9,2)</f>
        <v>0.15</v>
      </c>
      <c r="I21" s="13">
        <f>H21</f>
        <v>0.15</v>
      </c>
      <c r="J21" s="13">
        <v>0.9</v>
      </c>
      <c r="K21" s="24" t="s">
        <v>124</v>
      </c>
    </row>
    <row r="22" spans="1:11" x14ac:dyDescent="0.2">
      <c r="A22" s="14" t="s">
        <v>127</v>
      </c>
      <c r="B22" s="14" t="s">
        <v>126</v>
      </c>
      <c r="C22" s="14" t="s">
        <v>129</v>
      </c>
      <c r="D22" s="14">
        <f>ROUND(171.2*47,2)</f>
        <v>8046.4</v>
      </c>
      <c r="E22" s="13">
        <f t="shared" si="0"/>
        <v>0.18</v>
      </c>
      <c r="F22" s="15">
        <f>4660+606</f>
        <v>5266</v>
      </c>
      <c r="G22" s="14">
        <f t="shared" si="1"/>
        <v>0.12</v>
      </c>
      <c r="H22" s="14">
        <f t="shared" si="2"/>
        <v>0.11</v>
      </c>
      <c r="I22" s="13">
        <f t="shared" ref="I22:I24" si="3">H22</f>
        <v>0.11</v>
      </c>
      <c r="J22" s="13">
        <v>0.9</v>
      </c>
      <c r="K22" s="23" t="s">
        <v>128</v>
      </c>
    </row>
    <row r="23" spans="1:11" x14ac:dyDescent="0.2">
      <c r="A23" s="14" t="s">
        <v>130</v>
      </c>
      <c r="B23" s="14" t="s">
        <v>126</v>
      </c>
      <c r="C23" s="14" t="s">
        <v>129</v>
      </c>
      <c r="D23" s="14">
        <f>ROUND(171.2*14,2)</f>
        <v>2396.8000000000002</v>
      </c>
      <c r="E23" s="13">
        <f t="shared" si="0"/>
        <v>0.06</v>
      </c>
      <c r="F23" s="15">
        <f>5243+618</f>
        <v>5861</v>
      </c>
      <c r="G23" s="14">
        <f t="shared" si="1"/>
        <v>0.13</v>
      </c>
      <c r="H23" s="14">
        <f t="shared" si="2"/>
        <v>0.12</v>
      </c>
      <c r="I23" s="13">
        <f t="shared" si="3"/>
        <v>0.12</v>
      </c>
      <c r="J23" s="13">
        <v>0.9</v>
      </c>
      <c r="K23" s="23" t="s">
        <v>131</v>
      </c>
    </row>
    <row r="24" spans="1:11" x14ac:dyDescent="0.2">
      <c r="A24" s="14" t="s">
        <v>116</v>
      </c>
      <c r="B24" s="14" t="s">
        <v>92</v>
      </c>
      <c r="C24" s="14" t="s">
        <v>117</v>
      </c>
      <c r="D24" s="14">
        <v>9709</v>
      </c>
      <c r="E24" s="13">
        <f t="shared" si="0"/>
        <v>0.22</v>
      </c>
      <c r="F24" s="15">
        <f>3721+314</f>
        <v>4035</v>
      </c>
      <c r="G24" s="14">
        <f t="shared" si="1"/>
        <v>0.09</v>
      </c>
      <c r="H24" s="14">
        <f t="shared" si="2"/>
        <v>0.08</v>
      </c>
      <c r="I24" s="13">
        <f t="shared" si="3"/>
        <v>0.08</v>
      </c>
      <c r="J24" s="13">
        <v>0.9</v>
      </c>
      <c r="K24" s="23"/>
    </row>
  </sheetData>
  <pageMargins left="0.7" right="0.7" top="0.75" bottom="0.75" header="0.3" footer="0.3"/>
  <pageSetup paperSize="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CD155-4624-43F5-B6CC-9CEE1694CDB0}">
  <sheetPr>
    <pageSetUpPr fitToPage="1"/>
  </sheetPr>
  <dimension ref="A4:W48"/>
  <sheetViews>
    <sheetView tabSelected="1" zoomScale="90" zoomScaleNormal="90" workbookViewId="0">
      <pane xSplit="5" ySplit="20" topLeftCell="F27" activePane="bottomRight" state="frozen"/>
      <selection pane="topRight" activeCell="F1" sqref="F1"/>
      <selection pane="bottomLeft" activeCell="A21" sqref="A21"/>
      <selection pane="bottomRight" activeCell="A6" sqref="A6"/>
    </sheetView>
  </sheetViews>
  <sheetFormatPr defaultColWidth="9.140625" defaultRowHeight="12.75" x14ac:dyDescent="0.2"/>
  <cols>
    <col min="1" max="1" width="21.28515625" style="3" bestFit="1" customWidth="1"/>
    <col min="2" max="3" width="21.28515625" style="3" customWidth="1"/>
    <col min="4" max="4" width="10.85546875" style="3" customWidth="1"/>
    <col min="5" max="7" width="10.42578125" style="3" customWidth="1"/>
    <col min="8" max="8" width="10.5703125" style="3" customWidth="1"/>
    <col min="9" max="11" width="18.28515625" style="3" customWidth="1"/>
    <col min="12" max="17" width="18.28515625" style="3" hidden="1" customWidth="1"/>
    <col min="18" max="20" width="16.140625" style="3" customWidth="1"/>
    <col min="21" max="21" width="16.42578125" style="3" customWidth="1"/>
    <col min="22" max="22" width="10.7109375" style="3" bestFit="1" customWidth="1"/>
    <col min="23" max="23" width="79.7109375" style="3" bestFit="1" customWidth="1"/>
    <col min="24" max="16384" width="9.140625" style="3"/>
  </cols>
  <sheetData>
    <row r="4" spans="1:8" x14ac:dyDescent="0.2">
      <c r="A4" s="1" t="s">
        <v>71</v>
      </c>
      <c r="B4" s="1"/>
    </row>
    <row r="5" spans="1:8" x14ac:dyDescent="0.2">
      <c r="A5" s="1" t="s">
        <v>178</v>
      </c>
      <c r="B5" s="1"/>
    </row>
    <row r="6" spans="1:8" x14ac:dyDescent="0.2">
      <c r="A6" s="1" t="s">
        <v>90</v>
      </c>
      <c r="B6" s="1"/>
    </row>
    <row r="7" spans="1:8" x14ac:dyDescent="0.2">
      <c r="A7" s="1" t="s">
        <v>68</v>
      </c>
      <c r="B7" s="1"/>
    </row>
    <row r="9" spans="1:8" x14ac:dyDescent="0.2">
      <c r="A9" s="1" t="s">
        <v>0</v>
      </c>
      <c r="B9" s="1"/>
      <c r="C9" s="2">
        <v>0.9</v>
      </c>
      <c r="F9" s="2"/>
      <c r="G9" s="2"/>
      <c r="H9" s="2"/>
    </row>
    <row r="10" spans="1:8" ht="12.75" customHeight="1" x14ac:dyDescent="0.2">
      <c r="A10" s="1" t="s">
        <v>1</v>
      </c>
      <c r="B10" s="1"/>
      <c r="C10" s="2">
        <v>0.5</v>
      </c>
      <c r="F10" s="2"/>
      <c r="G10" s="2"/>
      <c r="H10" s="2"/>
    </row>
    <row r="11" spans="1:8" ht="12.75" customHeight="1" x14ac:dyDescent="0.2">
      <c r="A11" s="1" t="s">
        <v>2</v>
      </c>
      <c r="B11" s="1"/>
      <c r="C11" s="2">
        <v>0.7</v>
      </c>
      <c r="F11" s="2"/>
      <c r="G11" s="2"/>
      <c r="H11" s="2"/>
    </row>
    <row r="12" spans="1:8" ht="12.75" customHeight="1" x14ac:dyDescent="0.2">
      <c r="A12" s="1" t="s">
        <v>3</v>
      </c>
      <c r="B12" s="1"/>
      <c r="C12" s="2">
        <v>0.4</v>
      </c>
      <c r="F12" s="2"/>
      <c r="G12" s="2"/>
      <c r="H12" s="2"/>
    </row>
    <row r="13" spans="1:8" ht="12.75" customHeight="1" x14ac:dyDescent="0.2">
      <c r="A13" s="1" t="s">
        <v>4</v>
      </c>
      <c r="B13" s="1"/>
      <c r="C13" s="2">
        <v>0.55000000000000004</v>
      </c>
      <c r="F13" s="2"/>
      <c r="G13" s="2"/>
      <c r="H13" s="2"/>
    </row>
    <row r="14" spans="1:8" x14ac:dyDescent="0.2">
      <c r="A14" s="1" t="s">
        <v>5</v>
      </c>
      <c r="B14" s="1"/>
      <c r="C14" s="2">
        <v>0.65</v>
      </c>
      <c r="F14" s="2"/>
      <c r="G14" s="2"/>
      <c r="H14" s="2"/>
    </row>
    <row r="15" spans="1:8" x14ac:dyDescent="0.2">
      <c r="A15" s="1" t="s">
        <v>6</v>
      </c>
      <c r="B15" s="1"/>
      <c r="C15" s="2">
        <v>0.6</v>
      </c>
      <c r="F15" s="2"/>
      <c r="G15" s="2"/>
      <c r="H15" s="2"/>
    </row>
    <row r="16" spans="1:8" x14ac:dyDescent="0.2">
      <c r="A16" s="1" t="s">
        <v>7</v>
      </c>
      <c r="B16" s="1"/>
      <c r="C16" s="2">
        <v>0.3</v>
      </c>
      <c r="F16" s="2"/>
      <c r="G16" s="2"/>
      <c r="H16" s="2"/>
    </row>
    <row r="17" spans="1:23" x14ac:dyDescent="0.2">
      <c r="A17" s="1" t="s">
        <v>43</v>
      </c>
      <c r="B17" s="1"/>
      <c r="C17" s="2">
        <v>0.4</v>
      </c>
      <c r="F17" s="2"/>
      <c r="G17" s="2"/>
      <c r="H17" s="2"/>
    </row>
    <row r="20" spans="1:23" ht="38.25" customHeight="1" x14ac:dyDescent="0.2">
      <c r="A20" s="6" t="s">
        <v>64</v>
      </c>
      <c r="B20" s="6" t="s">
        <v>91</v>
      </c>
      <c r="C20" s="6" t="s">
        <v>73</v>
      </c>
      <c r="D20" s="7" t="s">
        <v>8</v>
      </c>
      <c r="E20" s="7" t="s">
        <v>9</v>
      </c>
      <c r="F20" s="7" t="s">
        <v>11</v>
      </c>
      <c r="G20" s="7" t="s">
        <v>12</v>
      </c>
      <c r="H20" s="7" t="s">
        <v>13</v>
      </c>
      <c r="I20" s="7" t="s">
        <v>40</v>
      </c>
      <c r="J20" s="7" t="s">
        <v>41</v>
      </c>
      <c r="K20" s="7" t="s">
        <v>42</v>
      </c>
      <c r="L20" s="7" t="s">
        <v>65</v>
      </c>
      <c r="M20" s="7" t="s">
        <v>66</v>
      </c>
      <c r="N20" s="7" t="s">
        <v>67</v>
      </c>
      <c r="O20" s="7" t="s">
        <v>44</v>
      </c>
      <c r="P20" s="7" t="s">
        <v>45</v>
      </c>
      <c r="Q20" s="7" t="s">
        <v>46</v>
      </c>
      <c r="R20" s="7" t="s">
        <v>61</v>
      </c>
      <c r="S20" s="7" t="s">
        <v>62</v>
      </c>
      <c r="T20" s="7" t="s">
        <v>63</v>
      </c>
      <c r="U20" s="6" t="s">
        <v>14</v>
      </c>
      <c r="V20" s="6" t="s">
        <v>10</v>
      </c>
      <c r="W20" s="6" t="s">
        <v>99</v>
      </c>
    </row>
    <row r="21" spans="1:23" x14ac:dyDescent="0.2">
      <c r="A21" s="14" t="s">
        <v>95</v>
      </c>
      <c r="B21" s="14" t="s">
        <v>92</v>
      </c>
      <c r="C21" s="14" t="s">
        <v>112</v>
      </c>
      <c r="D21" s="14">
        <v>190056</v>
      </c>
      <c r="E21" s="14">
        <f t="shared" ref="E21:E24" si="0">ROUND(D21/43560,2)</f>
        <v>4.3600000000000003</v>
      </c>
      <c r="F21" s="15">
        <f>59253+14801</f>
        <v>74054</v>
      </c>
      <c r="G21" s="14">
        <f t="shared" ref="G21:G22" si="1">ROUND(F21/43560,2)</f>
        <v>1.7</v>
      </c>
      <c r="H21" s="14">
        <f t="shared" ref="H21:H29" si="2">ROUND(G21*$C$9,2)</f>
        <v>1.53</v>
      </c>
      <c r="I21" s="15">
        <f t="shared" ref="I21:I26" si="3">D21-F21</f>
        <v>116002</v>
      </c>
      <c r="J21" s="14">
        <f t="shared" ref="J21" si="4">ROUND(I21/43560,2)</f>
        <v>2.66</v>
      </c>
      <c r="K21" s="14">
        <f t="shared" ref="K21:K29" si="5">ROUND(J21*$C$10,2)</f>
        <v>1.33</v>
      </c>
      <c r="L21" s="15"/>
      <c r="M21" s="14"/>
      <c r="N21" s="14"/>
      <c r="O21" s="15"/>
      <c r="P21" s="14"/>
      <c r="Q21" s="14"/>
      <c r="R21" s="15"/>
      <c r="S21" s="14"/>
      <c r="T21" s="14"/>
      <c r="U21" s="14">
        <f>SUM(H21,K21,N21,Q21,T21)</f>
        <v>2.8600000000000003</v>
      </c>
      <c r="V21" s="13">
        <f t="shared" ref="V21" si="6">ROUND(U21/E21,2)</f>
        <v>0.66</v>
      </c>
      <c r="W21" s="23"/>
    </row>
    <row r="22" spans="1:23" x14ac:dyDescent="0.2">
      <c r="A22" s="14" t="s">
        <v>96</v>
      </c>
      <c r="B22" s="14" t="s">
        <v>92</v>
      </c>
      <c r="C22" s="14" t="s">
        <v>111</v>
      </c>
      <c r="D22" s="14">
        <v>28005</v>
      </c>
      <c r="E22" s="14">
        <f t="shared" si="0"/>
        <v>0.64</v>
      </c>
      <c r="F22" s="15">
        <f>12207+2153</f>
        <v>14360</v>
      </c>
      <c r="G22" s="14">
        <f t="shared" si="1"/>
        <v>0.33</v>
      </c>
      <c r="H22" s="14">
        <f t="shared" si="2"/>
        <v>0.3</v>
      </c>
      <c r="I22" s="15">
        <f t="shared" si="3"/>
        <v>13645</v>
      </c>
      <c r="J22" s="14">
        <f t="shared" ref="J22" si="7">ROUND(I22/43560,2)</f>
        <v>0.31</v>
      </c>
      <c r="K22" s="14">
        <f t="shared" si="5"/>
        <v>0.16</v>
      </c>
      <c r="L22" s="15"/>
      <c r="M22" s="14"/>
      <c r="N22" s="14"/>
      <c r="O22" s="15"/>
      <c r="P22" s="14"/>
      <c r="Q22" s="14"/>
      <c r="R22" s="15"/>
      <c r="S22" s="14"/>
      <c r="T22" s="14"/>
      <c r="U22" s="14">
        <f>SUM(H22,K22,N22,Q22,T22)</f>
        <v>0.45999999999999996</v>
      </c>
      <c r="V22" s="13">
        <f t="shared" ref="V22" si="8">ROUND(U22/E22,2)</f>
        <v>0.72</v>
      </c>
      <c r="W22" s="23"/>
    </row>
    <row r="23" spans="1:23" x14ac:dyDescent="0.2">
      <c r="A23" s="14" t="s">
        <v>97</v>
      </c>
      <c r="B23" s="14" t="s">
        <v>92</v>
      </c>
      <c r="C23" s="14" t="s">
        <v>110</v>
      </c>
      <c r="D23" s="14">
        <v>23704</v>
      </c>
      <c r="E23" s="14">
        <f t="shared" si="0"/>
        <v>0.54</v>
      </c>
      <c r="F23" s="15">
        <f>6441+2501</f>
        <v>8942</v>
      </c>
      <c r="G23" s="14">
        <f t="shared" ref="G23" si="9">ROUND(F23/43560,2)</f>
        <v>0.21</v>
      </c>
      <c r="H23" s="14">
        <f t="shared" si="2"/>
        <v>0.19</v>
      </c>
      <c r="I23" s="15">
        <f t="shared" si="3"/>
        <v>14762</v>
      </c>
      <c r="J23" s="14">
        <f t="shared" ref="J23" si="10">ROUND(I23/43560,2)</f>
        <v>0.34</v>
      </c>
      <c r="K23" s="14">
        <f t="shared" si="5"/>
        <v>0.17</v>
      </c>
      <c r="L23" s="15"/>
      <c r="M23" s="14"/>
      <c r="N23" s="14"/>
      <c r="O23" s="15"/>
      <c r="P23" s="14"/>
      <c r="Q23" s="14"/>
      <c r="R23" s="15"/>
      <c r="S23" s="14"/>
      <c r="T23" s="14"/>
      <c r="U23" s="14">
        <f>SUM(H23,K23,N23,Q23,T23)</f>
        <v>0.36</v>
      </c>
      <c r="V23" s="13">
        <f t="shared" ref="V23" si="11">ROUND(U23/E23,2)</f>
        <v>0.67</v>
      </c>
      <c r="W23" s="23"/>
    </row>
    <row r="24" spans="1:23" x14ac:dyDescent="0.2">
      <c r="A24" s="14" t="s">
        <v>98</v>
      </c>
      <c r="B24" s="14" t="s">
        <v>92</v>
      </c>
      <c r="C24" s="14" t="s">
        <v>109</v>
      </c>
      <c r="D24" s="14">
        <v>15338</v>
      </c>
      <c r="E24" s="14">
        <f t="shared" si="0"/>
        <v>0.35</v>
      </c>
      <c r="F24" s="15">
        <v>2196</v>
      </c>
      <c r="G24" s="14">
        <f t="shared" ref="G24" si="12">ROUND(F24/43560,2)</f>
        <v>0.05</v>
      </c>
      <c r="H24" s="14">
        <f t="shared" si="2"/>
        <v>0.05</v>
      </c>
      <c r="I24" s="15">
        <f t="shared" si="3"/>
        <v>13142</v>
      </c>
      <c r="J24" s="14">
        <f t="shared" ref="J24" si="13">ROUND(I24/43560,2)</f>
        <v>0.3</v>
      </c>
      <c r="K24" s="14">
        <f t="shared" si="5"/>
        <v>0.15</v>
      </c>
      <c r="L24" s="15"/>
      <c r="M24" s="14"/>
      <c r="N24" s="14"/>
      <c r="O24" s="15"/>
      <c r="P24" s="14"/>
      <c r="Q24" s="14"/>
      <c r="R24" s="15"/>
      <c r="S24" s="14"/>
      <c r="T24" s="14"/>
      <c r="U24" s="14">
        <f>SUM(H24,K24,N24,Q24,T24)</f>
        <v>0.2</v>
      </c>
      <c r="V24" s="13">
        <f t="shared" ref="V24" si="14">ROUND(U24/E24,2)</f>
        <v>0.56999999999999995</v>
      </c>
      <c r="W24" s="23" t="s">
        <v>101</v>
      </c>
    </row>
    <row r="25" spans="1:23" x14ac:dyDescent="0.2">
      <c r="A25" s="14" t="s">
        <v>102</v>
      </c>
      <c r="B25" s="14" t="s">
        <v>92</v>
      </c>
      <c r="C25" s="14" t="s">
        <v>108</v>
      </c>
      <c r="D25" s="14">
        <v>71081</v>
      </c>
      <c r="E25" s="14">
        <f>ROUND(D25/43560,2)+E21+E22+E23+E24</f>
        <v>7.52</v>
      </c>
      <c r="F25" s="15">
        <v>9433</v>
      </c>
      <c r="G25" s="14">
        <f t="shared" ref="G25" si="15">ROUND(F25/43560,2)</f>
        <v>0.22</v>
      </c>
      <c r="H25" s="14">
        <f t="shared" si="2"/>
        <v>0.2</v>
      </c>
      <c r="I25" s="15">
        <f t="shared" si="3"/>
        <v>61648</v>
      </c>
      <c r="J25" s="14">
        <f t="shared" ref="J25" si="16">ROUND(I25/43560,2)</f>
        <v>1.42</v>
      </c>
      <c r="K25" s="14">
        <f t="shared" si="5"/>
        <v>0.71</v>
      </c>
      <c r="L25" s="15"/>
      <c r="M25" s="14"/>
      <c r="N25" s="14"/>
      <c r="O25" s="15"/>
      <c r="P25" s="14"/>
      <c r="Q25" s="14"/>
      <c r="R25" s="15"/>
      <c r="S25" s="14"/>
      <c r="T25" s="14"/>
      <c r="U25" s="14">
        <f>SUM(H25,K25,N25,Q25,T25)+U21+U22+U23+U24</f>
        <v>4.7900000000000009</v>
      </c>
      <c r="V25" s="13">
        <f t="shared" ref="V25" si="17">ROUND(U25/E25,2)</f>
        <v>0.64</v>
      </c>
      <c r="W25" s="23" t="s">
        <v>103</v>
      </c>
    </row>
    <row r="26" spans="1:23" x14ac:dyDescent="0.2">
      <c r="A26" s="14" t="s">
        <v>104</v>
      </c>
      <c r="B26" s="14" t="s">
        <v>92</v>
      </c>
      <c r="C26" s="14" t="s">
        <v>108</v>
      </c>
      <c r="D26" s="14">
        <v>76546</v>
      </c>
      <c r="E26" s="13">
        <f>ROUND(D26/43560,2)+1.04</f>
        <v>2.8</v>
      </c>
      <c r="F26" s="15">
        <v>1071</v>
      </c>
      <c r="G26" s="14">
        <f t="shared" ref="G26" si="18">ROUND(F26/43560,2)</f>
        <v>0.02</v>
      </c>
      <c r="H26" s="14">
        <f t="shared" si="2"/>
        <v>0.02</v>
      </c>
      <c r="I26" s="15">
        <f t="shared" si="3"/>
        <v>75475</v>
      </c>
      <c r="J26" s="14">
        <f t="shared" ref="J26" si="19">ROUND(I26/43560,2)</f>
        <v>1.73</v>
      </c>
      <c r="K26" s="14">
        <f t="shared" si="5"/>
        <v>0.87</v>
      </c>
      <c r="L26" s="15"/>
      <c r="M26" s="14"/>
      <c r="N26" s="14"/>
      <c r="O26" s="15"/>
      <c r="P26" s="14"/>
      <c r="Q26" s="14"/>
      <c r="R26" s="15"/>
      <c r="S26" s="14"/>
      <c r="T26" s="14"/>
      <c r="U26" s="14">
        <f>SUM(H26,K26,N26,Q26,T26)+0.94</f>
        <v>1.83</v>
      </c>
      <c r="V26" s="13">
        <f t="shared" ref="V26:V27" si="20">ROUND(U26/E26,2)</f>
        <v>0.65</v>
      </c>
      <c r="W26" s="23" t="s">
        <v>105</v>
      </c>
    </row>
    <row r="27" spans="1:23" x14ac:dyDescent="0.2">
      <c r="A27" s="14" t="s">
        <v>106</v>
      </c>
      <c r="B27" s="14" t="s">
        <v>92</v>
      </c>
      <c r="C27" s="14" t="s">
        <v>107</v>
      </c>
      <c r="D27" s="14">
        <v>6846</v>
      </c>
      <c r="E27" s="13">
        <f t="shared" ref="E27:E37" si="21">ROUND(D27/43560,2)</f>
        <v>0.16</v>
      </c>
      <c r="F27" s="15">
        <f>4179+541</f>
        <v>4720</v>
      </c>
      <c r="G27" s="14">
        <f t="shared" ref="G27:G29" si="22">ROUND(F27/43560,2)</f>
        <v>0.11</v>
      </c>
      <c r="H27" s="14">
        <f t="shared" si="2"/>
        <v>0.1</v>
      </c>
      <c r="I27" s="15">
        <f t="shared" ref="I27:I29" si="23">D27-F27</f>
        <v>2126</v>
      </c>
      <c r="J27" s="14">
        <f t="shared" ref="J27:J29" si="24">ROUND(I27/43560,2)</f>
        <v>0.05</v>
      </c>
      <c r="K27" s="14">
        <f t="shared" si="5"/>
        <v>0.03</v>
      </c>
      <c r="L27" s="15"/>
      <c r="M27" s="14"/>
      <c r="N27" s="14"/>
      <c r="O27" s="15"/>
      <c r="P27" s="14"/>
      <c r="Q27" s="14"/>
      <c r="R27" s="15"/>
      <c r="S27" s="14"/>
      <c r="T27" s="14"/>
      <c r="U27" s="13">
        <f t="shared" ref="U27:U33" si="25">SUM(H27,K27,N27,Q27,T27)</f>
        <v>0.13</v>
      </c>
      <c r="V27" s="13">
        <f t="shared" si="20"/>
        <v>0.81</v>
      </c>
      <c r="W27" s="23"/>
    </row>
    <row r="28" spans="1:23" x14ac:dyDescent="0.2">
      <c r="A28" s="14" t="s">
        <v>113</v>
      </c>
      <c r="B28" s="14" t="s">
        <v>92</v>
      </c>
      <c r="C28" s="14" t="s">
        <v>134</v>
      </c>
      <c r="D28" s="14">
        <v>8612</v>
      </c>
      <c r="E28" s="13">
        <f t="shared" si="21"/>
        <v>0.2</v>
      </c>
      <c r="F28" s="15">
        <f>4660+606</f>
        <v>5266</v>
      </c>
      <c r="G28" s="14">
        <f t="shared" si="22"/>
        <v>0.12</v>
      </c>
      <c r="H28" s="14">
        <f t="shared" si="2"/>
        <v>0.11</v>
      </c>
      <c r="I28" s="15">
        <f t="shared" si="23"/>
        <v>3346</v>
      </c>
      <c r="J28" s="14">
        <f t="shared" si="24"/>
        <v>0.08</v>
      </c>
      <c r="K28" s="14">
        <f t="shared" si="5"/>
        <v>0.04</v>
      </c>
      <c r="L28" s="15"/>
      <c r="M28" s="14"/>
      <c r="N28" s="14"/>
      <c r="O28" s="15"/>
      <c r="P28" s="14"/>
      <c r="Q28" s="14"/>
      <c r="R28" s="15"/>
      <c r="S28" s="14"/>
      <c r="T28" s="14"/>
      <c r="U28" s="13">
        <f t="shared" si="25"/>
        <v>0.15</v>
      </c>
      <c r="V28" s="13">
        <f t="shared" ref="V28" si="26">ROUND(U28/E28,2)</f>
        <v>0.75</v>
      </c>
      <c r="W28" s="23"/>
    </row>
    <row r="29" spans="1:23" x14ac:dyDescent="0.2">
      <c r="A29" s="14" t="s">
        <v>114</v>
      </c>
      <c r="B29" s="14" t="s">
        <v>92</v>
      </c>
      <c r="C29" s="14" t="s">
        <v>115</v>
      </c>
      <c r="D29" s="14">
        <v>9495</v>
      </c>
      <c r="E29" s="13">
        <f t="shared" si="21"/>
        <v>0.22</v>
      </c>
      <c r="F29" s="15">
        <f>5243+618</f>
        <v>5861</v>
      </c>
      <c r="G29" s="14">
        <f t="shared" si="22"/>
        <v>0.13</v>
      </c>
      <c r="H29" s="14">
        <f t="shared" si="2"/>
        <v>0.12</v>
      </c>
      <c r="I29" s="15">
        <f t="shared" si="23"/>
        <v>3634</v>
      </c>
      <c r="J29" s="14">
        <f t="shared" si="24"/>
        <v>0.08</v>
      </c>
      <c r="K29" s="14">
        <f t="shared" si="5"/>
        <v>0.04</v>
      </c>
      <c r="L29" s="15"/>
      <c r="M29" s="14"/>
      <c r="N29" s="14"/>
      <c r="O29" s="15"/>
      <c r="P29" s="14"/>
      <c r="Q29" s="14"/>
      <c r="R29" s="15"/>
      <c r="S29" s="14"/>
      <c r="T29" s="14"/>
      <c r="U29" s="13">
        <f t="shared" si="25"/>
        <v>0.16</v>
      </c>
      <c r="V29" s="13">
        <f t="shared" ref="V29" si="27">ROUND(U29/E29,2)</f>
        <v>0.73</v>
      </c>
      <c r="W29" s="23"/>
    </row>
    <row r="30" spans="1:23" x14ac:dyDescent="0.2">
      <c r="A30" s="14" t="s">
        <v>116</v>
      </c>
      <c r="B30" s="14" t="s">
        <v>92</v>
      </c>
      <c r="C30" s="14" t="s">
        <v>117</v>
      </c>
      <c r="D30" s="14">
        <v>9709</v>
      </c>
      <c r="E30" s="13">
        <f t="shared" si="21"/>
        <v>0.22</v>
      </c>
      <c r="F30" s="15">
        <f>3721+314</f>
        <v>4035</v>
      </c>
      <c r="G30" s="14">
        <f t="shared" ref="G30" si="28">ROUND(F30/43560,2)</f>
        <v>0.09</v>
      </c>
      <c r="H30" s="14">
        <f t="shared" ref="H30" si="29">ROUND(G30*$C$9,2)</f>
        <v>0.08</v>
      </c>
      <c r="I30" s="15">
        <f t="shared" ref="I30" si="30">D30-F30</f>
        <v>5674</v>
      </c>
      <c r="J30" s="14">
        <f t="shared" ref="J30" si="31">ROUND(I30/43560,2)</f>
        <v>0.13</v>
      </c>
      <c r="K30" s="14">
        <f t="shared" ref="K30" si="32">ROUND(J30*$C$10,2)</f>
        <v>7.0000000000000007E-2</v>
      </c>
      <c r="L30" s="15"/>
      <c r="M30" s="14"/>
      <c r="N30" s="14"/>
      <c r="O30" s="15"/>
      <c r="P30" s="14"/>
      <c r="Q30" s="14"/>
      <c r="R30" s="15"/>
      <c r="S30" s="14"/>
      <c r="T30" s="14"/>
      <c r="U30" s="13">
        <f t="shared" si="25"/>
        <v>0.15000000000000002</v>
      </c>
      <c r="V30" s="13">
        <f t="shared" ref="V30" si="33">ROUND(U30/E30,2)</f>
        <v>0.68</v>
      </c>
      <c r="W30" s="23"/>
    </row>
    <row r="31" spans="1:23" x14ac:dyDescent="0.2">
      <c r="A31" s="14" t="s">
        <v>118</v>
      </c>
      <c r="B31" s="14" t="s">
        <v>92</v>
      </c>
      <c r="C31" s="14" t="s">
        <v>119</v>
      </c>
      <c r="D31" s="14">
        <v>32045</v>
      </c>
      <c r="E31" s="13">
        <f t="shared" si="21"/>
        <v>0.74</v>
      </c>
      <c r="F31" s="15">
        <f>4963+391</f>
        <v>5354</v>
      </c>
      <c r="G31" s="14">
        <f t="shared" ref="G31" si="34">ROUND(F31/43560,2)</f>
        <v>0.12</v>
      </c>
      <c r="H31" s="14">
        <f t="shared" ref="H31" si="35">ROUND(G31*$C$9,2)</f>
        <v>0.11</v>
      </c>
      <c r="I31" s="15">
        <f t="shared" ref="I31" si="36">D31-F31</f>
        <v>26691</v>
      </c>
      <c r="J31" s="14">
        <f t="shared" ref="J31" si="37">ROUND(I31/43560,2)</f>
        <v>0.61</v>
      </c>
      <c r="K31" s="14">
        <f t="shared" ref="K31" si="38">ROUND(J31*$C$10,2)</f>
        <v>0.31</v>
      </c>
      <c r="L31" s="15"/>
      <c r="M31" s="14"/>
      <c r="N31" s="14"/>
      <c r="O31" s="15"/>
      <c r="P31" s="14"/>
      <c r="Q31" s="14"/>
      <c r="R31" s="15"/>
      <c r="S31" s="14"/>
      <c r="T31" s="14"/>
      <c r="U31" s="13">
        <f t="shared" si="25"/>
        <v>0.42</v>
      </c>
      <c r="V31" s="13">
        <f t="shared" ref="V31" si="39">ROUND(U31/E31,2)</f>
        <v>0.56999999999999995</v>
      </c>
      <c r="W31" s="23" t="s">
        <v>120</v>
      </c>
    </row>
    <row r="32" spans="1:23" x14ac:dyDescent="0.2">
      <c r="A32" s="14" t="s">
        <v>132</v>
      </c>
      <c r="B32" s="14" t="s">
        <v>133</v>
      </c>
      <c r="C32" s="14" t="s">
        <v>135</v>
      </c>
      <c r="D32" s="14">
        <v>19678</v>
      </c>
      <c r="E32" s="13">
        <f t="shared" si="21"/>
        <v>0.45</v>
      </c>
      <c r="F32" s="15">
        <v>6499</v>
      </c>
      <c r="G32" s="14">
        <f t="shared" ref="G32" si="40">ROUND(F32/43560,2)</f>
        <v>0.15</v>
      </c>
      <c r="H32" s="14">
        <f t="shared" ref="H32" si="41">ROUND(G32*$C$9,2)</f>
        <v>0.14000000000000001</v>
      </c>
      <c r="I32" s="15">
        <f t="shared" ref="I32" si="42">D32-F32</f>
        <v>13179</v>
      </c>
      <c r="J32" s="14">
        <f t="shared" ref="J32" si="43">ROUND(I32/43560,2)</f>
        <v>0.3</v>
      </c>
      <c r="K32" s="14">
        <f t="shared" ref="K32" si="44">ROUND(J32*$C$10,2)</f>
        <v>0.15</v>
      </c>
      <c r="L32" s="15"/>
      <c r="M32" s="14"/>
      <c r="N32" s="14"/>
      <c r="O32" s="15"/>
      <c r="P32" s="14"/>
      <c r="Q32" s="14"/>
      <c r="R32" s="15"/>
      <c r="S32" s="14"/>
      <c r="T32" s="14"/>
      <c r="U32" s="13">
        <f t="shared" si="25"/>
        <v>0.29000000000000004</v>
      </c>
      <c r="V32" s="13">
        <f t="shared" ref="V32" si="45">ROUND(U32/E32,2)</f>
        <v>0.64</v>
      </c>
      <c r="W32" s="23"/>
    </row>
    <row r="33" spans="1:23" x14ac:dyDescent="0.2">
      <c r="A33" s="14" t="s">
        <v>136</v>
      </c>
      <c r="B33" s="14" t="s">
        <v>92</v>
      </c>
      <c r="C33" s="14" t="s">
        <v>119</v>
      </c>
      <c r="D33" s="14">
        <v>43251</v>
      </c>
      <c r="E33" s="13">
        <f t="shared" si="21"/>
        <v>0.99</v>
      </c>
      <c r="F33" s="15">
        <f>527+1349</f>
        <v>1876</v>
      </c>
      <c r="G33" s="14">
        <f t="shared" ref="G33" si="46">ROUND(F33/43560,2)</f>
        <v>0.04</v>
      </c>
      <c r="H33" s="14">
        <f t="shared" ref="H33" si="47">ROUND(G33*$C$9,2)</f>
        <v>0.04</v>
      </c>
      <c r="I33" s="15">
        <f t="shared" ref="I33" si="48">D33-F33</f>
        <v>41375</v>
      </c>
      <c r="J33" s="14">
        <f t="shared" ref="J33" si="49">ROUND(I33/43560,2)</f>
        <v>0.95</v>
      </c>
      <c r="K33" s="14">
        <f t="shared" ref="K33" si="50">ROUND(J33*$C$10,2)</f>
        <v>0.48</v>
      </c>
      <c r="L33" s="15"/>
      <c r="M33" s="14"/>
      <c r="N33" s="14"/>
      <c r="O33" s="15"/>
      <c r="P33" s="14"/>
      <c r="Q33" s="14"/>
      <c r="R33" s="15"/>
      <c r="S33" s="14"/>
      <c r="T33" s="14"/>
      <c r="U33" s="13">
        <f t="shared" si="25"/>
        <v>0.52</v>
      </c>
      <c r="V33" s="13">
        <f t="shared" ref="V33" si="51">ROUND(U33/E33,2)</f>
        <v>0.53</v>
      </c>
      <c r="W33" s="23" t="s">
        <v>137</v>
      </c>
    </row>
    <row r="34" spans="1:23" x14ac:dyDescent="0.2">
      <c r="A34" s="14" t="s">
        <v>138</v>
      </c>
      <c r="B34" s="14" t="s">
        <v>133</v>
      </c>
      <c r="C34" s="14" t="s">
        <v>139</v>
      </c>
      <c r="D34" s="14">
        <v>81684</v>
      </c>
      <c r="E34" s="13">
        <f>ROUND(D34/43560,2)+E25+E26+E27+E28+E29+E30+E31+E32+E33</f>
        <v>15.18</v>
      </c>
      <c r="F34" s="15">
        <f>6132+1294</f>
        <v>7426</v>
      </c>
      <c r="G34" s="14">
        <f t="shared" ref="G34" si="52">ROUND(F34/43560,2)</f>
        <v>0.17</v>
      </c>
      <c r="H34" s="14">
        <f t="shared" ref="H34" si="53">ROUND(G34*$C$9,2)</f>
        <v>0.15</v>
      </c>
      <c r="I34" s="15">
        <f t="shared" ref="I34" si="54">D34-F34</f>
        <v>74258</v>
      </c>
      <c r="J34" s="14">
        <f t="shared" ref="J34" si="55">ROUND(I34/43560,2)</f>
        <v>1.7</v>
      </c>
      <c r="K34" s="14">
        <f t="shared" ref="K34" si="56">ROUND(J34*$C$10,2)</f>
        <v>0.85</v>
      </c>
      <c r="L34" s="15"/>
      <c r="M34" s="14"/>
      <c r="N34" s="14"/>
      <c r="O34" s="15"/>
      <c r="P34" s="14"/>
      <c r="Q34" s="14"/>
      <c r="R34" s="15"/>
      <c r="S34" s="14"/>
      <c r="T34" s="14"/>
      <c r="U34" s="13">
        <f>SUM(H34,K34,N34,Q34,T34)+U25+U26+U27+U28+U29+U30+U31+U32+U33</f>
        <v>9.4400000000000013</v>
      </c>
      <c r="V34" s="13">
        <f t="shared" ref="V34:V35" si="57">ROUND(U34/E34,2)</f>
        <v>0.62</v>
      </c>
      <c r="W34" s="23" t="s">
        <v>141</v>
      </c>
    </row>
    <row r="35" spans="1:23" x14ac:dyDescent="0.2">
      <c r="A35" s="14" t="s">
        <v>140</v>
      </c>
      <c r="B35" s="14" t="s">
        <v>133</v>
      </c>
      <c r="C35" s="14" t="s">
        <v>169</v>
      </c>
      <c r="D35" s="14">
        <v>18341</v>
      </c>
      <c r="E35" s="13">
        <f t="shared" si="21"/>
        <v>0.42</v>
      </c>
      <c r="F35" s="15">
        <f>2348+353</f>
        <v>2701</v>
      </c>
      <c r="G35" s="14">
        <f t="shared" ref="G35" si="58">ROUND(F35/43560,2)</f>
        <v>0.06</v>
      </c>
      <c r="H35" s="14">
        <f t="shared" ref="H35" si="59">ROUND(G35*$C$9,2)</f>
        <v>0.05</v>
      </c>
      <c r="I35" s="15">
        <f t="shared" ref="I35" si="60">D35-F35</f>
        <v>15640</v>
      </c>
      <c r="J35" s="14">
        <f t="shared" ref="J35" si="61">ROUND(I35/43560,2)</f>
        <v>0.36</v>
      </c>
      <c r="K35" s="14">
        <f t="shared" ref="K35" si="62">ROUND(J35*$C$10,2)</f>
        <v>0.18</v>
      </c>
      <c r="L35" s="15"/>
      <c r="M35" s="14"/>
      <c r="N35" s="14"/>
      <c r="O35" s="15"/>
      <c r="P35" s="14"/>
      <c r="Q35" s="14"/>
      <c r="R35" s="15"/>
      <c r="S35" s="14"/>
      <c r="T35" s="14"/>
      <c r="U35" s="13">
        <f>SUM(H35,K35,N35,Q35,T35)</f>
        <v>0.22999999999999998</v>
      </c>
      <c r="V35" s="13">
        <f t="shared" si="57"/>
        <v>0.55000000000000004</v>
      </c>
      <c r="W35" s="23" t="s">
        <v>142</v>
      </c>
    </row>
    <row r="36" spans="1:23" x14ac:dyDescent="0.2">
      <c r="A36" s="14" t="s">
        <v>143</v>
      </c>
      <c r="B36" s="14" t="s">
        <v>133</v>
      </c>
      <c r="C36" s="14" t="s">
        <v>145</v>
      </c>
      <c r="D36" s="14">
        <v>77951</v>
      </c>
      <c r="E36" s="13">
        <f>ROUND(D36/43560,2)+87.43</f>
        <v>89.220000000000013</v>
      </c>
      <c r="F36" s="15">
        <v>17186</v>
      </c>
      <c r="G36" s="14">
        <f t="shared" ref="G36" si="63">ROUND(F36/43560,2)</f>
        <v>0.39</v>
      </c>
      <c r="H36" s="14">
        <f t="shared" ref="H36" si="64">ROUND(G36*$C$9,2)</f>
        <v>0.35</v>
      </c>
      <c r="I36" s="15">
        <f t="shared" ref="I36" si="65">D36-F36</f>
        <v>60765</v>
      </c>
      <c r="J36" s="14">
        <f t="shared" ref="J36" si="66">ROUND(I36/43560,2)</f>
        <v>1.39</v>
      </c>
      <c r="K36" s="14">
        <f t="shared" ref="K36" si="67">ROUND(J36*$C$10,2)</f>
        <v>0.7</v>
      </c>
      <c r="L36" s="15"/>
      <c r="M36" s="14"/>
      <c r="N36" s="14"/>
      <c r="O36" s="15"/>
      <c r="P36" s="14"/>
      <c r="Q36" s="14"/>
      <c r="R36" s="15"/>
      <c r="S36" s="14"/>
      <c r="T36" s="14"/>
      <c r="U36" s="13">
        <f>SUM(H36,K36,N36,Q36,T36)+54.7</f>
        <v>55.75</v>
      </c>
      <c r="V36" s="13">
        <f t="shared" ref="V36:V37" si="68">ROUND(U36/E36,2)</f>
        <v>0.62</v>
      </c>
      <c r="W36" s="23" t="s">
        <v>144</v>
      </c>
    </row>
    <row r="37" spans="1:23" x14ac:dyDescent="0.2">
      <c r="A37" s="14" t="s">
        <v>146</v>
      </c>
      <c r="B37" s="14" t="s">
        <v>133</v>
      </c>
      <c r="C37" s="14" t="s">
        <v>147</v>
      </c>
      <c r="D37" s="14">
        <v>122986</v>
      </c>
      <c r="E37" s="13">
        <f t="shared" si="21"/>
        <v>2.82</v>
      </c>
      <c r="F37" s="15">
        <v>19214</v>
      </c>
      <c r="G37" s="14">
        <f t="shared" ref="G37" si="69">ROUND(F37/43560,2)</f>
        <v>0.44</v>
      </c>
      <c r="H37" s="14">
        <f t="shared" ref="H37" si="70">ROUND(G37*$C$9,2)</f>
        <v>0.4</v>
      </c>
      <c r="I37" s="15">
        <f t="shared" ref="I37" si="71">D37-F37</f>
        <v>103772</v>
      </c>
      <c r="J37" s="14">
        <f t="shared" ref="J37" si="72">ROUND(I37/43560,2)</f>
        <v>2.38</v>
      </c>
      <c r="K37" s="14">
        <f t="shared" ref="K37" si="73">ROUND(J37*$C$10,2)</f>
        <v>1.19</v>
      </c>
      <c r="L37" s="15"/>
      <c r="M37" s="14"/>
      <c r="N37" s="14"/>
      <c r="O37" s="15"/>
      <c r="P37" s="14"/>
      <c r="Q37" s="14"/>
      <c r="R37" s="15"/>
      <c r="S37" s="14"/>
      <c r="T37" s="14"/>
      <c r="U37" s="13">
        <f>SUM(H37,K37,N37,Q37,T37)</f>
        <v>1.5899999999999999</v>
      </c>
      <c r="V37" s="13">
        <f t="shared" si="68"/>
        <v>0.56000000000000005</v>
      </c>
      <c r="W37" s="23" t="s">
        <v>148</v>
      </c>
    </row>
    <row r="38" spans="1:23" x14ac:dyDescent="0.2">
      <c r="A38" s="14" t="s">
        <v>149</v>
      </c>
      <c r="B38" s="14" t="s">
        <v>133</v>
      </c>
      <c r="C38" s="14" t="s">
        <v>150</v>
      </c>
      <c r="D38" s="14">
        <v>133394</v>
      </c>
      <c r="E38" s="13">
        <f>ROUND(D38/43560,2)+E34+E35</f>
        <v>18.66</v>
      </c>
      <c r="F38" s="15">
        <v>6971</v>
      </c>
      <c r="G38" s="14">
        <f t="shared" ref="G38:G46" si="74">ROUND(F38/43560,2)</f>
        <v>0.16</v>
      </c>
      <c r="H38" s="14">
        <f t="shared" ref="H38:H46" si="75">ROUND(G38*$C$9,2)</f>
        <v>0.14000000000000001</v>
      </c>
      <c r="I38" s="15">
        <f t="shared" ref="I38:I46" si="76">D38-F38</f>
        <v>126423</v>
      </c>
      <c r="J38" s="14">
        <f t="shared" ref="J38:J46" si="77">ROUND(I38/43560,2)</f>
        <v>2.9</v>
      </c>
      <c r="K38" s="14">
        <f t="shared" ref="K38:K46" si="78">ROUND(J38*$C$10,2)</f>
        <v>1.45</v>
      </c>
      <c r="L38" s="15"/>
      <c r="M38" s="14"/>
      <c r="N38" s="14"/>
      <c r="O38" s="15"/>
      <c r="P38" s="14"/>
      <c r="Q38" s="14"/>
      <c r="R38" s="15"/>
      <c r="S38" s="14"/>
      <c r="T38" s="14"/>
      <c r="U38" s="13">
        <f>SUM(H38,K38,N38,Q38,T38)+U34+U35</f>
        <v>11.260000000000002</v>
      </c>
      <c r="V38" s="13">
        <f t="shared" ref="V38:V40" si="79">ROUND(U38/E38,2)</f>
        <v>0.6</v>
      </c>
      <c r="W38" s="23"/>
    </row>
    <row r="39" spans="1:23" x14ac:dyDescent="0.2">
      <c r="A39" s="14" t="s">
        <v>151</v>
      </c>
      <c r="B39" s="14" t="s">
        <v>152</v>
      </c>
      <c r="C39" s="14" t="s">
        <v>155</v>
      </c>
      <c r="D39" s="14">
        <v>37490</v>
      </c>
      <c r="E39" s="13">
        <f>ROUND(D39/43560,2)+0.47+0.34</f>
        <v>1.6700000000000002</v>
      </c>
      <c r="F39" s="15">
        <v>13045</v>
      </c>
      <c r="G39" s="14">
        <f t="shared" si="74"/>
        <v>0.3</v>
      </c>
      <c r="H39" s="14">
        <f t="shared" si="75"/>
        <v>0.27</v>
      </c>
      <c r="I39" s="15">
        <f t="shared" si="76"/>
        <v>24445</v>
      </c>
      <c r="J39" s="14">
        <f t="shared" si="77"/>
        <v>0.56000000000000005</v>
      </c>
      <c r="K39" s="14">
        <f t="shared" si="78"/>
        <v>0.28000000000000003</v>
      </c>
      <c r="L39" s="15"/>
      <c r="M39" s="14"/>
      <c r="N39" s="14"/>
      <c r="O39" s="15"/>
      <c r="P39" s="14"/>
      <c r="Q39" s="14"/>
      <c r="R39" s="15"/>
      <c r="S39" s="14"/>
      <c r="T39" s="14"/>
      <c r="U39" s="13">
        <f>SUM(H39,K39,N39,Q39,T39)+0.42+0.31</f>
        <v>1.28</v>
      </c>
      <c r="V39" s="13">
        <f t="shared" si="79"/>
        <v>0.77</v>
      </c>
      <c r="W39" s="23" t="s">
        <v>153</v>
      </c>
    </row>
    <row r="40" spans="1:23" x14ac:dyDescent="0.2">
      <c r="A40" s="14" t="s">
        <v>154</v>
      </c>
      <c r="B40" s="14" t="s">
        <v>156</v>
      </c>
      <c r="C40" s="14" t="s">
        <v>157</v>
      </c>
      <c r="D40" s="14">
        <v>658809</v>
      </c>
      <c r="E40" s="13">
        <f>ROUND(D40/43560,2)+0.33+0.31</f>
        <v>15.76</v>
      </c>
      <c r="F40" s="15">
        <v>230000</v>
      </c>
      <c r="G40" s="14">
        <f t="shared" si="74"/>
        <v>5.28</v>
      </c>
      <c r="H40" s="14">
        <f t="shared" si="75"/>
        <v>4.75</v>
      </c>
      <c r="I40" s="15">
        <f t="shared" si="76"/>
        <v>428809</v>
      </c>
      <c r="J40" s="14">
        <f t="shared" si="77"/>
        <v>9.84</v>
      </c>
      <c r="K40" s="14">
        <f t="shared" si="78"/>
        <v>4.92</v>
      </c>
      <c r="L40" s="15"/>
      <c r="M40" s="14"/>
      <c r="N40" s="14"/>
      <c r="O40" s="15"/>
      <c r="P40" s="14"/>
      <c r="Q40" s="14"/>
      <c r="R40" s="15"/>
      <c r="S40" s="14"/>
      <c r="T40" s="14"/>
      <c r="U40" s="13">
        <f>SUM(H40,K40,N40,Q40,T40)+0.3+0.28</f>
        <v>10.25</v>
      </c>
      <c r="V40" s="13">
        <f t="shared" si="79"/>
        <v>0.65</v>
      </c>
      <c r="W40" s="23"/>
    </row>
    <row r="41" spans="1:23" x14ac:dyDescent="0.2">
      <c r="A41" s="14" t="s">
        <v>158</v>
      </c>
      <c r="B41" s="14" t="s">
        <v>159</v>
      </c>
      <c r="C41" s="14" t="s">
        <v>160</v>
      </c>
      <c r="D41" s="14">
        <v>225008</v>
      </c>
      <c r="E41" s="13">
        <f t="shared" ref="E41:E46" si="80">ROUND(D41/43560,2)</f>
        <v>5.17</v>
      </c>
      <c r="F41" s="15">
        <v>112000</v>
      </c>
      <c r="G41" s="14">
        <f t="shared" si="74"/>
        <v>2.57</v>
      </c>
      <c r="H41" s="14">
        <f t="shared" si="75"/>
        <v>2.31</v>
      </c>
      <c r="I41" s="15">
        <f t="shared" si="76"/>
        <v>113008</v>
      </c>
      <c r="J41" s="14">
        <f t="shared" si="77"/>
        <v>2.59</v>
      </c>
      <c r="K41" s="14">
        <f t="shared" si="78"/>
        <v>1.3</v>
      </c>
      <c r="L41" s="15"/>
      <c r="M41" s="14"/>
      <c r="N41" s="14"/>
      <c r="O41" s="15"/>
      <c r="P41" s="14"/>
      <c r="Q41" s="14"/>
      <c r="R41" s="15"/>
      <c r="S41" s="14"/>
      <c r="T41" s="14"/>
      <c r="U41" s="13">
        <f>SUM(H41,K41,N41,Q41,T41)</f>
        <v>3.6100000000000003</v>
      </c>
      <c r="V41" s="13">
        <f t="shared" ref="V41" si="81">ROUND(U41/E41,2)</f>
        <v>0.7</v>
      </c>
      <c r="W41" s="23"/>
    </row>
    <row r="42" spans="1:23" x14ac:dyDescent="0.2">
      <c r="A42" s="14" t="s">
        <v>161</v>
      </c>
      <c r="B42" s="14" t="s">
        <v>159</v>
      </c>
      <c r="C42" s="14" t="s">
        <v>162</v>
      </c>
      <c r="D42" s="14">
        <v>45404</v>
      </c>
      <c r="E42" s="13">
        <f t="shared" si="80"/>
        <v>1.04</v>
      </c>
      <c r="F42" s="15">
        <v>20500</v>
      </c>
      <c r="G42" s="14">
        <f t="shared" si="74"/>
        <v>0.47</v>
      </c>
      <c r="H42" s="14">
        <f t="shared" si="75"/>
        <v>0.42</v>
      </c>
      <c r="I42" s="15">
        <f t="shared" si="76"/>
        <v>24904</v>
      </c>
      <c r="J42" s="14">
        <f t="shared" si="77"/>
        <v>0.56999999999999995</v>
      </c>
      <c r="K42" s="14">
        <f t="shared" si="78"/>
        <v>0.28999999999999998</v>
      </c>
      <c r="L42" s="15"/>
      <c r="M42" s="14"/>
      <c r="N42" s="14"/>
      <c r="O42" s="15"/>
      <c r="P42" s="14"/>
      <c r="Q42" s="14"/>
      <c r="R42" s="15"/>
      <c r="S42" s="14"/>
      <c r="T42" s="14"/>
      <c r="U42" s="13">
        <f>SUM(H42,K42,N42,Q42,T42)</f>
        <v>0.71</v>
      </c>
      <c r="V42" s="13">
        <f t="shared" ref="V42" si="82">ROUND(U42/E42,2)</f>
        <v>0.68</v>
      </c>
      <c r="W42" s="23"/>
    </row>
    <row r="43" spans="1:23" x14ac:dyDescent="0.2">
      <c r="A43" s="14" t="s">
        <v>163</v>
      </c>
      <c r="B43" s="14" t="s">
        <v>159</v>
      </c>
      <c r="C43" s="14" t="s">
        <v>164</v>
      </c>
      <c r="D43" s="14">
        <v>51895</v>
      </c>
      <c r="E43" s="13">
        <f t="shared" si="80"/>
        <v>1.19</v>
      </c>
      <c r="F43" s="15">
        <v>22500</v>
      </c>
      <c r="G43" s="14">
        <f t="shared" si="74"/>
        <v>0.52</v>
      </c>
      <c r="H43" s="14">
        <f t="shared" si="75"/>
        <v>0.47</v>
      </c>
      <c r="I43" s="15">
        <f t="shared" si="76"/>
        <v>29395</v>
      </c>
      <c r="J43" s="14">
        <f t="shared" si="77"/>
        <v>0.67</v>
      </c>
      <c r="K43" s="14">
        <f t="shared" si="78"/>
        <v>0.34</v>
      </c>
      <c r="L43" s="15"/>
      <c r="M43" s="14"/>
      <c r="N43" s="14"/>
      <c r="O43" s="15"/>
      <c r="P43" s="14"/>
      <c r="Q43" s="14"/>
      <c r="R43" s="15"/>
      <c r="S43" s="14"/>
      <c r="T43" s="14"/>
      <c r="U43" s="13">
        <f>SUM(H43,K43,N43,Q43,T43)</f>
        <v>0.81</v>
      </c>
      <c r="V43" s="13">
        <f t="shared" ref="V43" si="83">ROUND(U43/E43,2)</f>
        <v>0.68</v>
      </c>
      <c r="W43" s="23"/>
    </row>
    <row r="44" spans="1:23" x14ac:dyDescent="0.2">
      <c r="A44" s="14" t="s">
        <v>165</v>
      </c>
      <c r="B44" s="14" t="s">
        <v>159</v>
      </c>
      <c r="C44" s="14" t="s">
        <v>166</v>
      </c>
      <c r="D44" s="14">
        <v>55250</v>
      </c>
      <c r="E44" s="13">
        <f t="shared" si="80"/>
        <v>1.27</v>
      </c>
      <c r="F44" s="15">
        <v>26000</v>
      </c>
      <c r="G44" s="14">
        <f t="shared" si="74"/>
        <v>0.6</v>
      </c>
      <c r="H44" s="14">
        <f t="shared" si="75"/>
        <v>0.54</v>
      </c>
      <c r="I44" s="15">
        <f t="shared" si="76"/>
        <v>29250</v>
      </c>
      <c r="J44" s="14">
        <f t="shared" si="77"/>
        <v>0.67</v>
      </c>
      <c r="K44" s="14">
        <f t="shared" si="78"/>
        <v>0.34</v>
      </c>
      <c r="L44" s="15"/>
      <c r="M44" s="14"/>
      <c r="N44" s="14"/>
      <c r="O44" s="15"/>
      <c r="P44" s="14"/>
      <c r="Q44" s="14"/>
      <c r="R44" s="15"/>
      <c r="S44" s="14"/>
      <c r="T44" s="14"/>
      <c r="U44" s="13">
        <f>SUM(H44,K44,N44,Q44,T44)</f>
        <v>0.88000000000000012</v>
      </c>
      <c r="V44" s="13">
        <f t="shared" ref="V44:V46" si="84">ROUND(U44/E44,2)</f>
        <v>0.69</v>
      </c>
      <c r="W44" s="23"/>
    </row>
    <row r="45" spans="1:23" x14ac:dyDescent="0.2">
      <c r="A45" s="14" t="s">
        <v>167</v>
      </c>
      <c r="B45" s="14" t="s">
        <v>159</v>
      </c>
      <c r="C45" s="14" t="s">
        <v>168</v>
      </c>
      <c r="D45" s="14">
        <v>59463</v>
      </c>
      <c r="E45" s="13">
        <f t="shared" si="80"/>
        <v>1.37</v>
      </c>
      <c r="F45" s="15">
        <v>32000</v>
      </c>
      <c r="G45" s="14">
        <f t="shared" si="74"/>
        <v>0.73</v>
      </c>
      <c r="H45" s="14">
        <f t="shared" si="75"/>
        <v>0.66</v>
      </c>
      <c r="I45" s="15">
        <f t="shared" si="76"/>
        <v>27463</v>
      </c>
      <c r="J45" s="14">
        <f t="shared" si="77"/>
        <v>0.63</v>
      </c>
      <c r="K45" s="14">
        <f t="shared" si="78"/>
        <v>0.32</v>
      </c>
      <c r="L45" s="15"/>
      <c r="M45" s="14"/>
      <c r="N45" s="14"/>
      <c r="O45" s="15"/>
      <c r="P45" s="14"/>
      <c r="Q45" s="14"/>
      <c r="R45" s="15"/>
      <c r="S45" s="14"/>
      <c r="T45" s="14"/>
      <c r="U45" s="13">
        <f>SUM(H45,K45,N45,Q45,T45)</f>
        <v>0.98</v>
      </c>
      <c r="V45" s="13">
        <f t="shared" si="84"/>
        <v>0.72</v>
      </c>
      <c r="W45" s="23"/>
    </row>
    <row r="46" spans="1:23" x14ac:dyDescent="0.2">
      <c r="A46" s="14" t="s">
        <v>176</v>
      </c>
      <c r="B46" s="14" t="s">
        <v>156</v>
      </c>
      <c r="C46" s="14" t="s">
        <v>177</v>
      </c>
      <c r="D46" s="14">
        <v>9753</v>
      </c>
      <c r="E46" s="13">
        <f t="shared" si="80"/>
        <v>0.22</v>
      </c>
      <c r="F46" s="15">
        <f>469+5566</f>
        <v>6035</v>
      </c>
      <c r="G46" s="14">
        <f t="shared" si="74"/>
        <v>0.14000000000000001</v>
      </c>
      <c r="H46" s="14">
        <f t="shared" si="75"/>
        <v>0.13</v>
      </c>
      <c r="I46" s="15">
        <f t="shared" si="76"/>
        <v>3718</v>
      </c>
      <c r="J46" s="14">
        <f t="shared" si="77"/>
        <v>0.09</v>
      </c>
      <c r="K46" s="14">
        <f t="shared" si="78"/>
        <v>0.05</v>
      </c>
      <c r="L46" s="27"/>
      <c r="M46" s="12"/>
      <c r="N46" s="12"/>
      <c r="O46" s="27"/>
      <c r="P46" s="12"/>
      <c r="Q46" s="12"/>
      <c r="R46" s="15"/>
      <c r="S46" s="14"/>
      <c r="T46" s="14"/>
      <c r="U46" s="13">
        <f>SUM(H46,K46,N46,Q46,T46)</f>
        <v>0.18</v>
      </c>
      <c r="V46" s="13">
        <f t="shared" si="84"/>
        <v>0.82</v>
      </c>
      <c r="W46" s="23"/>
    </row>
    <row r="47" spans="1:23" x14ac:dyDescent="0.2">
      <c r="A47" s="12"/>
      <c r="B47" s="12"/>
      <c r="C47" s="12"/>
      <c r="D47" s="12"/>
      <c r="E47" s="26"/>
      <c r="F47" s="27"/>
      <c r="G47" s="12"/>
      <c r="H47" s="12"/>
      <c r="I47" s="27"/>
      <c r="J47" s="12"/>
      <c r="K47" s="12"/>
      <c r="L47" s="27"/>
      <c r="M47" s="12"/>
      <c r="N47" s="12"/>
      <c r="O47" s="27"/>
      <c r="P47" s="12"/>
      <c r="Q47" s="12"/>
      <c r="R47" s="27"/>
      <c r="S47" s="12"/>
      <c r="T47" s="12"/>
      <c r="U47" s="26"/>
      <c r="V47" s="26"/>
      <c r="W47" s="28"/>
    </row>
    <row r="48" spans="1:23" x14ac:dyDescent="0.2">
      <c r="A48" s="12"/>
      <c r="B48" s="12"/>
      <c r="C48" s="12"/>
      <c r="D48" s="12"/>
      <c r="E48" s="26"/>
      <c r="F48" s="27"/>
      <c r="G48" s="12"/>
      <c r="H48" s="12"/>
      <c r="I48" s="27"/>
      <c r="J48" s="12"/>
      <c r="K48" s="12"/>
      <c r="L48" s="27"/>
      <c r="M48" s="12"/>
      <c r="N48" s="12"/>
      <c r="O48" s="27"/>
      <c r="P48" s="12"/>
      <c r="Q48" s="12"/>
      <c r="R48" s="27"/>
      <c r="S48" s="12"/>
      <c r="T48" s="12"/>
      <c r="U48" s="26"/>
      <c r="V48" s="26"/>
      <c r="W48" s="28"/>
    </row>
  </sheetData>
  <phoneticPr fontId="12" type="noConversion"/>
  <pageMargins left="0.7" right="0.7" top="0.75" bottom="0.75" header="0.3" footer="0.3"/>
  <pageSetup paperSize="3" scale="61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75C1C-8F39-4F67-80B7-4A50B882F409}">
  <sheetPr>
    <pageSetUpPr fitToPage="1"/>
  </sheetPr>
  <dimension ref="A4:AM46"/>
  <sheetViews>
    <sheetView zoomScale="90" zoomScaleNormal="90" workbookViewId="0">
      <pane ySplit="20" topLeftCell="A21" activePane="bottomLeft" state="frozen"/>
      <selection pane="bottomLeft" activeCell="A22" sqref="A22"/>
    </sheetView>
  </sheetViews>
  <sheetFormatPr defaultColWidth="9.140625" defaultRowHeight="12.75" x14ac:dyDescent="0.2"/>
  <cols>
    <col min="1" max="1" width="15.7109375" style="3" customWidth="1"/>
    <col min="2" max="2" width="16.7109375" style="3" customWidth="1"/>
    <col min="3" max="18" width="10.42578125" style="3" customWidth="1"/>
    <col min="19" max="19" width="12.28515625" style="3" customWidth="1"/>
    <col min="20" max="20" width="10.42578125" style="3" customWidth="1"/>
    <col min="21" max="21" width="17.7109375" style="3" customWidth="1"/>
    <col min="22" max="22" width="10.7109375" style="3" customWidth="1"/>
    <col min="23" max="24" width="10.42578125" style="3" customWidth="1"/>
    <col min="25" max="28" width="12.28515625" style="3" customWidth="1"/>
    <col min="29" max="29" width="10.42578125" style="3" customWidth="1"/>
    <col min="30" max="30" width="11.7109375" style="3" customWidth="1"/>
    <col min="31" max="32" width="14.140625" style="3" customWidth="1"/>
    <col min="33" max="33" width="17.7109375" style="3" customWidth="1"/>
    <col min="34" max="34" width="10.7109375" style="3" customWidth="1"/>
    <col min="35" max="36" width="10.42578125" style="3" customWidth="1"/>
    <col min="37" max="38" width="16.42578125" style="3" customWidth="1"/>
    <col min="39" max="39" width="10.7109375" style="3" bestFit="1" customWidth="1"/>
    <col min="40" max="16384" width="9.140625" style="3"/>
  </cols>
  <sheetData>
    <row r="4" spans="1:24" x14ac:dyDescent="0.2">
      <c r="A4" s="1" t="s">
        <v>72</v>
      </c>
    </row>
    <row r="5" spans="1:24" x14ac:dyDescent="0.2">
      <c r="A5" s="1" t="s">
        <v>70</v>
      </c>
    </row>
    <row r="6" spans="1:24" x14ac:dyDescent="0.2">
      <c r="A6" s="1" t="s">
        <v>69</v>
      </c>
    </row>
    <row r="7" spans="1:24" x14ac:dyDescent="0.2">
      <c r="A7" s="1" t="s">
        <v>68</v>
      </c>
    </row>
    <row r="9" spans="1:24" x14ac:dyDescent="0.2">
      <c r="A9" s="1" t="s">
        <v>0</v>
      </c>
      <c r="B9" s="1"/>
      <c r="C9" s="1"/>
      <c r="D9" s="2">
        <v>0.9</v>
      </c>
      <c r="E9" s="1"/>
      <c r="F9" s="1" t="s">
        <v>19</v>
      </c>
      <c r="G9" s="1"/>
      <c r="H9" s="1"/>
      <c r="I9" s="1">
        <v>7.5999999999999998E-2</v>
      </c>
      <c r="J9" s="1"/>
      <c r="K9" s="2"/>
      <c r="L9" s="2"/>
      <c r="M9" s="2"/>
      <c r="R9" s="1"/>
      <c r="X9" s="1"/>
    </row>
    <row r="10" spans="1:24" ht="12.75" customHeight="1" x14ac:dyDescent="0.2">
      <c r="A10" s="33" t="s">
        <v>1</v>
      </c>
      <c r="B10" s="33"/>
      <c r="C10" s="33"/>
      <c r="D10" s="2">
        <v>0.5</v>
      </c>
      <c r="E10" s="4"/>
      <c r="F10" s="1" t="s">
        <v>20</v>
      </c>
      <c r="G10" s="4"/>
      <c r="H10" s="4"/>
      <c r="I10" s="1">
        <v>0.152</v>
      </c>
      <c r="J10" s="1"/>
      <c r="K10" s="2"/>
      <c r="L10" s="2"/>
      <c r="M10" s="2"/>
    </row>
    <row r="11" spans="1:24" ht="12.75" customHeight="1" x14ac:dyDescent="0.2">
      <c r="A11" s="33" t="s">
        <v>2</v>
      </c>
      <c r="B11" s="33"/>
      <c r="C11" s="33"/>
      <c r="D11" s="2">
        <v>0.7</v>
      </c>
      <c r="E11" s="4"/>
      <c r="F11" s="1" t="s">
        <v>21</v>
      </c>
      <c r="G11" s="4"/>
      <c r="H11" s="4"/>
      <c r="I11" s="1">
        <v>0.21299999999999999</v>
      </c>
      <c r="J11" s="1"/>
      <c r="K11" s="2"/>
      <c r="L11" s="2"/>
      <c r="M11" s="2"/>
    </row>
    <row r="12" spans="1:24" ht="12.75" customHeight="1" x14ac:dyDescent="0.2">
      <c r="A12" s="33" t="s">
        <v>3</v>
      </c>
      <c r="B12" s="33"/>
      <c r="C12" s="33"/>
      <c r="D12" s="2">
        <v>0.4</v>
      </c>
      <c r="E12" s="4"/>
      <c r="F12" s="1" t="s">
        <v>22</v>
      </c>
      <c r="G12" s="4"/>
      <c r="H12" s="4"/>
      <c r="I12" s="1">
        <v>0.27400000000000002</v>
      </c>
      <c r="J12" s="1"/>
      <c r="K12" s="2"/>
      <c r="L12" s="2"/>
      <c r="M12" s="2"/>
    </row>
    <row r="13" spans="1:24" ht="12.75" customHeight="1" x14ac:dyDescent="0.2">
      <c r="A13" s="33" t="s">
        <v>4</v>
      </c>
      <c r="B13" s="33"/>
      <c r="C13" s="33"/>
      <c r="D13" s="2">
        <v>0.55000000000000004</v>
      </c>
      <c r="E13" s="4"/>
      <c r="F13" s="1" t="s">
        <v>23</v>
      </c>
      <c r="G13" s="4"/>
      <c r="H13" s="4"/>
      <c r="I13" s="1">
        <v>0.30499999999999999</v>
      </c>
      <c r="J13" s="1"/>
      <c r="K13" s="2"/>
      <c r="L13" s="2"/>
      <c r="M13" s="2"/>
    </row>
    <row r="14" spans="1:24" x14ac:dyDescent="0.2">
      <c r="A14" s="1" t="s">
        <v>5</v>
      </c>
      <c r="D14" s="2">
        <v>0.65</v>
      </c>
      <c r="F14" s="1" t="s">
        <v>24</v>
      </c>
      <c r="I14" s="1">
        <v>0.45700000000000002</v>
      </c>
      <c r="J14" s="1"/>
      <c r="K14" s="2"/>
      <c r="L14" s="2"/>
      <c r="M14" s="2"/>
    </row>
    <row r="15" spans="1:24" x14ac:dyDescent="0.2">
      <c r="A15" s="1" t="s">
        <v>6</v>
      </c>
      <c r="D15" s="2">
        <v>0.6</v>
      </c>
      <c r="F15" s="1" t="s">
        <v>25</v>
      </c>
      <c r="I15" s="1">
        <v>0.49099999999999999</v>
      </c>
      <c r="J15" s="1"/>
      <c r="K15" s="2"/>
      <c r="L15" s="2"/>
      <c r="M15" s="2"/>
    </row>
    <row r="16" spans="1:24" x14ac:dyDescent="0.2">
      <c r="A16" s="1" t="s">
        <v>7</v>
      </c>
      <c r="D16" s="2">
        <v>0.3</v>
      </c>
      <c r="F16" s="1" t="s">
        <v>26</v>
      </c>
      <c r="I16" s="1">
        <v>0.61899999999999999</v>
      </c>
      <c r="J16" s="1"/>
      <c r="K16" s="2"/>
      <c r="L16" s="2"/>
      <c r="M16" s="2"/>
    </row>
    <row r="18" spans="1:39" ht="13.5" thickBot="1" x14ac:dyDescent="0.25"/>
    <row r="19" spans="1:39" ht="15.75" customHeight="1" thickBot="1" x14ac:dyDescent="0.25">
      <c r="B19" s="30" t="s">
        <v>18</v>
      </c>
      <c r="C19" s="31"/>
      <c r="D19" s="31"/>
      <c r="E19" s="32"/>
      <c r="F19" s="30" t="s">
        <v>27</v>
      </c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 t="s">
        <v>33</v>
      </c>
      <c r="R19" s="31"/>
      <c r="S19" s="31"/>
      <c r="T19" s="31"/>
      <c r="U19" s="31"/>
      <c r="V19" s="32"/>
      <c r="W19" s="30" t="s">
        <v>29</v>
      </c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2"/>
      <c r="AI19" s="5"/>
    </row>
    <row r="20" spans="1:39" ht="38.25" x14ac:dyDescent="0.2">
      <c r="A20" s="6" t="s">
        <v>64</v>
      </c>
      <c r="B20" s="7" t="s">
        <v>15</v>
      </c>
      <c r="C20" s="7" t="s">
        <v>16</v>
      </c>
      <c r="D20" s="7" t="s">
        <v>17</v>
      </c>
      <c r="E20" s="8" t="s">
        <v>47</v>
      </c>
      <c r="F20" s="9" t="s">
        <v>48</v>
      </c>
      <c r="G20" s="7" t="s">
        <v>49</v>
      </c>
      <c r="H20" s="7" t="s">
        <v>50</v>
      </c>
      <c r="I20" s="7" t="s">
        <v>51</v>
      </c>
      <c r="J20" s="7" t="s">
        <v>52</v>
      </c>
      <c r="K20" s="9" t="s">
        <v>53</v>
      </c>
      <c r="L20" s="7" t="s">
        <v>54</v>
      </c>
      <c r="M20" s="7" t="s">
        <v>55</v>
      </c>
      <c r="N20" s="7" t="s">
        <v>56</v>
      </c>
      <c r="O20" s="7" t="s">
        <v>57</v>
      </c>
      <c r="P20" s="8" t="s">
        <v>58</v>
      </c>
      <c r="Q20" s="9" t="s">
        <v>30</v>
      </c>
      <c r="R20" s="7" t="s">
        <v>32</v>
      </c>
      <c r="S20" s="7" t="s">
        <v>31</v>
      </c>
      <c r="T20" s="7" t="s">
        <v>28</v>
      </c>
      <c r="U20" s="10" t="s">
        <v>15</v>
      </c>
      <c r="V20" s="8" t="s">
        <v>59</v>
      </c>
      <c r="W20" s="9" t="s">
        <v>30</v>
      </c>
      <c r="X20" s="7" t="s">
        <v>34</v>
      </c>
      <c r="Y20" s="7" t="s">
        <v>35</v>
      </c>
      <c r="Z20" s="7" t="s">
        <v>36</v>
      </c>
      <c r="AA20" s="7" t="s">
        <v>37</v>
      </c>
      <c r="AB20" s="7" t="s">
        <v>31</v>
      </c>
      <c r="AC20" s="7" t="s">
        <v>60</v>
      </c>
      <c r="AD20" s="7" t="s">
        <v>38</v>
      </c>
      <c r="AE20" s="7" t="s">
        <v>39</v>
      </c>
      <c r="AF20" s="7" t="s">
        <v>28</v>
      </c>
      <c r="AG20" s="10" t="s">
        <v>15</v>
      </c>
      <c r="AH20" s="8" t="s">
        <v>59</v>
      </c>
      <c r="AI20" s="8" t="s">
        <v>94</v>
      </c>
      <c r="AJ20" s="11" t="s">
        <v>93</v>
      </c>
      <c r="AL20" s="5"/>
      <c r="AM20" s="5"/>
    </row>
    <row r="21" spans="1:39" x14ac:dyDescent="0.2">
      <c r="A21" s="14" t="s">
        <v>95</v>
      </c>
      <c r="B21" s="14">
        <v>63</v>
      </c>
      <c r="C21" s="13">
        <f>D10</f>
        <v>0.5</v>
      </c>
      <c r="D21" s="14">
        <v>5</v>
      </c>
      <c r="E21" s="17">
        <f t="shared" ref="E21" si="0">IF(B21="","0",ROUND((1.8*(1.1-C21)*((B21)^0.5))/(D21)^(1/3),2))</f>
        <v>5.01</v>
      </c>
      <c r="F21" s="20"/>
      <c r="G21" s="14"/>
      <c r="H21" s="14" t="str">
        <f>IF(F21="","",ROUND(3.281*F21*(G21)^0.5,2))</f>
        <v/>
      </c>
      <c r="I21" s="15"/>
      <c r="J21" s="14">
        <f t="shared" ref="J21" si="1">IF(I21="",0,ROUND(I21/(60*H21),2))</f>
        <v>0</v>
      </c>
      <c r="K21" s="14"/>
      <c r="L21" s="14"/>
      <c r="M21" s="14" t="str">
        <f>IF(K21="","",ROUND(3.281*K21*(L21)^0.5,2))</f>
        <v/>
      </c>
      <c r="N21" s="14"/>
      <c r="O21" s="14">
        <f t="shared" ref="O21:O26" si="2">IF(N21="",0,ROUND(N21/(60*M21),2))</f>
        <v>0</v>
      </c>
      <c r="P21" s="17">
        <f t="shared" ref="P21" si="3">IF(F21="",0,J21+O21)</f>
        <v>0</v>
      </c>
      <c r="Q21" s="20"/>
      <c r="R21" s="14"/>
      <c r="S21" s="14"/>
      <c r="T21" s="14" t="str">
        <f>IF(Q21="","",ROUND(1.49/Q21*(R21/4/12)^(2/3)*S21^(1/2),2))</f>
        <v/>
      </c>
      <c r="U21" s="18"/>
      <c r="V21" s="17">
        <f t="shared" ref="V21" si="4">IF(U21="",0,ROUNDUP(U21/(60*T21),2))</f>
        <v>0</v>
      </c>
      <c r="W21" s="20">
        <v>0.03</v>
      </c>
      <c r="X21" s="14">
        <v>4</v>
      </c>
      <c r="Y21" s="14">
        <v>4</v>
      </c>
      <c r="Z21" s="14">
        <v>3</v>
      </c>
      <c r="AA21" s="14">
        <v>0.5</v>
      </c>
      <c r="AB21" s="14">
        <v>1.4999999999999999E-2</v>
      </c>
      <c r="AC21" s="19">
        <f>IF(X21="","",ROUND(((X21+AA21*(Y21+Z21)+X21)/2)*AA21,2))</f>
        <v>2.88</v>
      </c>
      <c r="AD21" s="19">
        <f>IF(X21="","",ROUND(X21+(AA21^2+(Y21*AA21)^2)^(1/2)+(AA21^2+(Z21*AA21)^2)^(1/2),2))</f>
        <v>7.64</v>
      </c>
      <c r="AE21" s="19">
        <f>IF(W21="","",ROUND(1.49/W21*AC21*(AC21/AD21)^(2/3)*(AB21)^(1/2),2))</f>
        <v>9.14</v>
      </c>
      <c r="AF21" s="19">
        <f>IF(AC21="","",ROUND(AE21/AC21,2))</f>
        <v>3.17</v>
      </c>
      <c r="AG21" s="18">
        <v>1799</v>
      </c>
      <c r="AH21" s="17">
        <f>IF(AG21="",0,ROUNDUP(AG21/(60*AF21),2))</f>
        <v>9.4599999999999991</v>
      </c>
      <c r="AI21" s="16">
        <f>E21+P21+V21+AH21</f>
        <v>14.469999999999999</v>
      </c>
      <c r="AJ21" s="16">
        <f t="shared" ref="AJ21:AJ26" si="5">IF(AI21&gt;15,AI21,15)</f>
        <v>15</v>
      </c>
      <c r="AL21" s="12"/>
      <c r="AM21" s="12"/>
    </row>
    <row r="22" spans="1:39" x14ac:dyDescent="0.2">
      <c r="A22" s="14" t="s">
        <v>87</v>
      </c>
      <c r="B22" s="14">
        <v>300</v>
      </c>
      <c r="C22" s="13">
        <v>0.75</v>
      </c>
      <c r="D22" s="14">
        <v>1.5</v>
      </c>
      <c r="E22" s="17">
        <f t="shared" ref="E22:E26" si="6">IF(B22="","0",ROUND((1.8*(1.1-C22)*((B22)^0.5))/(D22)^(1/3),2))</f>
        <v>9.5299999999999994</v>
      </c>
      <c r="F22" s="20"/>
      <c r="G22" s="14"/>
      <c r="H22" s="14" t="str">
        <f>IF(F22="","",ROUND(3.281*F22*(G22)^0.5,2))</f>
        <v/>
      </c>
      <c r="I22" s="15"/>
      <c r="J22" s="14">
        <f t="shared" ref="J22:J26" si="7">IF(I22="",0,ROUND(I22/(60*H22),2))</f>
        <v>0</v>
      </c>
      <c r="K22" s="14"/>
      <c r="L22" s="14"/>
      <c r="M22" s="14" t="str">
        <f>IF(K22="","",ROUND(3.281*K22*(L22)^0.5,2))</f>
        <v/>
      </c>
      <c r="N22" s="14"/>
      <c r="O22" s="14">
        <f t="shared" si="2"/>
        <v>0</v>
      </c>
      <c r="P22" s="17">
        <f t="shared" ref="P22:P26" si="8">IF(F22="",0,J22+O22)</f>
        <v>0</v>
      </c>
      <c r="Q22" s="20"/>
      <c r="R22" s="14"/>
      <c r="S22" s="14"/>
      <c r="T22" s="14" t="str">
        <f>IF(Q22="","",ROUND(1.49/Q22*(R22/4/12)^(2/3)*S22^(1/2),2))</f>
        <v/>
      </c>
      <c r="U22" s="18"/>
      <c r="V22" s="17">
        <f t="shared" ref="V22:V26" si="9">IF(U22="",0,ROUNDUP(U22/(60*T22),2))</f>
        <v>0</v>
      </c>
      <c r="W22" s="20">
        <v>0.03</v>
      </c>
      <c r="X22" s="14">
        <v>4</v>
      </c>
      <c r="Y22" s="14">
        <v>3</v>
      </c>
      <c r="Z22" s="14">
        <v>3</v>
      </c>
      <c r="AA22" s="14">
        <v>0.5</v>
      </c>
      <c r="AB22" s="14">
        <v>7.0000000000000001E-3</v>
      </c>
      <c r="AC22" s="19">
        <f>IF(X22="","",ROUND(((X22+AA22*(Y22+Z22)+X22)/2)*AA22,2))</f>
        <v>2.75</v>
      </c>
      <c r="AD22" s="19">
        <f>IF(X22="","",ROUND(X22+(AA22^2+(Y22*AA22)^2)^(1/2)+(AA22^2+(Z22*AA22)^2)^(1/2),2))</f>
        <v>7.16</v>
      </c>
      <c r="AE22" s="19">
        <f>IF(W22="","",ROUND(1.49/W22*AC22*(AC22/AD22)^(2/3)*(AB22)^(1/2),2))</f>
        <v>6.04</v>
      </c>
      <c r="AF22" s="19">
        <f>IF(AC22="","",ROUND(AE22/AC22,2))</f>
        <v>2.2000000000000002</v>
      </c>
      <c r="AG22" s="18">
        <v>2707</v>
      </c>
      <c r="AH22" s="17">
        <f>IF(AG22="",0,ROUNDUP(AG22/(60*AF22),2))</f>
        <v>20.51</v>
      </c>
      <c r="AI22" s="16">
        <f t="shared" ref="AI22:AI26" si="10">E22+P22+V22+AH22</f>
        <v>30.04</v>
      </c>
      <c r="AJ22" s="16">
        <f t="shared" si="5"/>
        <v>30.04</v>
      </c>
      <c r="AL22" s="12"/>
      <c r="AM22" s="12"/>
    </row>
    <row r="23" spans="1:39" x14ac:dyDescent="0.2">
      <c r="A23" s="14" t="s">
        <v>88</v>
      </c>
      <c r="B23" s="14">
        <v>300</v>
      </c>
      <c r="C23" s="13">
        <v>0.75</v>
      </c>
      <c r="D23" s="14">
        <v>1.5</v>
      </c>
      <c r="E23" s="17">
        <f t="shared" si="6"/>
        <v>9.5299999999999994</v>
      </c>
      <c r="F23" s="20"/>
      <c r="G23" s="14"/>
      <c r="H23" s="14" t="str">
        <f>IF(F23="","",ROUND(3.281*F23*(G23)^0.5,2))</f>
        <v/>
      </c>
      <c r="I23" s="15"/>
      <c r="J23" s="14">
        <f t="shared" si="7"/>
        <v>0</v>
      </c>
      <c r="K23" s="14"/>
      <c r="L23" s="14"/>
      <c r="M23" s="14" t="str">
        <f>IF(K23="","",ROUND(3.281*K23*(L23)^0.5,2))</f>
        <v/>
      </c>
      <c r="N23" s="14"/>
      <c r="O23" s="14">
        <f t="shared" si="2"/>
        <v>0</v>
      </c>
      <c r="P23" s="17">
        <f t="shared" si="8"/>
        <v>0</v>
      </c>
      <c r="Q23" s="20"/>
      <c r="R23" s="14"/>
      <c r="S23" s="14"/>
      <c r="T23" s="14" t="str">
        <f>IF(Q23="","",ROUND(1.49/Q23*(R23/4/12)^(2/3)*S23^(1/2),2))</f>
        <v/>
      </c>
      <c r="U23" s="18"/>
      <c r="V23" s="17">
        <f t="shared" si="9"/>
        <v>0</v>
      </c>
      <c r="W23" s="20">
        <v>0.03</v>
      </c>
      <c r="X23" s="14">
        <v>4</v>
      </c>
      <c r="Y23" s="14">
        <v>3</v>
      </c>
      <c r="Z23" s="14">
        <v>3</v>
      </c>
      <c r="AA23" s="14">
        <v>0.5</v>
      </c>
      <c r="AB23" s="14">
        <v>7.0000000000000001E-3</v>
      </c>
      <c r="AC23" s="19">
        <f>IF(X23="","",ROUND(((X23+AA23*(Y23+Z23)+X23)/2)*AA23,2))</f>
        <v>2.75</v>
      </c>
      <c r="AD23" s="19">
        <f>IF(X23="","",ROUND(X23+(AA23^2+(Y23*AA23)^2)^(1/2)+(AA23^2+(Z23*AA23)^2)^(1/2),2))</f>
        <v>7.16</v>
      </c>
      <c r="AE23" s="19">
        <f>IF(W23="","",ROUND(1.49/W23*AC23*(AC23/AD23)^(2/3)*(AB23)^(1/2),2))</f>
        <v>6.04</v>
      </c>
      <c r="AF23" s="19">
        <f>IF(AC23="","",ROUND(AE23/AC23,2))</f>
        <v>2.2000000000000002</v>
      </c>
      <c r="AG23" s="18">
        <v>3290</v>
      </c>
      <c r="AH23" s="17">
        <f t="shared" ref="AH23:AH26" si="11">IF(AG23="",0,ROUNDUP(AG23/(60*AF23),2))</f>
        <v>24.930000000000003</v>
      </c>
      <c r="AI23" s="16">
        <f t="shared" si="10"/>
        <v>34.46</v>
      </c>
      <c r="AJ23" s="16">
        <f t="shared" si="5"/>
        <v>34.46</v>
      </c>
      <c r="AL23" s="12"/>
      <c r="AM23" s="12"/>
    </row>
    <row r="24" spans="1:39" x14ac:dyDescent="0.2">
      <c r="A24" s="14"/>
      <c r="B24" s="14"/>
      <c r="C24" s="13"/>
      <c r="D24" s="14"/>
      <c r="E24" s="17" t="str">
        <f t="shared" si="6"/>
        <v>0</v>
      </c>
      <c r="F24" s="20"/>
      <c r="G24" s="14"/>
      <c r="H24" s="14"/>
      <c r="I24" s="15"/>
      <c r="J24" s="14">
        <f t="shared" si="7"/>
        <v>0</v>
      </c>
      <c r="K24" s="14"/>
      <c r="L24" s="14"/>
      <c r="M24" s="14"/>
      <c r="N24" s="14"/>
      <c r="O24" s="14">
        <f t="shared" si="2"/>
        <v>0</v>
      </c>
      <c r="P24" s="17">
        <f t="shared" si="8"/>
        <v>0</v>
      </c>
      <c r="Q24" s="20"/>
      <c r="R24" s="14"/>
      <c r="S24" s="14"/>
      <c r="T24" s="14"/>
      <c r="U24" s="18"/>
      <c r="V24" s="17">
        <f t="shared" si="9"/>
        <v>0</v>
      </c>
      <c r="W24" s="20"/>
      <c r="X24" s="14"/>
      <c r="Y24" s="14"/>
      <c r="Z24" s="14"/>
      <c r="AA24" s="14"/>
      <c r="AB24" s="14"/>
      <c r="AC24" s="19"/>
      <c r="AD24" s="19"/>
      <c r="AE24" s="19"/>
      <c r="AF24" s="19"/>
      <c r="AG24" s="18"/>
      <c r="AH24" s="17">
        <f t="shared" si="11"/>
        <v>0</v>
      </c>
      <c r="AI24" s="16">
        <f t="shared" si="10"/>
        <v>0</v>
      </c>
      <c r="AJ24" s="16">
        <f t="shared" si="5"/>
        <v>15</v>
      </c>
      <c r="AL24" s="12"/>
      <c r="AM24" s="12"/>
    </row>
    <row r="25" spans="1:39" x14ac:dyDescent="0.2">
      <c r="A25" s="14"/>
      <c r="B25" s="14"/>
      <c r="C25" s="13"/>
      <c r="D25" s="14"/>
      <c r="E25" s="17" t="str">
        <f t="shared" si="6"/>
        <v>0</v>
      </c>
      <c r="F25" s="20"/>
      <c r="G25" s="14"/>
      <c r="H25" s="14"/>
      <c r="I25" s="15"/>
      <c r="J25" s="14">
        <f t="shared" si="7"/>
        <v>0</v>
      </c>
      <c r="K25" s="14"/>
      <c r="L25" s="14"/>
      <c r="M25" s="14"/>
      <c r="N25" s="14"/>
      <c r="O25" s="14">
        <f t="shared" si="2"/>
        <v>0</v>
      </c>
      <c r="P25" s="17">
        <f t="shared" si="8"/>
        <v>0</v>
      </c>
      <c r="Q25" s="20"/>
      <c r="R25" s="14"/>
      <c r="S25" s="14"/>
      <c r="T25" s="14"/>
      <c r="U25" s="18"/>
      <c r="V25" s="17">
        <f t="shared" si="9"/>
        <v>0</v>
      </c>
      <c r="W25" s="20"/>
      <c r="X25" s="14"/>
      <c r="Y25" s="14"/>
      <c r="Z25" s="14"/>
      <c r="AA25" s="14"/>
      <c r="AB25" s="14"/>
      <c r="AC25" s="19"/>
      <c r="AD25" s="19"/>
      <c r="AE25" s="19"/>
      <c r="AF25" s="19"/>
      <c r="AG25" s="18"/>
      <c r="AH25" s="17">
        <f t="shared" si="11"/>
        <v>0</v>
      </c>
      <c r="AI25" s="16">
        <f t="shared" si="10"/>
        <v>0</v>
      </c>
      <c r="AJ25" s="16">
        <f t="shared" si="5"/>
        <v>15</v>
      </c>
      <c r="AL25" s="12"/>
      <c r="AM25" s="12"/>
    </row>
    <row r="26" spans="1:39" x14ac:dyDescent="0.2">
      <c r="A26" s="14"/>
      <c r="B26" s="14"/>
      <c r="C26" s="13"/>
      <c r="D26" s="14"/>
      <c r="E26" s="17" t="str">
        <f t="shared" si="6"/>
        <v>0</v>
      </c>
      <c r="F26" s="20"/>
      <c r="G26" s="14"/>
      <c r="H26" s="14" t="str">
        <f>IF(F26="","",ROUND(3.281*F26*(G26)^0.5,2))</f>
        <v/>
      </c>
      <c r="I26" s="15"/>
      <c r="J26" s="14">
        <f t="shared" si="7"/>
        <v>0</v>
      </c>
      <c r="K26" s="14"/>
      <c r="L26" s="14"/>
      <c r="M26" s="14" t="str">
        <f>IF(K26="","",ROUND(3.281*K26*(L26)^0.5,2))</f>
        <v/>
      </c>
      <c r="N26" s="14"/>
      <c r="O26" s="14">
        <f t="shared" si="2"/>
        <v>0</v>
      </c>
      <c r="P26" s="17">
        <f t="shared" si="8"/>
        <v>0</v>
      </c>
      <c r="Q26" s="20"/>
      <c r="R26" s="14"/>
      <c r="S26" s="14"/>
      <c r="T26" s="14" t="str">
        <f>IF(Q26="","",ROUND(1.49/Q26*(R26/4/12)^(2/3)*S26^(1/2),2))</f>
        <v/>
      </c>
      <c r="U26" s="18"/>
      <c r="V26" s="17">
        <f t="shared" si="9"/>
        <v>0</v>
      </c>
      <c r="W26" s="20"/>
      <c r="X26" s="14"/>
      <c r="Y26" s="14"/>
      <c r="Z26" s="14"/>
      <c r="AA26" s="14"/>
      <c r="AB26" s="14"/>
      <c r="AC26" s="19" t="str">
        <f>IF(X26="","",ROUND(((X26+AA26*(Y26+Z26)+X26)/2)*AA26,2))</f>
        <v/>
      </c>
      <c r="AD26" s="19" t="str">
        <f>IF(X26="","",ROUND(X26+(AA26^2+(Y26*AA26)^2)^(1/2)+(AA26^2+(Z26*AA26)^2)^(1/2),2))</f>
        <v/>
      </c>
      <c r="AE26" s="19" t="str">
        <f>IF(W26="","",ROUND(1.49/W26*AC26*(AC26/AD26)^(2/3)*(AB26)^(1/2),2))</f>
        <v/>
      </c>
      <c r="AF26" s="19" t="str">
        <f>IF(AC26="","",ROUND(AE26/AC26,2))</f>
        <v/>
      </c>
      <c r="AG26" s="18"/>
      <c r="AH26" s="17">
        <f t="shared" si="11"/>
        <v>0</v>
      </c>
      <c r="AI26" s="16">
        <f t="shared" si="10"/>
        <v>0</v>
      </c>
      <c r="AJ26" s="16">
        <f t="shared" si="5"/>
        <v>15</v>
      </c>
      <c r="AL26" s="12"/>
      <c r="AM26" s="12"/>
    </row>
    <row r="27" spans="1:39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39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39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</row>
    <row r="35" spans="1:39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</row>
    <row r="36" spans="1:39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</row>
    <row r="37" spans="1:39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</row>
    <row r="38" spans="1:39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1:39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</row>
    <row r="40" spans="1:39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</row>
    <row r="41" spans="1:39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39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1:39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39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</row>
    <row r="45" spans="1:39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</row>
    <row r="46" spans="1:39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</row>
  </sheetData>
  <mergeCells count="8">
    <mergeCell ref="F19:P19"/>
    <mergeCell ref="Q19:V19"/>
    <mergeCell ref="W19:AH19"/>
    <mergeCell ref="A10:C10"/>
    <mergeCell ref="A11:C11"/>
    <mergeCell ref="A12:C12"/>
    <mergeCell ref="A13:C13"/>
    <mergeCell ref="B19:E19"/>
  </mergeCells>
  <conditionalFormatting sqref="AI21:AI26">
    <cfRule type="cellIs" dxfId="0" priority="2" operator="lessThan">
      <formula>10</formula>
    </cfRule>
  </conditionalFormatting>
  <pageMargins left="0.7" right="0.7" top="0.75" bottom="0.75" header="0.3" footer="0.3"/>
  <pageSetup paperSize="3" scale="46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A628F-11BE-4F1B-AA0C-1EA7E94C5B2F}">
  <dimension ref="A1:F9"/>
  <sheetViews>
    <sheetView workbookViewId="0">
      <selection activeCell="D4" sqref="D4"/>
    </sheetView>
  </sheetViews>
  <sheetFormatPr defaultRowHeight="15" x14ac:dyDescent="0.25"/>
  <cols>
    <col min="1" max="1" width="11" customWidth="1"/>
  </cols>
  <sheetData>
    <row r="1" spans="1:6" x14ac:dyDescent="0.25">
      <c r="A1" s="21"/>
      <c r="B1" s="34" t="s">
        <v>79</v>
      </c>
      <c r="C1" s="34"/>
      <c r="D1" s="34"/>
    </row>
    <row r="2" spans="1:6" x14ac:dyDescent="0.25">
      <c r="A2" s="21" t="s">
        <v>80</v>
      </c>
      <c r="B2" s="21" t="s">
        <v>76</v>
      </c>
      <c r="C2" s="21" t="s">
        <v>77</v>
      </c>
      <c r="D2" s="21" t="s">
        <v>78</v>
      </c>
    </row>
    <row r="3" spans="1:6" x14ac:dyDescent="0.25">
      <c r="A3" s="21" t="s">
        <v>100</v>
      </c>
      <c r="B3" s="21">
        <v>64.167000000000002</v>
      </c>
      <c r="C3" s="21">
        <v>11</v>
      </c>
      <c r="D3" s="21">
        <v>0.84199999999999997</v>
      </c>
    </row>
    <row r="4" spans="1:6" x14ac:dyDescent="0.25">
      <c r="A4" s="21" t="s">
        <v>81</v>
      </c>
      <c r="B4" s="21">
        <v>66.528000000000006</v>
      </c>
      <c r="C4" s="21">
        <v>11</v>
      </c>
      <c r="D4" s="21">
        <v>0.81100000000000005</v>
      </c>
    </row>
    <row r="7" spans="1:6" x14ac:dyDescent="0.25">
      <c r="B7" t="s">
        <v>74</v>
      </c>
      <c r="C7" t="s">
        <v>16</v>
      </c>
      <c r="D7" t="s">
        <v>75</v>
      </c>
      <c r="E7" t="s">
        <v>83</v>
      </c>
      <c r="F7" t="s">
        <v>84</v>
      </c>
    </row>
    <row r="8" spans="1:6" x14ac:dyDescent="0.25">
      <c r="A8" t="s">
        <v>100</v>
      </c>
      <c r="B8">
        <v>6.2</v>
      </c>
      <c r="C8">
        <v>0.66</v>
      </c>
      <c r="D8">
        <v>19.399999999999999</v>
      </c>
      <c r="E8">
        <f>ROUND(B3/(D8+C3)^D3,2)</f>
        <v>3.62</v>
      </c>
      <c r="F8">
        <f>ROUND(B8*C8*E8,2)</f>
        <v>14.81</v>
      </c>
    </row>
    <row r="9" spans="1:6" x14ac:dyDescent="0.25">
      <c r="A9" t="s">
        <v>81</v>
      </c>
      <c r="B9">
        <f>B8</f>
        <v>6.2</v>
      </c>
      <c r="C9">
        <f>C8</f>
        <v>0.66</v>
      </c>
      <c r="D9">
        <f>D8</f>
        <v>19.399999999999999</v>
      </c>
      <c r="E9">
        <f>ROUND(B4/(D9+C4)^D4,2)</f>
        <v>4.17</v>
      </c>
      <c r="F9">
        <f>ROUND(B9*C9*E9,2)</f>
        <v>17.059999999999999</v>
      </c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1F115-0C2A-4822-9333-652ED2119614}">
  <dimension ref="A1:I22"/>
  <sheetViews>
    <sheetView workbookViewId="0">
      <selection activeCell="O26" sqref="O26"/>
    </sheetView>
  </sheetViews>
  <sheetFormatPr defaultRowHeight="15" x14ac:dyDescent="0.25"/>
  <cols>
    <col min="1" max="1" width="11" customWidth="1"/>
    <col min="9" max="9" width="10.140625" bestFit="1" customWidth="1"/>
  </cols>
  <sheetData>
    <row r="1" spans="1:6" x14ac:dyDescent="0.25">
      <c r="A1" s="21"/>
      <c r="B1" s="34" t="s">
        <v>79</v>
      </c>
      <c r="C1" s="34"/>
      <c r="D1" s="34"/>
    </row>
    <row r="2" spans="1:6" x14ac:dyDescent="0.25">
      <c r="A2" s="21" t="s">
        <v>80</v>
      </c>
      <c r="B2" s="21" t="s">
        <v>76</v>
      </c>
      <c r="C2" s="21" t="s">
        <v>77</v>
      </c>
      <c r="D2" s="21" t="s">
        <v>78</v>
      </c>
    </row>
    <row r="3" spans="1:6" x14ac:dyDescent="0.25">
      <c r="A3" s="21" t="s">
        <v>81</v>
      </c>
      <c r="B3" s="21">
        <v>66.528000000000006</v>
      </c>
      <c r="C3" s="21">
        <v>11</v>
      </c>
      <c r="D3" s="21">
        <v>0.81100000000000005</v>
      </c>
    </row>
    <row r="4" spans="1:6" x14ac:dyDescent="0.25">
      <c r="A4" s="21" t="s">
        <v>82</v>
      </c>
      <c r="B4" s="21">
        <v>64.489000000000004</v>
      </c>
      <c r="C4" s="21">
        <v>10.5</v>
      </c>
      <c r="D4" s="21">
        <v>0.754</v>
      </c>
    </row>
    <row r="5" spans="1:6" x14ac:dyDescent="0.25">
      <c r="A5" s="21"/>
      <c r="B5" s="21"/>
      <c r="C5" s="21"/>
      <c r="D5" s="21"/>
    </row>
    <row r="6" spans="1:6" x14ac:dyDescent="0.25">
      <c r="A6" s="34" t="s">
        <v>170</v>
      </c>
      <c r="B6" s="34"/>
      <c r="C6" s="34"/>
      <c r="D6" s="34"/>
      <c r="E6" s="34"/>
      <c r="F6" s="34"/>
    </row>
    <row r="7" spans="1:6" x14ac:dyDescent="0.25">
      <c r="B7" t="s">
        <v>74</v>
      </c>
      <c r="C7" t="s">
        <v>16</v>
      </c>
      <c r="D7" t="s">
        <v>75</v>
      </c>
      <c r="E7" t="s">
        <v>83</v>
      </c>
      <c r="F7" t="s">
        <v>84</v>
      </c>
    </row>
    <row r="8" spans="1:6" x14ac:dyDescent="0.25">
      <c r="A8" t="s">
        <v>81</v>
      </c>
      <c r="B8">
        <v>7.52</v>
      </c>
      <c r="C8">
        <v>0.64</v>
      </c>
      <c r="D8">
        <v>20.8</v>
      </c>
      <c r="E8">
        <f>ROUND($B$3/(D8+$C$3)^$D$3,2)</f>
        <v>4.0199999999999996</v>
      </c>
      <c r="F8">
        <f>ROUND(B8*C8*E8,2)</f>
        <v>19.350000000000001</v>
      </c>
    </row>
    <row r="9" spans="1:6" x14ac:dyDescent="0.25">
      <c r="A9" t="s">
        <v>82</v>
      </c>
      <c r="B9">
        <f>B8</f>
        <v>7.52</v>
      </c>
      <c r="C9">
        <f>C8</f>
        <v>0.64</v>
      </c>
      <c r="D9">
        <f>D8</f>
        <v>20.8</v>
      </c>
      <c r="E9">
        <f>ROUND($B$4/(D9+$C$4)^$D$4,2)</f>
        <v>4.8099999999999996</v>
      </c>
      <c r="F9">
        <f>ROUND(B9*C9*E9,2)</f>
        <v>23.15</v>
      </c>
    </row>
    <row r="11" spans="1:6" x14ac:dyDescent="0.25">
      <c r="A11" s="35" t="s">
        <v>171</v>
      </c>
      <c r="B11" s="35"/>
      <c r="C11" s="35"/>
      <c r="D11" s="35"/>
      <c r="E11" s="35"/>
      <c r="F11" s="35"/>
    </row>
    <row r="12" spans="1:6" x14ac:dyDescent="0.25">
      <c r="B12" t="s">
        <v>74</v>
      </c>
      <c r="C12" t="s">
        <v>16</v>
      </c>
      <c r="D12" t="s">
        <v>75</v>
      </c>
      <c r="E12" t="s">
        <v>83</v>
      </c>
      <c r="F12" t="s">
        <v>84</v>
      </c>
    </row>
    <row r="13" spans="1:6" x14ac:dyDescent="0.25">
      <c r="A13" t="s">
        <v>81</v>
      </c>
      <c r="B13">
        <v>2.8</v>
      </c>
      <c r="C13">
        <v>0.65</v>
      </c>
      <c r="D13">
        <v>17</v>
      </c>
      <c r="E13">
        <f>ROUND($B$3/(D13+$C$3)^$D$3,2)</f>
        <v>4.46</v>
      </c>
      <c r="F13">
        <f>ROUND(B13*C13*E13,2)</f>
        <v>8.1199999999999992</v>
      </c>
    </row>
    <row r="14" spans="1:6" x14ac:dyDescent="0.25">
      <c r="A14" t="s">
        <v>82</v>
      </c>
      <c r="B14">
        <f>B13</f>
        <v>2.8</v>
      </c>
      <c r="C14">
        <f>C13</f>
        <v>0.65</v>
      </c>
      <c r="D14">
        <f>D13</f>
        <v>17</v>
      </c>
      <c r="E14">
        <f>ROUND($B$4/(D14+$C$4)^$D$4,2)</f>
        <v>5.3</v>
      </c>
      <c r="F14">
        <f>ROUND(B14*C14*E14,2)</f>
        <v>9.65</v>
      </c>
    </row>
    <row r="16" spans="1:6" x14ac:dyDescent="0.25">
      <c r="E16" s="29" t="s">
        <v>172</v>
      </c>
      <c r="F16">
        <f>F8+F13</f>
        <v>27.47</v>
      </c>
    </row>
    <row r="17" spans="1:9" x14ac:dyDescent="0.25">
      <c r="E17" s="29" t="s">
        <v>173</v>
      </c>
      <c r="F17">
        <f>F9+F14</f>
        <v>32.799999999999997</v>
      </c>
    </row>
    <row r="18" spans="1:9" x14ac:dyDescent="0.25">
      <c r="E18" s="29"/>
    </row>
    <row r="19" spans="1:9" x14ac:dyDescent="0.25">
      <c r="A19" s="35" t="s">
        <v>174</v>
      </c>
      <c r="B19" s="35"/>
      <c r="C19" s="35"/>
      <c r="D19" s="35"/>
      <c r="E19" s="35"/>
      <c r="F19" s="35"/>
      <c r="G19" s="35"/>
      <c r="H19" s="35"/>
      <c r="I19" s="35"/>
    </row>
    <row r="20" spans="1:9" x14ac:dyDescent="0.25">
      <c r="B20" t="s">
        <v>74</v>
      </c>
      <c r="C20" t="s">
        <v>16</v>
      </c>
      <c r="D20" t="s">
        <v>75</v>
      </c>
      <c r="E20" t="s">
        <v>83</v>
      </c>
      <c r="F20" t="s">
        <v>84</v>
      </c>
      <c r="G20" s="35" t="s">
        <v>85</v>
      </c>
      <c r="H20" s="35"/>
      <c r="I20" t="s">
        <v>86</v>
      </c>
    </row>
    <row r="21" spans="1:9" x14ac:dyDescent="0.25">
      <c r="A21" t="s">
        <v>81</v>
      </c>
      <c r="B21">
        <v>9.36</v>
      </c>
      <c r="C21">
        <v>0.75</v>
      </c>
      <c r="D21">
        <v>30</v>
      </c>
      <c r="E21">
        <f>ROUND($B$3/(D21+$C$3)^$D$3,2)</f>
        <v>3.27</v>
      </c>
      <c r="F21">
        <f>ROUND(B21*C21*E21,2)</f>
        <v>22.96</v>
      </c>
      <c r="G21">
        <v>6.92</v>
      </c>
      <c r="H21">
        <v>6.04</v>
      </c>
      <c r="I21">
        <f>F21+G21+H21</f>
        <v>35.92</v>
      </c>
    </row>
    <row r="22" spans="1:9" x14ac:dyDescent="0.25">
      <c r="A22" t="s">
        <v>82</v>
      </c>
      <c r="B22">
        <v>9.36</v>
      </c>
      <c r="C22">
        <v>0.75</v>
      </c>
      <c r="D22">
        <v>30</v>
      </c>
      <c r="E22">
        <f>ROUND($B$4/(D22+$C$4)^$D$4,2)</f>
        <v>3.96</v>
      </c>
      <c r="F22">
        <f>ROUND(B22*C22*E22,2)</f>
        <v>27.8</v>
      </c>
      <c r="G22">
        <v>6.92</v>
      </c>
      <c r="H22">
        <v>6.04</v>
      </c>
      <c r="I22">
        <f>F22+G22+H22</f>
        <v>40.76</v>
      </c>
    </row>
  </sheetData>
  <mergeCells count="5">
    <mergeCell ref="B1:D1"/>
    <mergeCell ref="G20:H20"/>
    <mergeCell ref="A6:F6"/>
    <mergeCell ref="A11:F11"/>
    <mergeCell ref="A19:I19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EB0F-25E8-4B84-BE44-4EB9113AC5BD}">
  <dimension ref="A1:I15"/>
  <sheetViews>
    <sheetView workbookViewId="0">
      <selection activeCell="H19" sqref="H19"/>
    </sheetView>
  </sheetViews>
  <sheetFormatPr defaultRowHeight="15" x14ac:dyDescent="0.25"/>
  <cols>
    <col min="1" max="1" width="11" customWidth="1"/>
    <col min="9" max="9" width="10.140625" bestFit="1" customWidth="1"/>
  </cols>
  <sheetData>
    <row r="1" spans="1:9" x14ac:dyDescent="0.25">
      <c r="A1" s="21"/>
      <c r="B1" s="34" t="s">
        <v>79</v>
      </c>
      <c r="C1" s="34"/>
      <c r="D1" s="34"/>
    </row>
    <row r="2" spans="1:9" x14ac:dyDescent="0.25">
      <c r="A2" s="21" t="s">
        <v>80</v>
      </c>
      <c r="B2" s="21" t="s">
        <v>76</v>
      </c>
      <c r="C2" s="21" t="s">
        <v>77</v>
      </c>
      <c r="D2" s="21" t="s">
        <v>78</v>
      </c>
    </row>
    <row r="3" spans="1:9" x14ac:dyDescent="0.25">
      <c r="A3" s="21" t="s">
        <v>81</v>
      </c>
      <c r="B3" s="21">
        <v>66.528000000000006</v>
      </c>
      <c r="C3" s="21">
        <v>11</v>
      </c>
      <c r="D3" s="21">
        <v>0.81100000000000005</v>
      </c>
    </row>
    <row r="4" spans="1:9" x14ac:dyDescent="0.25">
      <c r="A4" s="21" t="s">
        <v>82</v>
      </c>
      <c r="B4" s="21">
        <v>64.489000000000004</v>
      </c>
      <c r="C4" s="21">
        <v>10.5</v>
      </c>
      <c r="D4" s="21">
        <v>0.754</v>
      </c>
    </row>
    <row r="5" spans="1:9" x14ac:dyDescent="0.25">
      <c r="A5" s="21"/>
      <c r="B5" s="21"/>
      <c r="C5" s="21"/>
      <c r="D5" s="21"/>
    </row>
    <row r="6" spans="1:9" ht="30" customHeight="1" x14ac:dyDescent="0.25">
      <c r="A6" s="36" t="s">
        <v>175</v>
      </c>
      <c r="B6" s="36"/>
      <c r="C6" s="36"/>
      <c r="D6" s="36"/>
      <c r="E6" s="36"/>
      <c r="F6" s="36"/>
    </row>
    <row r="7" spans="1:9" x14ac:dyDescent="0.25">
      <c r="B7" t="s">
        <v>74</v>
      </c>
      <c r="C7" t="s">
        <v>16</v>
      </c>
      <c r="D7" t="s">
        <v>75</v>
      </c>
      <c r="E7" t="s">
        <v>83</v>
      </c>
      <c r="F7" t="s">
        <v>84</v>
      </c>
    </row>
    <row r="8" spans="1:9" x14ac:dyDescent="0.25">
      <c r="A8" t="s">
        <v>81</v>
      </c>
      <c r="B8">
        <v>15.48</v>
      </c>
      <c r="C8">
        <v>0.63</v>
      </c>
      <c r="D8">
        <v>23</v>
      </c>
      <c r="E8">
        <f>ROUND($B$3/(D8+$C$3)^$D$3,2)</f>
        <v>3.81</v>
      </c>
      <c r="F8">
        <f>ROUND(B8*C8*E8,2)</f>
        <v>37.159999999999997</v>
      </c>
    </row>
    <row r="9" spans="1:9" x14ac:dyDescent="0.25">
      <c r="A9" t="s">
        <v>82</v>
      </c>
      <c r="B9">
        <f>B8</f>
        <v>15.48</v>
      </c>
      <c r="C9">
        <f>C8</f>
        <v>0.63</v>
      </c>
      <c r="D9">
        <f>D8</f>
        <v>23</v>
      </c>
      <c r="E9">
        <f>ROUND($B$4/(D9+$C$4)^$D$4,2)</f>
        <v>4.57</v>
      </c>
      <c r="F9">
        <f>ROUND(B9*C9*E9,2)</f>
        <v>44.57</v>
      </c>
    </row>
    <row r="10" spans="1:9" x14ac:dyDescent="0.25">
      <c r="A10" s="21"/>
      <c r="B10" s="21"/>
      <c r="C10" s="21"/>
      <c r="D10" s="21"/>
    </row>
    <row r="12" spans="1:9" x14ac:dyDescent="0.25">
      <c r="A12" s="35" t="s">
        <v>174</v>
      </c>
      <c r="B12" s="35"/>
      <c r="C12" s="35"/>
      <c r="D12" s="35"/>
      <c r="E12" s="35"/>
      <c r="F12" s="35"/>
      <c r="G12" s="35"/>
      <c r="H12" s="35"/>
      <c r="I12" s="35"/>
    </row>
    <row r="13" spans="1:9" x14ac:dyDescent="0.25">
      <c r="B13" t="s">
        <v>74</v>
      </c>
      <c r="C13" t="s">
        <v>16</v>
      </c>
      <c r="D13" t="s">
        <v>75</v>
      </c>
      <c r="E13" t="s">
        <v>83</v>
      </c>
      <c r="F13" t="s">
        <v>84</v>
      </c>
      <c r="G13" s="35" t="s">
        <v>85</v>
      </c>
      <c r="H13" s="35"/>
      <c r="I13" t="s">
        <v>86</v>
      </c>
    </row>
    <row r="14" spans="1:9" x14ac:dyDescent="0.25">
      <c r="A14" t="s">
        <v>81</v>
      </c>
      <c r="B14">
        <f>ROUND((192354+17774+10840+71986+114917+13206+15102+28071+53573+19678+81684+45610)/43560,2)</f>
        <v>15.26</v>
      </c>
      <c r="C14">
        <v>0.75</v>
      </c>
      <c r="D14">
        <v>35</v>
      </c>
      <c r="E14">
        <f>ROUND($B$3/(D14+$C$3)^$D$3,2)</f>
        <v>2.98</v>
      </c>
      <c r="F14">
        <f>ROUND(B14*C14*E14,2)</f>
        <v>34.11</v>
      </c>
      <c r="G14">
        <v>6.92</v>
      </c>
      <c r="H14">
        <v>6.04</v>
      </c>
      <c r="I14">
        <f>F14+G14+H14</f>
        <v>47.07</v>
      </c>
    </row>
    <row r="15" spans="1:9" x14ac:dyDescent="0.25">
      <c r="A15" t="s">
        <v>82</v>
      </c>
      <c r="B15">
        <f>B14</f>
        <v>15.26</v>
      </c>
      <c r="C15">
        <v>0.75</v>
      </c>
      <c r="D15">
        <v>35</v>
      </c>
      <c r="E15">
        <f>ROUND($B$4/(D15+$C$4)^$D$4,2)</f>
        <v>3.63</v>
      </c>
      <c r="F15">
        <f>ROUND(B15*C15*E15,2)</f>
        <v>41.55</v>
      </c>
      <c r="G15">
        <v>6.92</v>
      </c>
      <c r="H15">
        <v>6.04</v>
      </c>
      <c r="I15">
        <f>F15+G15+H15</f>
        <v>54.51</v>
      </c>
    </row>
  </sheetData>
  <mergeCells count="4">
    <mergeCell ref="B1:D1"/>
    <mergeCell ref="G13:H13"/>
    <mergeCell ref="A12:I12"/>
    <mergeCell ref="A6:F6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EDA13-0B13-42BE-BABC-BCB7C24F7E50}">
  <dimension ref="A1:L13"/>
  <sheetViews>
    <sheetView workbookViewId="0">
      <selection activeCell="H18" sqref="H18"/>
    </sheetView>
  </sheetViews>
  <sheetFormatPr defaultRowHeight="15" x14ac:dyDescent="0.25"/>
  <cols>
    <col min="1" max="1" width="11" customWidth="1"/>
    <col min="12" max="12" width="10.140625" bestFit="1" customWidth="1"/>
  </cols>
  <sheetData>
    <row r="1" spans="1:12" x14ac:dyDescent="0.25">
      <c r="A1" s="21"/>
      <c r="B1" s="34" t="s">
        <v>79</v>
      </c>
      <c r="C1" s="34"/>
      <c r="D1" s="34"/>
    </row>
    <row r="2" spans="1:12" x14ac:dyDescent="0.25">
      <c r="A2" s="21" t="s">
        <v>80</v>
      </c>
      <c r="B2" s="21" t="s">
        <v>76</v>
      </c>
      <c r="C2" s="21" t="s">
        <v>77</v>
      </c>
      <c r="D2" s="21" t="s">
        <v>78</v>
      </c>
    </row>
    <row r="3" spans="1:12" x14ac:dyDescent="0.25">
      <c r="A3" s="21" t="s">
        <v>81</v>
      </c>
      <c r="B3" s="21">
        <v>66.528000000000006</v>
      </c>
      <c r="C3" s="21">
        <v>11</v>
      </c>
      <c r="D3" s="21">
        <v>0.81100000000000005</v>
      </c>
    </row>
    <row r="4" spans="1:12" x14ac:dyDescent="0.25">
      <c r="A4" s="21" t="s">
        <v>82</v>
      </c>
      <c r="B4" s="21">
        <v>64.489000000000004</v>
      </c>
      <c r="C4" s="21">
        <v>10.5</v>
      </c>
      <c r="D4" s="21">
        <v>0.754</v>
      </c>
    </row>
    <row r="7" spans="1:12" x14ac:dyDescent="0.25">
      <c r="B7" t="s">
        <v>74</v>
      </c>
      <c r="C7" t="s">
        <v>16</v>
      </c>
      <c r="D7" t="s">
        <v>75</v>
      </c>
      <c r="E7" t="s">
        <v>83</v>
      </c>
      <c r="F7" t="s">
        <v>84</v>
      </c>
      <c r="G7" s="35" t="s">
        <v>85</v>
      </c>
      <c r="H7" s="35"/>
      <c r="I7" s="22"/>
      <c r="J7" s="22"/>
      <c r="K7" s="22"/>
      <c r="L7" t="s">
        <v>86</v>
      </c>
    </row>
    <row r="8" spans="1:12" x14ac:dyDescent="0.25">
      <c r="A8" t="s">
        <v>81</v>
      </c>
      <c r="B8">
        <f>ROUND((192354+17774+10840+71986+114917+13206+15102+28071+53573+19678+81684+45610+365060)/43560,2)</f>
        <v>23.64</v>
      </c>
      <c r="C8">
        <v>0.75</v>
      </c>
      <c r="D8">
        <v>35</v>
      </c>
      <c r="E8">
        <f>ROUND(B3/(D8+C3)^D3,2)</f>
        <v>2.98</v>
      </c>
      <c r="F8">
        <f>ROUND(B8*C8*E8,2)</f>
        <v>52.84</v>
      </c>
      <c r="G8">
        <v>6.92</v>
      </c>
      <c r="H8">
        <v>6.04</v>
      </c>
      <c r="I8">
        <v>7.26</v>
      </c>
      <c r="J8">
        <v>18</v>
      </c>
      <c r="K8">
        <v>4</v>
      </c>
      <c r="L8">
        <f>F8+G8+H8+I8+J8+K8</f>
        <v>95.060000000000016</v>
      </c>
    </row>
    <row r="9" spans="1:12" x14ac:dyDescent="0.25">
      <c r="A9" t="s">
        <v>82</v>
      </c>
      <c r="B9">
        <f>B8</f>
        <v>23.64</v>
      </c>
      <c r="C9">
        <v>0.75</v>
      </c>
      <c r="D9">
        <v>35</v>
      </c>
      <c r="E9">
        <f>ROUND(B4/(D9+C4)^D4,2)</f>
        <v>3.63</v>
      </c>
      <c r="F9">
        <f>ROUND(B9*C9*E9,2)</f>
        <v>64.36</v>
      </c>
      <c r="G9">
        <v>6.92</v>
      </c>
      <c r="H9">
        <v>6.04</v>
      </c>
      <c r="I9">
        <v>7.26</v>
      </c>
      <c r="J9">
        <v>18</v>
      </c>
      <c r="K9">
        <v>4</v>
      </c>
      <c r="L9">
        <f>F9+G9+H9+I9+J9+K9</f>
        <v>106.58000000000001</v>
      </c>
    </row>
    <row r="11" spans="1:12" x14ac:dyDescent="0.25">
      <c r="B11" t="s">
        <v>74</v>
      </c>
      <c r="C11" t="s">
        <v>16</v>
      </c>
      <c r="D11" t="s">
        <v>75</v>
      </c>
      <c r="E11" t="s">
        <v>83</v>
      </c>
      <c r="F11" t="s">
        <v>84</v>
      </c>
      <c r="G11" s="35" t="s">
        <v>85</v>
      </c>
      <c r="H11" s="35"/>
      <c r="I11" s="22"/>
      <c r="J11" s="22"/>
      <c r="K11" s="22"/>
      <c r="L11" t="s">
        <v>86</v>
      </c>
    </row>
    <row r="12" spans="1:12" x14ac:dyDescent="0.25">
      <c r="A12" t="s">
        <v>81</v>
      </c>
      <c r="B12" s="25">
        <f>'Ditch C'!E36+'Ditch C'!E38</f>
        <v>107.88000000000001</v>
      </c>
      <c r="C12">
        <f>ROUND(('Ditch C'!U36+'Ditch C'!U38)/'Ex. Bike Path'!B12,2)</f>
        <v>0.62</v>
      </c>
      <c r="D12">
        <v>94.29</v>
      </c>
      <c r="E12">
        <f>ROUND(B3/(D12+C3)^D3,2)</f>
        <v>1.52</v>
      </c>
      <c r="F12">
        <f>ROUND(B12*C12*E12,2)</f>
        <v>101.67</v>
      </c>
      <c r="L12">
        <f>F12+G12+H12+I12+J12+K12</f>
        <v>101.67</v>
      </c>
    </row>
    <row r="13" spans="1:12" x14ac:dyDescent="0.25">
      <c r="A13" t="s">
        <v>82</v>
      </c>
      <c r="B13">
        <f>B12</f>
        <v>107.88000000000001</v>
      </c>
      <c r="C13">
        <f>C12</f>
        <v>0.62</v>
      </c>
      <c r="D13">
        <f>D12</f>
        <v>94.29</v>
      </c>
      <c r="E13">
        <f>ROUND(B4/(D13+C4)^D4,2)</f>
        <v>1.93</v>
      </c>
      <c r="F13">
        <f>ROUND(B13*C13*E13,2)</f>
        <v>129.09</v>
      </c>
      <c r="L13">
        <f>F13+G13+H13+I13+J13+K13</f>
        <v>129.09</v>
      </c>
    </row>
  </sheetData>
  <mergeCells count="3">
    <mergeCell ref="B1:D1"/>
    <mergeCell ref="G7:H7"/>
    <mergeCell ref="G11:H1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Bridge Design C</vt:lpstr>
      <vt:lpstr>Ditch C</vt:lpstr>
      <vt:lpstr>Tc</vt:lpstr>
      <vt:lpstr>SR-51 Bridge Culvert</vt:lpstr>
      <vt:lpstr>25+75 Culvert Flow</vt:lpstr>
      <vt:lpstr>28+56.85 Culvert Flow</vt:lpstr>
      <vt:lpstr>Ex. Bike Path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AFarmer</dc:creator>
  <cp:lastModifiedBy>Farmer, Andrew</cp:lastModifiedBy>
  <cp:lastPrinted>2024-03-21T19:01:05Z</cp:lastPrinted>
  <dcterms:created xsi:type="dcterms:W3CDTF">2016-08-10T13:19:34Z</dcterms:created>
  <dcterms:modified xsi:type="dcterms:W3CDTF">2024-03-21T19:04:32Z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