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-my.sharepoint.com/personal/abhiyani_solanki_arcadis-us_com/Documents/Desktop/Abhiyani/odot/bearing design/"/>
    </mc:Choice>
  </mc:AlternateContent>
  <xr:revisionPtr revIDLastSave="626" documentId="8_{4A3F2E6A-C26A-4931-B5B5-78BC262A65AA}" xr6:coauthVersionLast="47" xr6:coauthVersionMax="47" xr10:uidLastSave="{E13DD974-13B1-426F-9D39-C483A02FB213}"/>
  <bookViews>
    <workbookView xWindow="0" yWindow="0" windowWidth="11520" windowHeight="13800" firstSheet="1" activeTab="1" xr2:uid="{758EA21F-656A-4244-9CA1-D41B098D8DA6}"/>
  </bookViews>
  <sheets>
    <sheet name="bearing schedule" sheetId="1" r:id="rId1"/>
    <sheet name="Bevel Lev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2" l="1"/>
  <c r="G57" i="2" s="1"/>
  <c r="G45" i="2"/>
  <c r="G46" i="2" s="1"/>
  <c r="G47" i="2"/>
  <c r="D59" i="2"/>
  <c r="D58" i="2"/>
  <c r="D57" i="2"/>
  <c r="D56" i="2"/>
  <c r="D55" i="2"/>
  <c r="D54" i="2"/>
  <c r="D53" i="2"/>
  <c r="D52" i="2"/>
  <c r="E41" i="2"/>
  <c r="B63" i="2"/>
  <c r="N9" i="1"/>
  <c r="N8" i="1"/>
  <c r="P9" i="1"/>
  <c r="P8" i="1"/>
  <c r="P5" i="1"/>
  <c r="P4" i="1"/>
  <c r="N5" i="1"/>
  <c r="N4" i="1"/>
  <c r="P7" i="1"/>
  <c r="P6" i="1"/>
  <c r="O7" i="1"/>
  <c r="O6" i="1"/>
  <c r="G59" i="2"/>
  <c r="G58" i="2"/>
  <c r="G55" i="2"/>
  <c r="G54" i="2"/>
  <c r="G53" i="2"/>
  <c r="G52" i="2"/>
  <c r="G48" i="2"/>
  <c r="G44" i="2"/>
  <c r="G43" i="2"/>
  <c r="G42" i="2"/>
  <c r="G41" i="2"/>
  <c r="B62" i="2" l="1"/>
  <c r="E59" i="2"/>
  <c r="E58" i="2"/>
  <c r="E57" i="2"/>
  <c r="E56" i="2"/>
  <c r="E55" i="2"/>
  <c r="E54" i="2"/>
  <c r="E53" i="2"/>
  <c r="E52" i="2"/>
  <c r="E48" i="2"/>
  <c r="E47" i="2"/>
  <c r="E46" i="2"/>
  <c r="E45" i="2"/>
  <c r="E44" i="2"/>
  <c r="E43" i="2"/>
  <c r="E42" i="2"/>
  <c r="B28" i="2"/>
  <c r="D48" i="2" s="1"/>
  <c r="B22" i="2"/>
  <c r="B4" i="2"/>
  <c r="B3" i="2"/>
  <c r="B1" i="2"/>
  <c r="B6" i="2" s="1"/>
  <c r="F48" i="2" s="1"/>
  <c r="H48" i="2" s="1"/>
  <c r="Q4" i="1"/>
  <c r="Q5" i="1"/>
  <c r="Q6" i="1"/>
  <c r="Q7" i="1"/>
  <c r="Q8" i="1"/>
  <c r="Q9" i="1"/>
  <c r="O9" i="1"/>
  <c r="O8" i="1"/>
  <c r="O5" i="1"/>
  <c r="O4" i="1"/>
  <c r="F59" i="2" l="1"/>
  <c r="H59" i="2" s="1"/>
  <c r="F52" i="2"/>
  <c r="H52" i="2" s="1"/>
  <c r="F41" i="2"/>
  <c r="H41" i="2" s="1"/>
  <c r="F42" i="2"/>
  <c r="H42" i="2" s="1"/>
  <c r="F54" i="2"/>
  <c r="F45" i="2"/>
  <c r="F57" i="2"/>
  <c r="F55" i="2"/>
  <c r="F56" i="2"/>
  <c r="H57" i="2"/>
  <c r="H54" i="2"/>
  <c r="F58" i="2"/>
  <c r="H58" i="2" s="1"/>
  <c r="F53" i="2"/>
  <c r="H53" i="2" s="1"/>
  <c r="F43" i="2"/>
  <c r="F44" i="2"/>
  <c r="D43" i="2"/>
  <c r="H43" i="2" s="1"/>
  <c r="D42" i="2"/>
  <c r="D45" i="2"/>
  <c r="H45" i="2" s="1"/>
  <c r="D44" i="2"/>
  <c r="H44" i="2" s="1"/>
  <c r="F46" i="2"/>
  <c r="D41" i="2"/>
  <c r="D46" i="2"/>
  <c r="H46" i="2" s="1"/>
  <c r="D47" i="2"/>
  <c r="F47" i="2"/>
  <c r="H47" i="2" s="1"/>
  <c r="C57" i="1"/>
  <c r="C58" i="1" s="1"/>
  <c r="C48" i="1"/>
  <c r="C49" i="1" s="1"/>
  <c r="C39" i="1"/>
  <c r="C40" i="1" s="1"/>
  <c r="C30" i="1"/>
  <c r="C31" i="1" s="1"/>
  <c r="C20" i="1"/>
  <c r="C19" i="1"/>
  <c r="B20" i="1"/>
  <c r="B19" i="1"/>
  <c r="H56" i="2" l="1"/>
  <c r="H61" i="2" s="1"/>
  <c r="B69" i="2" s="1"/>
  <c r="B71" i="2" s="1"/>
  <c r="H55" i="2"/>
  <c r="H60" i="2" s="1"/>
</calcChain>
</file>

<file path=xl/sharedStrings.xml><?xml version="1.0" encoding="utf-8"?>
<sst xmlns="http://schemas.openxmlformats.org/spreadsheetml/2006/main" count="213" uniqueCount="122">
  <si>
    <t>Bearing Schedule</t>
  </si>
  <si>
    <t>SUPPORT</t>
  </si>
  <si>
    <t>BEARING TYPE</t>
  </si>
  <si>
    <t>QUANTITY</t>
  </si>
  <si>
    <t>DEAD LOAD (KIPS)</t>
  </si>
  <si>
    <t>LIVE LOAD (KIPS)</t>
  </si>
  <si>
    <t>TOTAL LOAD (KIPS)</t>
  </si>
  <si>
    <t>NO. OF ti'S</t>
  </si>
  <si>
    <t>NO. OF te's</t>
  </si>
  <si>
    <t>BEVELED HP OR LOAD PLATE</t>
  </si>
  <si>
    <t>EXPANSION</t>
  </si>
  <si>
    <t>REAR ABUT. EXT</t>
  </si>
  <si>
    <t>REAR ABUT. INT</t>
  </si>
  <si>
    <t>FWD. ABUT. EXT</t>
  </si>
  <si>
    <t>FWD. ABUT. INT</t>
  </si>
  <si>
    <t>PIER EXT</t>
  </si>
  <si>
    <t>PIER INT</t>
  </si>
  <si>
    <t>NO. OF INTERNAL LAMINATES (Steel)</t>
  </si>
  <si>
    <t>Length</t>
  </si>
  <si>
    <t>Width</t>
  </si>
  <si>
    <t>Abutment (in)</t>
  </si>
  <si>
    <t>Pier (in)</t>
  </si>
  <si>
    <t>Bearing Dimensions</t>
  </si>
  <si>
    <t>Load Plate Dimensions</t>
  </si>
  <si>
    <t>Bearing Pad Length=</t>
  </si>
  <si>
    <t>inches</t>
  </si>
  <si>
    <t>along beam line</t>
  </si>
  <si>
    <t>Span 1 Check Grade Effects:</t>
  </si>
  <si>
    <t>ft</t>
  </si>
  <si>
    <t>Bearing to Bearing Length =</t>
  </si>
  <si>
    <t>Effective Slope =</t>
  </si>
  <si>
    <t>ft/ft</t>
  </si>
  <si>
    <t>Drop across bearing pad =</t>
  </si>
  <si>
    <t>in</t>
  </si>
  <si>
    <t>Span 2 Check Grade Effects:</t>
  </si>
  <si>
    <t>Span 3 Check Grade Effects:</t>
  </si>
  <si>
    <t>Span 4 Check Grade Effects:</t>
  </si>
  <si>
    <t>Abut Reference Elev. =</t>
  </si>
  <si>
    <t>Pier 1 Reference Elev. =</t>
  </si>
  <si>
    <t>Note: Reference elevations are top of deck elevations at PGL</t>
  </si>
  <si>
    <t>pier 1 Reference Elev. =</t>
  </si>
  <si>
    <t>Pier 2 Reference Elev. =</t>
  </si>
  <si>
    <t>Pier 3 Reference Elev. =</t>
  </si>
  <si>
    <t>Pier 4 Reference Elev. =</t>
  </si>
  <si>
    <t>Tr (in)</t>
  </si>
  <si>
    <t>Tc (in)</t>
  </si>
  <si>
    <t>Tf (in)</t>
  </si>
  <si>
    <t>Tt @ CL BRG (in)</t>
  </si>
  <si>
    <t>Tb (in)</t>
  </si>
  <si>
    <t>ts's (in)</t>
  </si>
  <si>
    <t>te (in)</t>
  </si>
  <si>
    <t>ti (in)</t>
  </si>
  <si>
    <t>Deck Width</t>
  </si>
  <si>
    <t>Multipath width</t>
  </si>
  <si>
    <t>Barrier left</t>
  </si>
  <si>
    <t>Barrier right</t>
  </si>
  <si>
    <t>Barrier sidewalk</t>
  </si>
  <si>
    <t>Roadway width</t>
  </si>
  <si>
    <t>Deck Thickness</t>
  </si>
  <si>
    <t>Deck overhang thickness</t>
  </si>
  <si>
    <t>Asphalt thickess</t>
  </si>
  <si>
    <t>Haunch Thicnkess</t>
  </si>
  <si>
    <t>Span 1</t>
  </si>
  <si>
    <t>Span 2</t>
  </si>
  <si>
    <t>Span 3</t>
  </si>
  <si>
    <t>Span 4</t>
  </si>
  <si>
    <t>No of spans</t>
  </si>
  <si>
    <t>No of Beams</t>
  </si>
  <si>
    <t>No of beams in Phase 1</t>
  </si>
  <si>
    <t>No of Beams in Phase 2</t>
  </si>
  <si>
    <t>HL Trcuk axle weight</t>
  </si>
  <si>
    <t>kip</t>
  </si>
  <si>
    <t>Lane Load</t>
  </si>
  <si>
    <t>klf</t>
  </si>
  <si>
    <t>AASHTO LRFD 3.6.1.2.2</t>
  </si>
  <si>
    <t>Rotation Calculation</t>
  </si>
  <si>
    <t>Ƴconc</t>
  </si>
  <si>
    <t>pcf</t>
  </si>
  <si>
    <t>Beam weight</t>
  </si>
  <si>
    <t>Considering 5% weight to account for internal diaphragms</t>
  </si>
  <si>
    <t>Deck weight  external</t>
  </si>
  <si>
    <t>Deck Weight internal</t>
  </si>
  <si>
    <t>Barrier fence weight</t>
  </si>
  <si>
    <t>Future wering surface load of 60psf</t>
  </si>
  <si>
    <t>Ec</t>
  </si>
  <si>
    <t>ksi</t>
  </si>
  <si>
    <t>Ix beam</t>
  </si>
  <si>
    <t>Span</t>
  </si>
  <si>
    <t>Abut</t>
  </si>
  <si>
    <t>Pier 1</t>
  </si>
  <si>
    <t>Pier 2</t>
  </si>
  <si>
    <t>Pier 3</t>
  </si>
  <si>
    <t>Pier 4</t>
  </si>
  <si>
    <t>Rotation (rad)</t>
  </si>
  <si>
    <t>plf</t>
  </si>
  <si>
    <t xml:space="preserve">Beam </t>
  </si>
  <si>
    <t>Deck+haunch</t>
  </si>
  <si>
    <t>Composite</t>
  </si>
  <si>
    <t>θconstruction</t>
  </si>
  <si>
    <t>rad</t>
  </si>
  <si>
    <t>AASHTO 14.4.2.1- Estimate of potential construction rotaltion. Can reduce if applicable.</t>
  </si>
  <si>
    <t>θcamber</t>
  </si>
  <si>
    <t>AASHTO 14.8.2</t>
  </si>
  <si>
    <t>Exterior</t>
  </si>
  <si>
    <t>Interior</t>
  </si>
  <si>
    <t>Roadway grade G1</t>
  </si>
  <si>
    <t>Roadway grade G2</t>
  </si>
  <si>
    <t>Final</t>
  </si>
  <si>
    <t>Roadway grade</t>
  </si>
  <si>
    <t>Tapered plate limit</t>
  </si>
  <si>
    <t>final Rotation&gt;tapered plate limit</t>
  </si>
  <si>
    <t>ASHTO 14.8.2</t>
  </si>
  <si>
    <t>Bevel Plate is required</t>
  </si>
  <si>
    <t>Min rotation</t>
  </si>
  <si>
    <t>Max rotation</t>
  </si>
  <si>
    <t>Rotation Design</t>
  </si>
  <si>
    <t>Δplate-edge</t>
  </si>
  <si>
    <t>rounding upto 1/4th</t>
  </si>
  <si>
    <t>Plate length</t>
  </si>
  <si>
    <r>
      <t>in</t>
    </r>
    <r>
      <rPr>
        <vertAlign val="superscript"/>
        <sz val="11"/>
        <color theme="1"/>
        <rFont val="Calibri"/>
        <family val="2"/>
        <scheme val="minor"/>
      </rPr>
      <t>4</t>
    </r>
  </si>
  <si>
    <r>
      <t>Ix composite Ext (in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</si>
  <si>
    <r>
      <t>Ix composite Int (in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</si>
</sst>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"/>
    <numFmt numFmtId="166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70C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0" xfId="0" applyFont="1"/>
    <xf numFmtId="0" fontId="5" fillId="0" borderId="0" xfId="0" applyFont="1"/>
    <xf numFmtId="166" fontId="0" fillId="0" borderId="0" xfId="0" applyNumberFormat="1"/>
    <xf numFmtId="0" fontId="6" fillId="0" borderId="0" xfId="0" applyFont="1"/>
    <xf numFmtId="166" fontId="1" fillId="0" borderId="0" xfId="0" applyNumberFormat="1" applyFont="1"/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6C4DF-67AF-49FD-B639-99D88E85A048}">
  <dimension ref="A1:T58"/>
  <sheetViews>
    <sheetView zoomScale="90" zoomScaleNormal="90" workbookViewId="0">
      <selection activeCell="T29" sqref="T29"/>
    </sheetView>
  </sheetViews>
  <sheetFormatPr defaultRowHeight="14.4" x14ac:dyDescent="0.3"/>
  <cols>
    <col min="1" max="1" width="13.88671875" customWidth="1"/>
    <col min="2" max="2" width="12.88671875" customWidth="1"/>
    <col min="3" max="3" width="10.33203125" customWidth="1"/>
    <col min="4" max="4" width="12.44140625" customWidth="1"/>
    <col min="5" max="5" width="12.5546875" customWidth="1"/>
    <col min="6" max="6" width="11.88671875" customWidth="1"/>
    <col min="8" max="8" width="7.5546875" customWidth="1"/>
    <col min="10" max="10" width="7.109375" customWidth="1"/>
    <col min="11" max="11" width="16.88671875" customWidth="1"/>
    <col min="12" max="12" width="6.88671875" customWidth="1"/>
  </cols>
  <sheetData>
    <row r="1" spans="1:20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0" x14ac:dyDescent="0.3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51</v>
      </c>
      <c r="H2" s="16" t="s">
        <v>7</v>
      </c>
      <c r="I2" s="16" t="s">
        <v>50</v>
      </c>
      <c r="J2" s="16" t="s">
        <v>8</v>
      </c>
      <c r="K2" s="16" t="s">
        <v>17</v>
      </c>
      <c r="L2" s="16" t="s">
        <v>49</v>
      </c>
      <c r="M2" s="16" t="s">
        <v>48</v>
      </c>
      <c r="N2" s="19" t="s">
        <v>9</v>
      </c>
      <c r="O2" s="19"/>
      <c r="P2" s="19"/>
      <c r="Q2" s="16" t="s">
        <v>47</v>
      </c>
    </row>
    <row r="3" spans="1:20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9" t="s">
        <v>44</v>
      </c>
      <c r="O3" s="9" t="s">
        <v>45</v>
      </c>
      <c r="P3" s="9" t="s">
        <v>46</v>
      </c>
      <c r="Q3" s="16"/>
    </row>
    <row r="4" spans="1:20" x14ac:dyDescent="0.3">
      <c r="A4" s="8" t="s">
        <v>11</v>
      </c>
      <c r="B4" s="8" t="s">
        <v>10</v>
      </c>
      <c r="C4" s="8">
        <v>1</v>
      </c>
      <c r="D4" s="8">
        <v>41.1</v>
      </c>
      <c r="E4" s="8">
        <v>49.7</v>
      </c>
      <c r="F4" s="8">
        <v>90.7</v>
      </c>
      <c r="G4" s="8">
        <v>0.4</v>
      </c>
      <c r="H4" s="8">
        <v>5</v>
      </c>
      <c r="I4" s="8">
        <v>0.25</v>
      </c>
      <c r="J4" s="8">
        <v>1</v>
      </c>
      <c r="K4" s="8">
        <v>5</v>
      </c>
      <c r="L4" s="8">
        <v>0.1046</v>
      </c>
      <c r="M4" s="8">
        <v>2.7730000000000001</v>
      </c>
      <c r="N4" s="8">
        <f>O4-0.625</f>
        <v>5.375</v>
      </c>
      <c r="O4" s="8">
        <f>9-3</f>
        <v>6</v>
      </c>
      <c r="P4" s="8">
        <f t="shared" ref="P4:P9" si="0">O4+0.625</f>
        <v>6.625</v>
      </c>
      <c r="Q4" s="8">
        <f>3+O4+M4</f>
        <v>11.773</v>
      </c>
    </row>
    <row r="5" spans="1:20" x14ac:dyDescent="0.3">
      <c r="A5" s="8" t="s">
        <v>12</v>
      </c>
      <c r="B5" s="8" t="s">
        <v>10</v>
      </c>
      <c r="C5" s="8">
        <v>3</v>
      </c>
      <c r="D5" s="8">
        <v>41.1</v>
      </c>
      <c r="E5" s="8">
        <v>49.7</v>
      </c>
      <c r="F5" s="8">
        <v>90.7</v>
      </c>
      <c r="G5" s="8">
        <v>0.4</v>
      </c>
      <c r="H5" s="8">
        <v>5</v>
      </c>
      <c r="I5" s="8">
        <v>0.25</v>
      </c>
      <c r="J5" s="8">
        <v>1</v>
      </c>
      <c r="K5" s="8">
        <v>5</v>
      </c>
      <c r="L5" s="8">
        <v>0.1046</v>
      </c>
      <c r="M5" s="8">
        <v>2.7730000000000001</v>
      </c>
      <c r="N5" s="8">
        <f>O5-0.625</f>
        <v>5.375</v>
      </c>
      <c r="O5" s="8">
        <f>9-3</f>
        <v>6</v>
      </c>
      <c r="P5" s="8">
        <f t="shared" si="0"/>
        <v>6.625</v>
      </c>
      <c r="Q5" s="8">
        <f t="shared" ref="Q5:Q9" si="1">3+O5+M5</f>
        <v>11.773</v>
      </c>
    </row>
    <row r="6" spans="1:20" x14ac:dyDescent="0.3">
      <c r="A6" s="8" t="s">
        <v>15</v>
      </c>
      <c r="B6" s="8" t="s">
        <v>10</v>
      </c>
      <c r="C6" s="8">
        <v>1</v>
      </c>
      <c r="D6" s="8">
        <v>85.5</v>
      </c>
      <c r="E6" s="8">
        <v>105.3</v>
      </c>
      <c r="F6" s="8">
        <v>190.8</v>
      </c>
      <c r="G6" s="8">
        <v>0.4</v>
      </c>
      <c r="H6" s="8">
        <v>5</v>
      </c>
      <c r="I6" s="8">
        <v>0.25</v>
      </c>
      <c r="J6" s="8">
        <v>1</v>
      </c>
      <c r="K6" s="8">
        <v>5</v>
      </c>
      <c r="L6" s="8">
        <v>0.1046</v>
      </c>
      <c r="M6" s="8">
        <v>2.7730000000000001</v>
      </c>
      <c r="N6" s="8">
        <v>1.5</v>
      </c>
      <c r="O6" s="8">
        <f>1.5+0.625</f>
        <v>2.125</v>
      </c>
      <c r="P6" s="8">
        <f t="shared" si="0"/>
        <v>2.75</v>
      </c>
      <c r="Q6" s="8">
        <f t="shared" si="1"/>
        <v>7.8979999999999997</v>
      </c>
    </row>
    <row r="7" spans="1:20" x14ac:dyDescent="0.3">
      <c r="A7" s="8" t="s">
        <v>16</v>
      </c>
      <c r="B7" s="8" t="s">
        <v>10</v>
      </c>
      <c r="C7" s="8">
        <v>3</v>
      </c>
      <c r="D7" s="8">
        <v>85.5</v>
      </c>
      <c r="E7" s="8">
        <v>105.3</v>
      </c>
      <c r="F7" s="8">
        <v>190.8</v>
      </c>
      <c r="G7" s="8">
        <v>0.4</v>
      </c>
      <c r="H7" s="8">
        <v>5</v>
      </c>
      <c r="I7" s="8">
        <v>0.25</v>
      </c>
      <c r="J7" s="8">
        <v>1</v>
      </c>
      <c r="K7" s="8">
        <v>5</v>
      </c>
      <c r="L7" s="8">
        <v>0.1046</v>
      </c>
      <c r="M7" s="8">
        <v>2.7730000000000001</v>
      </c>
      <c r="N7" s="8">
        <v>1.5</v>
      </c>
      <c r="O7" s="8">
        <f>N7+0.625</f>
        <v>2.125</v>
      </c>
      <c r="P7" s="8">
        <f t="shared" si="0"/>
        <v>2.75</v>
      </c>
      <c r="Q7" s="8">
        <f t="shared" si="1"/>
        <v>7.8979999999999997</v>
      </c>
    </row>
    <row r="8" spans="1:20" x14ac:dyDescent="0.3">
      <c r="A8" s="8" t="s">
        <v>13</v>
      </c>
      <c r="B8" s="8" t="s">
        <v>10</v>
      </c>
      <c r="C8" s="8">
        <v>1</v>
      </c>
      <c r="D8" s="8">
        <v>41.1</v>
      </c>
      <c r="E8" s="8">
        <v>49.7</v>
      </c>
      <c r="F8" s="8">
        <v>90.7</v>
      </c>
      <c r="G8" s="8">
        <v>0.4</v>
      </c>
      <c r="H8" s="8">
        <v>5</v>
      </c>
      <c r="I8" s="8">
        <v>0.25</v>
      </c>
      <c r="J8" s="8">
        <v>1</v>
      </c>
      <c r="K8" s="8">
        <v>5</v>
      </c>
      <c r="L8" s="8">
        <v>0.1046</v>
      </c>
      <c r="M8" s="8">
        <v>2.7730000000000001</v>
      </c>
      <c r="N8" s="8">
        <f>O8+0.625</f>
        <v>6.625</v>
      </c>
      <c r="O8" s="8">
        <f>9-3</f>
        <v>6</v>
      </c>
      <c r="P8" s="8">
        <f t="shared" si="0"/>
        <v>6.625</v>
      </c>
      <c r="Q8" s="8">
        <f t="shared" si="1"/>
        <v>11.773</v>
      </c>
    </row>
    <row r="9" spans="1:20" x14ac:dyDescent="0.3">
      <c r="A9" s="8" t="s">
        <v>14</v>
      </c>
      <c r="B9" s="8" t="s">
        <v>10</v>
      </c>
      <c r="C9" s="8">
        <v>3</v>
      </c>
      <c r="D9" s="8">
        <v>41.1</v>
      </c>
      <c r="E9" s="8">
        <v>49.7</v>
      </c>
      <c r="F9" s="8">
        <v>90.7</v>
      </c>
      <c r="G9" s="8">
        <v>0.4</v>
      </c>
      <c r="H9" s="8">
        <v>5</v>
      </c>
      <c r="I9" s="8">
        <v>0.25</v>
      </c>
      <c r="J9" s="8">
        <v>1</v>
      </c>
      <c r="K9" s="8">
        <v>5</v>
      </c>
      <c r="L9" s="8">
        <v>0.1046</v>
      </c>
      <c r="M9" s="8">
        <v>2.7730000000000001</v>
      </c>
      <c r="N9" s="8">
        <f>O9+0.625</f>
        <v>6.625</v>
      </c>
      <c r="O9" s="8">
        <f>9-3</f>
        <v>6</v>
      </c>
      <c r="P9" s="8">
        <f t="shared" si="0"/>
        <v>6.625</v>
      </c>
      <c r="Q9" s="8">
        <f t="shared" si="1"/>
        <v>11.773</v>
      </c>
    </row>
    <row r="12" spans="1:20" x14ac:dyDescent="0.3">
      <c r="A12" s="10" t="s">
        <v>22</v>
      </c>
    </row>
    <row r="13" spans="1:20" x14ac:dyDescent="0.3">
      <c r="B13" t="s">
        <v>20</v>
      </c>
      <c r="C13" t="s">
        <v>21</v>
      </c>
    </row>
    <row r="14" spans="1:20" x14ac:dyDescent="0.3">
      <c r="A14" t="s">
        <v>18</v>
      </c>
      <c r="B14">
        <v>13</v>
      </c>
      <c r="C14">
        <v>13</v>
      </c>
    </row>
    <row r="15" spans="1:20" x14ac:dyDescent="0.3">
      <c r="A15" t="s">
        <v>19</v>
      </c>
      <c r="B15">
        <v>20</v>
      </c>
      <c r="C15">
        <v>20</v>
      </c>
    </row>
    <row r="16" spans="1:20" x14ac:dyDescent="0.3">
      <c r="P16" s="17"/>
      <c r="Q16" s="17"/>
      <c r="R16" s="17"/>
      <c r="S16" s="17"/>
      <c r="T16" s="17"/>
    </row>
    <row r="17" spans="1:20" x14ac:dyDescent="0.3">
      <c r="A17" s="10" t="s">
        <v>23</v>
      </c>
      <c r="P17" s="17"/>
      <c r="Q17" s="17"/>
      <c r="R17" s="17"/>
      <c r="S17" s="17"/>
      <c r="T17" s="17"/>
    </row>
    <row r="18" spans="1:20" x14ac:dyDescent="0.3">
      <c r="B18" t="s">
        <v>20</v>
      </c>
      <c r="C18" t="s">
        <v>21</v>
      </c>
      <c r="P18" s="17"/>
      <c r="Q18" s="17"/>
      <c r="R18" s="17"/>
      <c r="S18" s="17"/>
      <c r="T18" s="17"/>
    </row>
    <row r="19" spans="1:20" x14ac:dyDescent="0.3">
      <c r="A19" t="s">
        <v>18</v>
      </c>
      <c r="B19">
        <f>B14+1</f>
        <v>14</v>
      </c>
      <c r="C19">
        <f>C14+1</f>
        <v>14</v>
      </c>
      <c r="P19" s="17"/>
      <c r="Q19" s="17"/>
      <c r="R19" s="17"/>
      <c r="S19" s="17"/>
      <c r="T19" s="17"/>
    </row>
    <row r="20" spans="1:20" x14ac:dyDescent="0.3">
      <c r="A20" t="s">
        <v>19</v>
      </c>
      <c r="B20">
        <f>B15+1</f>
        <v>21</v>
      </c>
      <c r="C20">
        <f>C15+1</f>
        <v>21</v>
      </c>
    </row>
    <row r="24" spans="1:20" x14ac:dyDescent="0.3">
      <c r="B24" s="1" t="s">
        <v>24</v>
      </c>
      <c r="C24" s="2">
        <v>13</v>
      </c>
      <c r="D24" t="s">
        <v>25</v>
      </c>
      <c r="E24" s="3" t="s">
        <v>26</v>
      </c>
      <c r="F24" s="3"/>
      <c r="G24" s="3"/>
    </row>
    <row r="25" spans="1:20" x14ac:dyDescent="0.3">
      <c r="E25" s="3"/>
      <c r="F25" s="3"/>
      <c r="G25" s="3"/>
    </row>
    <row r="26" spans="1:20" x14ac:dyDescent="0.3">
      <c r="B26" s="4" t="s">
        <v>27</v>
      </c>
      <c r="E26" s="3"/>
      <c r="F26" s="3"/>
      <c r="G26" s="3"/>
    </row>
    <row r="27" spans="1:20" ht="14.4" customHeight="1" x14ac:dyDescent="0.3">
      <c r="B27" s="5" t="s">
        <v>37</v>
      </c>
      <c r="C27" s="2">
        <v>652.21699999999998</v>
      </c>
      <c r="D27" s="3" t="s">
        <v>28</v>
      </c>
      <c r="E27" s="15" t="s">
        <v>39</v>
      </c>
      <c r="F27" s="15"/>
      <c r="G27" s="15"/>
    </row>
    <row r="28" spans="1:20" x14ac:dyDescent="0.3">
      <c r="B28" s="5" t="s">
        <v>38</v>
      </c>
      <c r="C28" s="2">
        <v>652.42399999999998</v>
      </c>
      <c r="D28" s="3" t="s">
        <v>28</v>
      </c>
      <c r="E28" s="15"/>
      <c r="F28" s="15"/>
      <c r="G28" s="15"/>
    </row>
    <row r="29" spans="1:20" x14ac:dyDescent="0.3">
      <c r="B29" s="5" t="s">
        <v>29</v>
      </c>
      <c r="C29" s="2">
        <v>52</v>
      </c>
      <c r="D29" s="3" t="s">
        <v>28</v>
      </c>
      <c r="E29" s="15"/>
      <c r="F29" s="15"/>
      <c r="G29" s="15"/>
    </row>
    <row r="30" spans="1:20" x14ac:dyDescent="0.3">
      <c r="B30" s="5" t="s">
        <v>30</v>
      </c>
      <c r="C30" s="6">
        <f>ABS(C27-C28)/C29</f>
        <v>3.9807692307691081E-3</v>
      </c>
      <c r="D30" s="3" t="s">
        <v>31</v>
      </c>
    </row>
    <row r="31" spans="1:20" x14ac:dyDescent="0.3">
      <c r="B31" s="5" t="s">
        <v>32</v>
      </c>
      <c r="C31" s="7">
        <f>C24*C30</f>
        <v>5.1749999999998408E-2</v>
      </c>
      <c r="D31" s="3" t="s">
        <v>33</v>
      </c>
    </row>
    <row r="33" spans="2:7" x14ac:dyDescent="0.3">
      <c r="B33" s="1" t="s">
        <v>24</v>
      </c>
      <c r="C33" s="2">
        <v>13</v>
      </c>
      <c r="D33" t="s">
        <v>25</v>
      </c>
      <c r="E33" s="3" t="s">
        <v>26</v>
      </c>
      <c r="F33" s="3"/>
      <c r="G33" s="3"/>
    </row>
    <row r="34" spans="2:7" x14ac:dyDescent="0.3">
      <c r="E34" s="3"/>
      <c r="F34" s="3"/>
      <c r="G34" s="3"/>
    </row>
    <row r="35" spans="2:7" x14ac:dyDescent="0.3">
      <c r="B35" s="4" t="s">
        <v>34</v>
      </c>
      <c r="E35" s="3"/>
      <c r="F35" s="3"/>
      <c r="G35" s="3"/>
    </row>
    <row r="36" spans="2:7" ht="14.4" customHeight="1" x14ac:dyDescent="0.3">
      <c r="B36" s="5" t="s">
        <v>40</v>
      </c>
      <c r="C36" s="2">
        <v>652.42399999999998</v>
      </c>
      <c r="D36" s="3" t="s">
        <v>28</v>
      </c>
      <c r="E36" s="15" t="s">
        <v>39</v>
      </c>
      <c r="F36" s="15"/>
      <c r="G36" s="15"/>
    </row>
    <row r="37" spans="2:7" x14ac:dyDescent="0.3">
      <c r="B37" s="5" t="s">
        <v>41</v>
      </c>
      <c r="C37" s="2">
        <v>652.57299999999998</v>
      </c>
      <c r="D37" s="3" t="s">
        <v>28</v>
      </c>
      <c r="E37" s="15"/>
      <c r="F37" s="15"/>
      <c r="G37" s="15"/>
    </row>
    <row r="38" spans="2:7" x14ac:dyDescent="0.3">
      <c r="B38" s="5" t="s">
        <v>29</v>
      </c>
      <c r="C38" s="2">
        <v>82.5</v>
      </c>
      <c r="D38" s="3" t="s">
        <v>28</v>
      </c>
      <c r="E38" s="15"/>
      <c r="F38" s="15"/>
      <c r="G38" s="15"/>
    </row>
    <row r="39" spans="2:7" x14ac:dyDescent="0.3">
      <c r="B39" s="5" t="s">
        <v>30</v>
      </c>
      <c r="C39" s="6">
        <f>ABS(C36-C37)/C38</f>
        <v>1.806060606060617E-3</v>
      </c>
      <c r="D39" s="3" t="s">
        <v>31</v>
      </c>
    </row>
    <row r="40" spans="2:7" x14ac:dyDescent="0.3">
      <c r="B40" s="5" t="s">
        <v>32</v>
      </c>
      <c r="C40" s="7">
        <f>C33*C39</f>
        <v>2.3478787878788022E-2</v>
      </c>
      <c r="D40" s="3" t="s">
        <v>33</v>
      </c>
    </row>
    <row r="42" spans="2:7" x14ac:dyDescent="0.3">
      <c r="B42" s="1" t="s">
        <v>24</v>
      </c>
      <c r="C42" s="2">
        <v>13</v>
      </c>
      <c r="D42" t="s">
        <v>25</v>
      </c>
      <c r="E42" s="3" t="s">
        <v>26</v>
      </c>
      <c r="F42" s="3"/>
      <c r="G42" s="3"/>
    </row>
    <row r="43" spans="2:7" x14ac:dyDescent="0.3">
      <c r="E43" s="3"/>
      <c r="F43" s="3"/>
      <c r="G43" s="3"/>
    </row>
    <row r="44" spans="2:7" x14ac:dyDescent="0.3">
      <c r="B44" s="4" t="s">
        <v>35</v>
      </c>
      <c r="E44" s="3"/>
      <c r="F44" s="3"/>
      <c r="G44" s="3"/>
    </row>
    <row r="45" spans="2:7" ht="14.4" customHeight="1" x14ac:dyDescent="0.3">
      <c r="B45" s="5" t="s">
        <v>41</v>
      </c>
      <c r="C45" s="2">
        <v>652.57299999999998</v>
      </c>
      <c r="D45" s="3" t="s">
        <v>28</v>
      </c>
      <c r="E45" s="15" t="s">
        <v>39</v>
      </c>
      <c r="F45" s="15"/>
      <c r="G45" s="15"/>
    </row>
    <row r="46" spans="2:7" x14ac:dyDescent="0.3">
      <c r="B46" s="5" t="s">
        <v>42</v>
      </c>
      <c r="C46" s="2">
        <v>652.476</v>
      </c>
      <c r="D46" s="3" t="s">
        <v>28</v>
      </c>
      <c r="E46" s="15"/>
      <c r="F46" s="15"/>
      <c r="G46" s="15"/>
    </row>
    <row r="47" spans="2:7" x14ac:dyDescent="0.3">
      <c r="B47" s="5" t="s">
        <v>29</v>
      </c>
      <c r="C47" s="2">
        <v>82.5</v>
      </c>
      <c r="D47" s="3" t="s">
        <v>28</v>
      </c>
      <c r="E47" s="15"/>
      <c r="F47" s="15"/>
      <c r="G47" s="15"/>
    </row>
    <row r="48" spans="2:7" x14ac:dyDescent="0.3">
      <c r="B48" s="5" t="s">
        <v>30</v>
      </c>
      <c r="C48" s="6">
        <f>ABS(C45-C46)/C47</f>
        <v>1.1757575757573332E-3</v>
      </c>
      <c r="D48" s="3" t="s">
        <v>31</v>
      </c>
    </row>
    <row r="49" spans="2:7" x14ac:dyDescent="0.3">
      <c r="B49" s="5" t="s">
        <v>32</v>
      </c>
      <c r="C49" s="7">
        <f>C42*C48</f>
        <v>1.5284848484845332E-2</v>
      </c>
      <c r="D49" s="3" t="s">
        <v>33</v>
      </c>
    </row>
    <row r="51" spans="2:7" x14ac:dyDescent="0.3">
      <c r="B51" s="1" t="s">
        <v>24</v>
      </c>
      <c r="C51" s="2">
        <v>13</v>
      </c>
      <c r="D51" t="s">
        <v>25</v>
      </c>
      <c r="E51" s="3" t="s">
        <v>26</v>
      </c>
      <c r="F51" s="3"/>
      <c r="G51" s="3"/>
    </row>
    <row r="52" spans="2:7" x14ac:dyDescent="0.3">
      <c r="E52" s="3"/>
      <c r="F52" s="3"/>
      <c r="G52" s="3"/>
    </row>
    <row r="53" spans="2:7" x14ac:dyDescent="0.3">
      <c r="B53" s="4" t="s">
        <v>36</v>
      </c>
      <c r="E53" s="3"/>
      <c r="F53" s="3"/>
      <c r="G53" s="3"/>
    </row>
    <row r="54" spans="2:7" ht="14.4" customHeight="1" x14ac:dyDescent="0.3">
      <c r="B54" s="5" t="s">
        <v>42</v>
      </c>
      <c r="C54" s="2">
        <v>652.476</v>
      </c>
      <c r="D54" s="3" t="s">
        <v>28</v>
      </c>
      <c r="E54" s="15" t="s">
        <v>39</v>
      </c>
      <c r="F54" s="15"/>
      <c r="G54" s="15"/>
    </row>
    <row r="55" spans="2:7" x14ac:dyDescent="0.3">
      <c r="B55" s="5" t="s">
        <v>43</v>
      </c>
      <c r="C55" s="2">
        <v>652.29999999999995</v>
      </c>
      <c r="D55" s="3" t="s">
        <v>28</v>
      </c>
      <c r="E55" s="15"/>
      <c r="F55" s="15"/>
      <c r="G55" s="15"/>
    </row>
    <row r="56" spans="2:7" x14ac:dyDescent="0.3">
      <c r="B56" s="5" t="s">
        <v>29</v>
      </c>
      <c r="C56" s="2">
        <v>52</v>
      </c>
      <c r="D56" s="3" t="s">
        <v>28</v>
      </c>
      <c r="E56" s="15"/>
      <c r="F56" s="15"/>
      <c r="G56" s="15"/>
    </row>
    <row r="57" spans="2:7" x14ac:dyDescent="0.3">
      <c r="B57" s="5" t="s">
        <v>30</v>
      </c>
      <c r="C57" s="6">
        <f>ABS(C54-C55)/C56</f>
        <v>3.3846153846162417E-3</v>
      </c>
      <c r="D57" s="3" t="s">
        <v>31</v>
      </c>
    </row>
    <row r="58" spans="2:7" x14ac:dyDescent="0.3">
      <c r="B58" s="5" t="s">
        <v>32</v>
      </c>
      <c r="C58" s="7">
        <f>C51*C57</f>
        <v>4.4000000000011141E-2</v>
      </c>
      <c r="D58" s="3" t="s">
        <v>33</v>
      </c>
    </row>
  </sheetData>
  <mergeCells count="21">
    <mergeCell ref="P16:T19"/>
    <mergeCell ref="L2:L3"/>
    <mergeCell ref="M2:M3"/>
    <mergeCell ref="Q2:Q3"/>
    <mergeCell ref="A1:Q1"/>
    <mergeCell ref="F2:F3"/>
    <mergeCell ref="G2:G3"/>
    <mergeCell ref="H2:H3"/>
    <mergeCell ref="I2:I3"/>
    <mergeCell ref="J2:J3"/>
    <mergeCell ref="K2:K3"/>
    <mergeCell ref="N2:P2"/>
    <mergeCell ref="E27:G29"/>
    <mergeCell ref="E36:G38"/>
    <mergeCell ref="E45:G47"/>
    <mergeCell ref="E54:G56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09EAC-F3E0-4728-934C-3C4FF781C6E1}">
  <dimension ref="A1:H71"/>
  <sheetViews>
    <sheetView tabSelected="1" topLeftCell="D42" workbookViewId="0">
      <selection activeCell="A51" sqref="A51"/>
    </sheetView>
  </sheetViews>
  <sheetFormatPr defaultRowHeight="14.4" x14ac:dyDescent="0.3"/>
  <cols>
    <col min="1" max="1" width="18" customWidth="1"/>
    <col min="3" max="3" width="18.109375" customWidth="1"/>
    <col min="4" max="5" width="13.88671875" customWidth="1"/>
    <col min="6" max="6" width="11.6640625" customWidth="1"/>
    <col min="7" max="7" width="13.21875" customWidth="1"/>
    <col min="8" max="8" width="12.6640625" customWidth="1"/>
  </cols>
  <sheetData>
    <row r="1" spans="1:3" x14ac:dyDescent="0.3">
      <c r="A1" t="s">
        <v>52</v>
      </c>
      <c r="B1">
        <f>90+10/12</f>
        <v>90.833333333333329</v>
      </c>
      <c r="C1" t="s">
        <v>28</v>
      </c>
    </row>
    <row r="2" spans="1:3" x14ac:dyDescent="0.3">
      <c r="A2" t="s">
        <v>53</v>
      </c>
      <c r="B2">
        <v>14</v>
      </c>
      <c r="C2" t="s">
        <v>28</v>
      </c>
    </row>
    <row r="3" spans="1:3" x14ac:dyDescent="0.3">
      <c r="A3" t="s">
        <v>54</v>
      </c>
      <c r="B3">
        <f>1+2/12</f>
        <v>1.1666666666666667</v>
      </c>
      <c r="C3" t="s">
        <v>28</v>
      </c>
    </row>
    <row r="4" spans="1:3" x14ac:dyDescent="0.3">
      <c r="A4" t="s">
        <v>55</v>
      </c>
      <c r="B4">
        <f>1+8/12</f>
        <v>1.6666666666666665</v>
      </c>
      <c r="C4" t="s">
        <v>28</v>
      </c>
    </row>
    <row r="5" spans="1:3" x14ac:dyDescent="0.3">
      <c r="A5" t="s">
        <v>56</v>
      </c>
      <c r="B5">
        <v>2</v>
      </c>
      <c r="C5" t="s">
        <v>28</v>
      </c>
    </row>
    <row r="6" spans="1:3" x14ac:dyDescent="0.3">
      <c r="A6" t="s">
        <v>57</v>
      </c>
      <c r="B6">
        <f>B1-B2-B3-B4-B5</f>
        <v>71.999999999999986</v>
      </c>
      <c r="C6" t="s">
        <v>28</v>
      </c>
    </row>
    <row r="7" spans="1:3" x14ac:dyDescent="0.3">
      <c r="A7" t="s">
        <v>58</v>
      </c>
      <c r="B7">
        <v>8.5</v>
      </c>
      <c r="C7" t="s">
        <v>33</v>
      </c>
    </row>
    <row r="8" spans="1:3" x14ac:dyDescent="0.3">
      <c r="A8" t="s">
        <v>59</v>
      </c>
      <c r="B8">
        <v>10.5</v>
      </c>
      <c r="C8" t="s">
        <v>33</v>
      </c>
    </row>
    <row r="9" spans="1:3" x14ac:dyDescent="0.3">
      <c r="A9" t="s">
        <v>60</v>
      </c>
      <c r="B9">
        <v>1</v>
      </c>
      <c r="C9" t="s">
        <v>33</v>
      </c>
    </row>
    <row r="10" spans="1:3" x14ac:dyDescent="0.3">
      <c r="A10" t="s">
        <v>61</v>
      </c>
      <c r="B10">
        <v>2</v>
      </c>
      <c r="C10" t="s">
        <v>33</v>
      </c>
    </row>
    <row r="12" spans="1:3" x14ac:dyDescent="0.3">
      <c r="A12" t="s">
        <v>62</v>
      </c>
      <c r="B12">
        <v>52</v>
      </c>
      <c r="C12" t="s">
        <v>28</v>
      </c>
    </row>
    <row r="13" spans="1:3" x14ac:dyDescent="0.3">
      <c r="A13" t="s">
        <v>63</v>
      </c>
      <c r="B13">
        <v>86.5</v>
      </c>
      <c r="C13" t="s">
        <v>28</v>
      </c>
    </row>
    <row r="14" spans="1:3" x14ac:dyDescent="0.3">
      <c r="A14" t="s">
        <v>64</v>
      </c>
      <c r="B14">
        <v>86.5</v>
      </c>
      <c r="C14" t="s">
        <v>28</v>
      </c>
    </row>
    <row r="15" spans="1:3" x14ac:dyDescent="0.3">
      <c r="A15" t="s">
        <v>65</v>
      </c>
      <c r="B15">
        <v>52</v>
      </c>
      <c r="C15" t="s">
        <v>28</v>
      </c>
    </row>
    <row r="17" spans="1:5" x14ac:dyDescent="0.3">
      <c r="A17" t="s">
        <v>66</v>
      </c>
      <c r="B17">
        <v>4</v>
      </c>
    </row>
    <row r="18" spans="1:5" x14ac:dyDescent="0.3">
      <c r="A18" t="s">
        <v>67</v>
      </c>
      <c r="B18">
        <v>14</v>
      </c>
    </row>
    <row r="19" spans="1:5" x14ac:dyDescent="0.3">
      <c r="A19" t="s">
        <v>68</v>
      </c>
      <c r="B19">
        <v>7</v>
      </c>
    </row>
    <row r="20" spans="1:5" x14ac:dyDescent="0.3">
      <c r="A20" t="s">
        <v>69</v>
      </c>
      <c r="B20">
        <v>7</v>
      </c>
    </row>
    <row r="22" spans="1:5" x14ac:dyDescent="0.3">
      <c r="A22" t="s">
        <v>70</v>
      </c>
      <c r="B22">
        <f>8+32+32</f>
        <v>72</v>
      </c>
      <c r="C22" t="s">
        <v>71</v>
      </c>
      <c r="E22" t="s">
        <v>74</v>
      </c>
    </row>
    <row r="23" spans="1:5" x14ac:dyDescent="0.3">
      <c r="A23" t="s">
        <v>72</v>
      </c>
      <c r="B23">
        <v>0.64</v>
      </c>
      <c r="C23" t="s">
        <v>73</v>
      </c>
    </row>
    <row r="25" spans="1:5" x14ac:dyDescent="0.3">
      <c r="A25" t="s">
        <v>75</v>
      </c>
    </row>
    <row r="27" spans="1:5" x14ac:dyDescent="0.3">
      <c r="A27" s="11" t="s">
        <v>76</v>
      </c>
      <c r="B27">
        <v>150</v>
      </c>
      <c r="C27" t="s">
        <v>77</v>
      </c>
    </row>
    <row r="28" spans="1:5" x14ac:dyDescent="0.3">
      <c r="A28" s="11" t="s">
        <v>78</v>
      </c>
      <c r="B28">
        <f>170*1.05</f>
        <v>178.5</v>
      </c>
      <c r="C28" t="s">
        <v>94</v>
      </c>
      <c r="E28" t="s">
        <v>79</v>
      </c>
    </row>
    <row r="29" spans="1:5" x14ac:dyDescent="0.3">
      <c r="A29" s="11" t="s">
        <v>80</v>
      </c>
      <c r="B29">
        <v>0.63800000000000001</v>
      </c>
      <c r="C29" t="s">
        <v>73</v>
      </c>
    </row>
    <row r="30" spans="1:5" x14ac:dyDescent="0.3">
      <c r="A30" s="11" t="s">
        <v>81</v>
      </c>
      <c r="B30">
        <v>0.66200000000000003</v>
      </c>
      <c r="C30" t="s">
        <v>73</v>
      </c>
    </row>
    <row r="31" spans="1:5" x14ac:dyDescent="0.3">
      <c r="A31" s="11" t="s">
        <v>82</v>
      </c>
      <c r="B31">
        <v>0.09</v>
      </c>
      <c r="C31" t="s">
        <v>73</v>
      </c>
    </row>
    <row r="32" spans="1:5" x14ac:dyDescent="0.3">
      <c r="A32" s="11"/>
      <c r="E32" t="s">
        <v>83</v>
      </c>
    </row>
    <row r="33" spans="1:8" x14ac:dyDescent="0.3">
      <c r="A33" s="11"/>
    </row>
    <row r="34" spans="1:8" x14ac:dyDescent="0.3">
      <c r="A34" t="s">
        <v>84</v>
      </c>
      <c r="B34">
        <v>3865.2</v>
      </c>
      <c r="C34" t="s">
        <v>85</v>
      </c>
    </row>
    <row r="35" spans="1:8" ht="16.2" x14ac:dyDescent="0.3">
      <c r="A35" t="s">
        <v>86</v>
      </c>
      <c r="B35">
        <v>10500</v>
      </c>
      <c r="C35" t="s">
        <v>119</v>
      </c>
    </row>
    <row r="36" spans="1:8" x14ac:dyDescent="0.3">
      <c r="A36" s="11" t="s">
        <v>101</v>
      </c>
      <c r="B36">
        <v>0.01</v>
      </c>
      <c r="C36" t="s">
        <v>99</v>
      </c>
      <c r="E36" t="s">
        <v>102</v>
      </c>
    </row>
    <row r="37" spans="1:8" x14ac:dyDescent="0.3">
      <c r="A37" s="11" t="s">
        <v>98</v>
      </c>
      <c r="B37">
        <v>5.0000000000000001E-3</v>
      </c>
      <c r="C37" t="s">
        <v>99</v>
      </c>
      <c r="E37" t="s">
        <v>100</v>
      </c>
    </row>
    <row r="38" spans="1:8" x14ac:dyDescent="0.3">
      <c r="A38" s="11"/>
    </row>
    <row r="39" spans="1:8" x14ac:dyDescent="0.3">
      <c r="A39" s="13" t="s">
        <v>103</v>
      </c>
      <c r="D39" s="17" t="s">
        <v>93</v>
      </c>
      <c r="E39" s="17"/>
      <c r="F39" s="17"/>
      <c r="G39" s="17"/>
      <c r="H39" s="17"/>
    </row>
    <row r="40" spans="1:8" ht="16.2" x14ac:dyDescent="0.3">
      <c r="A40" t="s">
        <v>87</v>
      </c>
      <c r="C40" t="s">
        <v>120</v>
      </c>
      <c r="D40" t="s">
        <v>95</v>
      </c>
      <c r="E40" t="s">
        <v>96</v>
      </c>
      <c r="F40" t="s">
        <v>97</v>
      </c>
      <c r="G40" t="s">
        <v>108</v>
      </c>
      <c r="H40" t="s">
        <v>107</v>
      </c>
    </row>
    <row r="41" spans="1:8" x14ac:dyDescent="0.3">
      <c r="A41">
        <v>1</v>
      </c>
      <c r="B41" t="s">
        <v>88</v>
      </c>
      <c r="C41">
        <v>18056.099999999999</v>
      </c>
      <c r="D41" s="12">
        <f>($B$28/1000)*$B$12*$B$12*$B$12*144/(24*$B$34*$B$35)</f>
        <v>3.7105495187829867E-3</v>
      </c>
      <c r="E41" s="12">
        <f>($B$29)*$B$12*$B$12*$B$12*144/(24*$B$34*$B$35)</f>
        <v>1.3262356263213142E-2</v>
      </c>
      <c r="F41" s="12">
        <f>($B$31+$B$32)*$B$12*$B$12*$B$12*144/(24*$B$34*C41)</f>
        <v>1.0879473245980383E-3</v>
      </c>
      <c r="G41" s="12">
        <f>B62</f>
        <v>6.4000000000000003E-3</v>
      </c>
      <c r="H41" s="12">
        <f t="shared" ref="H41:H48" si="0">D41+E41+F41+$B$37+G41-$B$36</f>
        <v>1.9460853106594164E-2</v>
      </c>
    </row>
    <row r="42" spans="1:8" x14ac:dyDescent="0.3">
      <c r="B42" t="s">
        <v>89</v>
      </c>
      <c r="C42">
        <v>13970.8</v>
      </c>
      <c r="D42" s="12">
        <f t="shared" ref="D42" si="1">($B$28/1000)*$B$12*$B$12*$B$12*144/(24*$B$34*$B$35)</f>
        <v>3.7105495187829867E-3</v>
      </c>
      <c r="E42" s="12">
        <f t="shared" ref="E42" si="2">($B$29)*$B$12*$B$12*$B$12*144/(24*$B$34*$B$35)</f>
        <v>1.3262356263213142E-2</v>
      </c>
      <c r="F42" s="12">
        <f t="shared" ref="F42" si="3">($B$31+$B$32)*$B$12*$B$12*$B$12*144/(24*$B$34*C42)</f>
        <v>1.4060816623009877E-3</v>
      </c>
      <c r="G42" s="12">
        <f>B62</f>
        <v>6.4000000000000003E-3</v>
      </c>
      <c r="H42" s="12">
        <f t="shared" si="0"/>
        <v>1.9778987444297118E-2</v>
      </c>
    </row>
    <row r="43" spans="1:8" x14ac:dyDescent="0.3">
      <c r="A43">
        <v>2</v>
      </c>
      <c r="B43" t="s">
        <v>89</v>
      </c>
      <c r="C43">
        <v>13970.8</v>
      </c>
      <c r="D43" s="12">
        <f>($B$28/1000)*$B$13*$B$13*$B$13*144/(24*$B$34*$B$35)</f>
        <v>1.7079553904067062E-2</v>
      </c>
      <c r="E43" s="12">
        <f>($B$29)*$B$13*$B$13*$B$13*144/(24*$B$34*$B$35)</f>
        <v>6.1046248687925957E-2</v>
      </c>
      <c r="F43" s="12">
        <f>($B$31+$B$32)*$B$13*$B$13*$B$13*144/(24*$B$34*C43)</f>
        <v>6.47215390152417E-3</v>
      </c>
      <c r="G43" s="12">
        <f>B62</f>
        <v>6.4000000000000003E-3</v>
      </c>
      <c r="H43" s="12">
        <f t="shared" si="0"/>
        <v>8.59979564935172E-2</v>
      </c>
    </row>
    <row r="44" spans="1:8" x14ac:dyDescent="0.3">
      <c r="B44" t="s">
        <v>90</v>
      </c>
      <c r="C44">
        <v>13970.8</v>
      </c>
      <c r="D44" s="12">
        <f t="shared" ref="D44" si="4">($B$28/1000)*$B$13*$B$13*$B$13*144/(24*$B$34*$B$35)</f>
        <v>1.7079553904067062E-2</v>
      </c>
      <c r="E44" s="12">
        <f t="shared" ref="E44" si="5">($B$29)*$B$13*$B$13*$B$13*144/(24*$B$34*$B$35)</f>
        <v>6.1046248687925957E-2</v>
      </c>
      <c r="F44" s="12">
        <f t="shared" ref="F44" si="6">($B$31+$B$32)*$B$13*$B$13*$B$13*144/(24*$B$34*C44)</f>
        <v>6.47215390152417E-3</v>
      </c>
      <c r="G44" s="12">
        <f>B62</f>
        <v>6.4000000000000003E-3</v>
      </c>
      <c r="H44" s="12">
        <f t="shared" si="0"/>
        <v>8.59979564935172E-2</v>
      </c>
    </row>
    <row r="45" spans="1:8" x14ac:dyDescent="0.3">
      <c r="A45">
        <v>3</v>
      </c>
      <c r="B45" t="s">
        <v>90</v>
      </c>
      <c r="C45">
        <v>13970.8</v>
      </c>
      <c r="D45" s="12">
        <f>($B$28/1000)*$B$14*$B$14*$B$14*144/(24*$B$34*$B$35)</f>
        <v>1.7079553904067062E-2</v>
      </c>
      <c r="E45" s="12">
        <f>($B$29)*$B$14*$B$14*$B$14*144/(24*$B$34*$B$35)</f>
        <v>6.1046248687925957E-2</v>
      </c>
      <c r="F45" s="12">
        <f>($B$31+$B$32)*$B$14*$B$14*$B$14*144/(24*$B$34*C45)</f>
        <v>6.47215390152417E-3</v>
      </c>
      <c r="G45" s="12">
        <f>(652.573-652.476)/86.5</f>
        <v>1.121387283236763E-3</v>
      </c>
      <c r="H45" s="12">
        <f t="shared" si="0"/>
        <v>8.0719343776753966E-2</v>
      </c>
    </row>
    <row r="46" spans="1:8" x14ac:dyDescent="0.3">
      <c r="B46" t="s">
        <v>91</v>
      </c>
      <c r="C46">
        <v>13970.8</v>
      </c>
      <c r="D46" s="12">
        <f t="shared" ref="D46" si="7">($B$28/1000)*$B$14*$B$14*$B$14*144/(24*$B$34*$B$35)</f>
        <v>1.7079553904067062E-2</v>
      </c>
      <c r="E46" s="12">
        <f t="shared" ref="E46" si="8">($B$29)*$B$14*$B$14*$B$14*144/(24*$B$34*$B$35)</f>
        <v>6.1046248687925957E-2</v>
      </c>
      <c r="F46" s="12">
        <f t="shared" ref="F46" si="9">($B$31+$B$32)*$B$14*$B$14*$B$14*144/(24*$B$34*C46)</f>
        <v>6.47215390152417E-3</v>
      </c>
      <c r="G46" s="12">
        <f>G45</f>
        <v>1.121387283236763E-3</v>
      </c>
      <c r="H46" s="12">
        <f t="shared" si="0"/>
        <v>8.0719343776753966E-2</v>
      </c>
    </row>
    <row r="47" spans="1:8" x14ac:dyDescent="0.3">
      <c r="A47">
        <v>4</v>
      </c>
      <c r="B47" t="s">
        <v>91</v>
      </c>
      <c r="C47">
        <v>13970.8</v>
      </c>
      <c r="D47" s="12">
        <f>($B$28/1000)*$B$15*$B$15*$B$15*144/(24*$B$34*$B$35)</f>
        <v>3.7105495187829867E-3</v>
      </c>
      <c r="E47" s="12">
        <f>($B$29)*$B$15*$B$15*$B$15*144/(24*$B$34*$B$35)</f>
        <v>1.3262356263213142E-2</v>
      </c>
      <c r="F47" s="12">
        <f>($B$31+$B$32)*$B$15*$B$15*$B$15*144/(24*$B$34*C47)</f>
        <v>1.4060816623009877E-3</v>
      </c>
      <c r="G47" s="12">
        <f>B63</f>
        <v>0.01</v>
      </c>
      <c r="H47" s="12">
        <f t="shared" si="0"/>
        <v>2.3378987444297117E-2</v>
      </c>
    </row>
    <row r="48" spans="1:8" x14ac:dyDescent="0.3">
      <c r="B48" t="s">
        <v>92</v>
      </c>
      <c r="C48">
        <v>18056.099999999999</v>
      </c>
      <c r="D48" s="12">
        <f>($B$28/1000)*$B$15*$B$15*$B$15*144/(24*$B$34*$B$35)</f>
        <v>3.7105495187829867E-3</v>
      </c>
      <c r="E48" s="12">
        <f>($B$29)*$B$15*$B$15*$B$15*144/(24*$B$34*$B$35)</f>
        <v>1.3262356263213142E-2</v>
      </c>
      <c r="F48" s="12">
        <f>($B$31+$B$32)*$B$15*$B$15*$B$15*144/(24*$B$34*C48)</f>
        <v>1.0879473245980383E-3</v>
      </c>
      <c r="G48" s="12">
        <f>B63</f>
        <v>0.01</v>
      </c>
      <c r="H48" s="12">
        <f t="shared" si="0"/>
        <v>2.3060853106594163E-2</v>
      </c>
    </row>
    <row r="49" spans="1:8" x14ac:dyDescent="0.3">
      <c r="H49" s="12"/>
    </row>
    <row r="50" spans="1:8" x14ac:dyDescent="0.3">
      <c r="A50" s="10" t="s">
        <v>104</v>
      </c>
      <c r="D50" s="17" t="s">
        <v>93</v>
      </c>
      <c r="E50" s="17"/>
      <c r="F50" s="17"/>
      <c r="G50" s="17"/>
      <c r="H50" s="17"/>
    </row>
    <row r="51" spans="1:8" ht="16.2" x14ac:dyDescent="0.3">
      <c r="A51" t="s">
        <v>87</v>
      </c>
      <c r="C51" t="s">
        <v>121</v>
      </c>
      <c r="D51" t="s">
        <v>95</v>
      </c>
      <c r="E51" t="s">
        <v>96</v>
      </c>
      <c r="F51" t="s">
        <v>97</v>
      </c>
      <c r="G51" t="s">
        <v>108</v>
      </c>
      <c r="H51" s="12" t="s">
        <v>107</v>
      </c>
    </row>
    <row r="52" spans="1:8" x14ac:dyDescent="0.3">
      <c r="A52">
        <v>1</v>
      </c>
      <c r="B52" t="s">
        <v>88</v>
      </c>
      <c r="C52">
        <v>18700.3</v>
      </c>
      <c r="D52" s="12">
        <f>($B$29/1000)*$B$12*$B$12*$B$12*144/(24*$B$34*$B$35)</f>
        <v>1.3262356263213139E-5</v>
      </c>
      <c r="E52" s="12">
        <f>($B$29)*$B$12*$B$12*$B$12*144/(24*$B$34*$B$35)</f>
        <v>1.3262356263213142E-2</v>
      </c>
      <c r="F52" s="12">
        <f>($B$31+$B$32)*$B$12*$B$12*$B$12*144/(24*$B$34*C52)</f>
        <v>1.0504690132069879E-3</v>
      </c>
      <c r="G52" s="12">
        <f>B62</f>
        <v>6.4000000000000003E-3</v>
      </c>
      <c r="H52" s="12">
        <f t="shared" ref="H52:H59" si="10">D52+E52+F52+$B$37+G52-$B$36</f>
        <v>1.5726087632683343E-2</v>
      </c>
    </row>
    <row r="53" spans="1:8" x14ac:dyDescent="0.3">
      <c r="B53" t="s">
        <v>89</v>
      </c>
      <c r="C53">
        <v>14348.7</v>
      </c>
      <c r="D53" s="12">
        <f>($B$29/1000)*$B$12*$B$12*$B$12*144/(24*$B$34*$B$35)</f>
        <v>1.3262356263213139E-5</v>
      </c>
      <c r="E53" s="12">
        <f t="shared" ref="E53" si="11">($B$29)*$B$12*$B$12*$B$12*144/(24*$B$34*$B$35)</f>
        <v>1.3262356263213142E-2</v>
      </c>
      <c r="F53" s="12">
        <f t="shared" ref="F53" si="12">($B$31+$B$32)*$B$12*$B$12*$B$12*144/(24*$B$34*C53)</f>
        <v>1.3690498573163167E-3</v>
      </c>
      <c r="G53" s="12">
        <f>B62</f>
        <v>6.4000000000000003E-3</v>
      </c>
      <c r="H53" s="12">
        <f t="shared" si="10"/>
        <v>1.6044668476792673E-2</v>
      </c>
    </row>
    <row r="54" spans="1:8" x14ac:dyDescent="0.3">
      <c r="A54">
        <v>2</v>
      </c>
      <c r="B54" t="s">
        <v>89</v>
      </c>
      <c r="C54">
        <v>14348.7</v>
      </c>
      <c r="D54" s="12">
        <f>($B$29/1000)*$B$13*$B$13*$B$13*144/(24*$B$34*$B$35)</f>
        <v>6.1046248687925977E-5</v>
      </c>
      <c r="E54" s="12">
        <f>($B$29)*$B$13*$B$13*$B$13*144/(24*$B$34*$B$35)</f>
        <v>6.1046248687925957E-2</v>
      </c>
      <c r="F54" s="12">
        <f>($B$31+$B$32)*$B$13*$B$13*$B$13*144/(24*$B$34*C54)</f>
        <v>6.3016975563928339E-3</v>
      </c>
      <c r="G54" s="12">
        <f>B62</f>
        <v>6.4000000000000003E-3</v>
      </c>
      <c r="H54" s="12">
        <f t="shared" si="10"/>
        <v>6.8808992493006732E-2</v>
      </c>
    </row>
    <row r="55" spans="1:8" x14ac:dyDescent="0.3">
      <c r="B55" t="s">
        <v>90</v>
      </c>
      <c r="C55">
        <v>14348.7</v>
      </c>
      <c r="D55" s="12">
        <f>($B$29/1000)*$B$13*$B$13*$B$13*144/(24*$B$34*$B$35)</f>
        <v>6.1046248687925977E-5</v>
      </c>
      <c r="E55" s="12">
        <f t="shared" ref="E55" si="13">($B$29)*$B$13*$B$13*$B$13*144/(24*$B$34*$B$35)</f>
        <v>6.1046248687925957E-2</v>
      </c>
      <c r="F55" s="12">
        <f t="shared" ref="F55" si="14">($B$31+$B$32)*$B$13*$B$13*$B$13*144/(24*$B$34*C55)</f>
        <v>6.3016975563928339E-3</v>
      </c>
      <c r="G55" s="12">
        <f>B62</f>
        <v>6.4000000000000003E-3</v>
      </c>
      <c r="H55" s="12">
        <f t="shared" si="10"/>
        <v>6.8808992493006732E-2</v>
      </c>
    </row>
    <row r="56" spans="1:8" x14ac:dyDescent="0.3">
      <c r="A56">
        <v>3</v>
      </c>
      <c r="B56" t="s">
        <v>90</v>
      </c>
      <c r="C56">
        <v>14348.7</v>
      </c>
      <c r="D56" s="12">
        <f>($B$29/1000)*$B$14*$B$14*$B$14*144/(24*$B$34*$B$35)</f>
        <v>6.1046248687925977E-5</v>
      </c>
      <c r="E56" s="12">
        <f>($B$29)*$B$14*$B$14*$B$14*144/(24*$B$34*$B$35)</f>
        <v>6.1046248687925957E-2</v>
      </c>
      <c r="F56" s="12">
        <f>($B$31+$B$32)*$B$14*$B$14*$B$14*144/(24*$B$34*C56)</f>
        <v>6.3016975563928339E-3</v>
      </c>
      <c r="G56" s="12">
        <f>(652.573-652.476)/86.5</f>
        <v>1.121387283236763E-3</v>
      </c>
      <c r="H56" s="12">
        <f t="shared" si="10"/>
        <v>6.3530379776243498E-2</v>
      </c>
    </row>
    <row r="57" spans="1:8" x14ac:dyDescent="0.3">
      <c r="B57" t="s">
        <v>91</v>
      </c>
      <c r="C57">
        <v>14348.7</v>
      </c>
      <c r="D57" s="12">
        <f>($B$29/1000)*$B$14*$B$14*$B$14*144/(24*$B$34*$B$35)</f>
        <v>6.1046248687925977E-5</v>
      </c>
      <c r="E57" s="12">
        <f t="shared" ref="E57" si="15">($B$29)*$B$14*$B$14*$B$14*144/(24*$B$34*$B$35)</f>
        <v>6.1046248687925957E-2</v>
      </c>
      <c r="F57" s="12">
        <f t="shared" ref="F57" si="16">($B$31+$B$32)*$B$14*$B$14*$B$14*144/(24*$B$34*C57)</f>
        <v>6.3016975563928339E-3</v>
      </c>
      <c r="G57" s="12">
        <f>G56</f>
        <v>1.121387283236763E-3</v>
      </c>
      <c r="H57" s="12">
        <f t="shared" si="10"/>
        <v>6.3530379776243498E-2</v>
      </c>
    </row>
    <row r="58" spans="1:8" x14ac:dyDescent="0.3">
      <c r="A58">
        <v>4</v>
      </c>
      <c r="B58" t="s">
        <v>91</v>
      </c>
      <c r="C58">
        <v>14348.7</v>
      </c>
      <c r="D58" s="12">
        <f>($B$29/1000)*$B$15*$B$15*$B$15*144/(24*$B$34*$B$35)</f>
        <v>1.3262356263213139E-5</v>
      </c>
      <c r="E58" s="12">
        <f>($B$29)*$B$15*$B$15*$B$15*144/(24*$B$34*$B$35)</f>
        <v>1.3262356263213142E-2</v>
      </c>
      <c r="F58" s="12">
        <f>($B$31+$B$32)*$B$15*$B$15*$B$15*144/(24*$B$34*C58)</f>
        <v>1.3690498573163167E-3</v>
      </c>
      <c r="G58" s="12">
        <f>B63</f>
        <v>0.01</v>
      </c>
      <c r="H58" s="12">
        <f t="shared" si="10"/>
        <v>1.9644668476792672E-2</v>
      </c>
    </row>
    <row r="59" spans="1:8" x14ac:dyDescent="0.3">
      <c r="B59" t="s">
        <v>92</v>
      </c>
      <c r="C59">
        <v>18700.3</v>
      </c>
      <c r="D59" s="12">
        <f>($B$29/1000)*$B$15*$B$15*$B$15*144/(24*$B$34*$B$35)</f>
        <v>1.3262356263213139E-5</v>
      </c>
      <c r="E59" s="12">
        <f>($B$29)*$B$15*$B$15*$B$15*144/(24*$B$34*$B$35)</f>
        <v>1.3262356263213142E-2</v>
      </c>
      <c r="F59" s="12">
        <f>($B$31+$B$32)*$B$15*$B$15*$B$15*144/(24*$B$34*C59)</f>
        <v>1.0504690132069879E-3</v>
      </c>
      <c r="G59" s="12">
        <f>B63</f>
        <v>0.01</v>
      </c>
      <c r="H59" s="12">
        <f t="shared" si="10"/>
        <v>1.9326087632683342E-2</v>
      </c>
    </row>
    <row r="60" spans="1:8" x14ac:dyDescent="0.3">
      <c r="G60" s="10" t="s">
        <v>113</v>
      </c>
      <c r="H60" s="14">
        <f>MIN(H52:H59,H41:H48)</f>
        <v>1.5726087632683343E-2</v>
      </c>
    </row>
    <row r="61" spans="1:8" x14ac:dyDescent="0.3">
      <c r="G61" s="10" t="s">
        <v>114</v>
      </c>
      <c r="H61" s="14">
        <f>MAX(H52:H59,H41:H48)</f>
        <v>8.59979564935172E-2</v>
      </c>
    </row>
    <row r="62" spans="1:8" x14ac:dyDescent="0.3">
      <c r="A62" t="s">
        <v>105</v>
      </c>
      <c r="B62">
        <f>0.64/100</f>
        <v>6.4000000000000003E-3</v>
      </c>
      <c r="C62" t="s">
        <v>99</v>
      </c>
    </row>
    <row r="63" spans="1:8" x14ac:dyDescent="0.3">
      <c r="A63" t="s">
        <v>106</v>
      </c>
      <c r="B63">
        <f>1/100</f>
        <v>0.01</v>
      </c>
      <c r="C63" t="s">
        <v>99</v>
      </c>
    </row>
    <row r="64" spans="1:8" x14ac:dyDescent="0.3">
      <c r="A64" t="s">
        <v>109</v>
      </c>
      <c r="B64">
        <v>0.01</v>
      </c>
      <c r="C64" t="s">
        <v>99</v>
      </c>
      <c r="E64" t="s">
        <v>111</v>
      </c>
    </row>
    <row r="66" spans="1:4" x14ac:dyDescent="0.3">
      <c r="A66" t="s">
        <v>110</v>
      </c>
    </row>
    <row r="67" spans="1:4" x14ac:dyDescent="0.3">
      <c r="A67" t="s">
        <v>112</v>
      </c>
    </row>
    <row r="69" spans="1:4" x14ac:dyDescent="0.3">
      <c r="A69" t="s">
        <v>115</v>
      </c>
      <c r="B69" s="12">
        <f>H61</f>
        <v>8.59979564935172E-2</v>
      </c>
      <c r="C69" t="s">
        <v>99</v>
      </c>
    </row>
    <row r="70" spans="1:4" x14ac:dyDescent="0.3">
      <c r="A70" t="s">
        <v>118</v>
      </c>
      <c r="B70">
        <v>13</v>
      </c>
      <c r="C70" t="s">
        <v>33</v>
      </c>
    </row>
    <row r="71" spans="1:4" x14ac:dyDescent="0.3">
      <c r="A71" s="11" t="s">
        <v>116</v>
      </c>
      <c r="B71">
        <f>ROUNDUP(0.5*B69*B70*4,1)/4</f>
        <v>0.57500000000000007</v>
      </c>
      <c r="C71" t="s">
        <v>33</v>
      </c>
      <c r="D71" t="s">
        <v>117</v>
      </c>
    </row>
  </sheetData>
  <mergeCells count="2">
    <mergeCell ref="D39:H39"/>
    <mergeCell ref="D50:H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bearing schedule</vt:lpstr>
      <vt:lpstr>Bevel 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Solanki, Abhiyani</dc:creator>
  <cp:lastModifiedBy>Solanki, Abhiyani</cp:lastModifiedBy>
  <dcterms:created xsi:type="dcterms:W3CDTF">2023-01-25T18:43:51Z</dcterms:created>
  <dcterms:modified xsi:type="dcterms:W3CDTF">2023-03-08T22:09:29Z</dcterms:modified>
</cp:coreProperties>
</file>