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rcadiso365-my.sharepoint.com/personal/conner_mcgraw_arcadis-us_com/Documents/Desktop/"/>
    </mc:Choice>
  </mc:AlternateContent>
  <xr:revisionPtr revIDLastSave="2170" documentId="8_{86C3E97C-AB28-443B-85C6-D11D6D8A7519}" xr6:coauthVersionLast="47" xr6:coauthVersionMax="47" xr10:uidLastSave="{381D6439-5213-440B-8B78-C331928AE28C}"/>
  <bookViews>
    <workbookView xWindow="-108" yWindow="-108" windowWidth="23256" windowHeight="14016" firstSheet="2" activeTab="3" xr2:uid="{EF6B3806-A99D-49A5-AB7B-488700DD4D1F}"/>
  </bookViews>
  <sheets>
    <sheet name="Existing Sup" sheetId="4" r:id="rId1"/>
    <sheet name="Existing Sub" sheetId="1" r:id="rId2"/>
    <sheet name="Proposed Sup" sheetId="5" r:id="rId3"/>
    <sheet name="Add'l Sub Exist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7" i="5" l="1"/>
  <c r="B93" i="5"/>
  <c r="B92" i="5"/>
  <c r="B91" i="5"/>
  <c r="B82" i="5"/>
  <c r="B57" i="5"/>
  <c r="B93" i="4"/>
  <c r="B92" i="4"/>
  <c r="B81" i="4"/>
  <c r="F48" i="1"/>
  <c r="F66" i="1" s="1"/>
  <c r="K21" i="1"/>
  <c r="K20" i="1"/>
  <c r="K18" i="1"/>
  <c r="K17" i="1"/>
  <c r="J22" i="1" s="1"/>
  <c r="O127" i="4"/>
  <c r="N127" i="4"/>
  <c r="M127" i="4"/>
  <c r="L127" i="4"/>
  <c r="O126" i="4"/>
  <c r="N126" i="4"/>
  <c r="M126" i="4"/>
  <c r="L126" i="4"/>
  <c r="N105" i="5"/>
  <c r="B123" i="5"/>
  <c r="B126" i="5" s="1"/>
  <c r="B64" i="5"/>
  <c r="B51" i="5"/>
  <c r="B36" i="5"/>
  <c r="B26" i="5"/>
  <c r="C60" i="4"/>
  <c r="C57" i="4"/>
  <c r="C59" i="4"/>
  <c r="F75" i="2"/>
  <c r="C50" i="4"/>
  <c r="C51" i="4"/>
  <c r="C52" i="4"/>
  <c r="C53" i="4"/>
  <c r="C54" i="4"/>
  <c r="C58" i="4"/>
  <c r="F72" i="1"/>
  <c r="O16" i="2"/>
  <c r="O15" i="2"/>
  <c r="N16" i="2"/>
  <c r="M16" i="2"/>
  <c r="N15" i="2"/>
  <c r="M15" i="2"/>
  <c r="L15" i="2"/>
  <c r="B61" i="4" l="1"/>
  <c r="G15" i="2"/>
  <c r="G16" i="2"/>
  <c r="C104" i="5" l="1"/>
  <c r="D104" i="5"/>
  <c r="D122" i="5" s="1"/>
  <c r="E104" i="5"/>
  <c r="E122" i="5" s="1"/>
  <c r="F104" i="5"/>
  <c r="F122" i="5" s="1"/>
  <c r="G104" i="5"/>
  <c r="G122" i="5" s="1"/>
  <c r="H104" i="5"/>
  <c r="H122" i="5" s="1"/>
  <c r="I104" i="5"/>
  <c r="I122" i="5" s="1"/>
  <c r="J104" i="5"/>
  <c r="J122" i="5" s="1"/>
  <c r="K104" i="5"/>
  <c r="K122" i="5" s="1"/>
  <c r="B104" i="5"/>
  <c r="B122" i="5" s="1"/>
  <c r="C103" i="5"/>
  <c r="C121" i="5" s="1"/>
  <c r="D103" i="5"/>
  <c r="D121" i="5" s="1"/>
  <c r="E103" i="5"/>
  <c r="E121" i="5" s="1"/>
  <c r="F103" i="5"/>
  <c r="F121" i="5" s="1"/>
  <c r="G103" i="5"/>
  <c r="G121" i="5" s="1"/>
  <c r="H103" i="5"/>
  <c r="H121" i="5" s="1"/>
  <c r="I103" i="5"/>
  <c r="I121" i="5" s="1"/>
  <c r="J103" i="5"/>
  <c r="J121" i="5" s="1"/>
  <c r="K103" i="5"/>
  <c r="K121" i="5" s="1"/>
  <c r="B103" i="5"/>
  <c r="B121" i="5" s="1"/>
  <c r="B81" i="5"/>
  <c r="C41" i="5"/>
  <c r="B26" i="4"/>
  <c r="B111" i="4" s="1"/>
  <c r="B113" i="4" s="1"/>
  <c r="B114" i="4" s="1"/>
  <c r="B29" i="5"/>
  <c r="B27" i="5"/>
  <c r="K81" i="1"/>
  <c r="D81" i="1"/>
  <c r="E81" i="1"/>
  <c r="F81" i="1"/>
  <c r="G81" i="1"/>
  <c r="H81" i="1"/>
  <c r="I81" i="1"/>
  <c r="J81" i="1"/>
  <c r="K80" i="1"/>
  <c r="J80" i="1"/>
  <c r="I80" i="1"/>
  <c r="H80" i="1"/>
  <c r="G80" i="1"/>
  <c r="F80" i="1"/>
  <c r="E80" i="1"/>
  <c r="D80" i="1"/>
  <c r="C80" i="1"/>
  <c r="C81" i="1"/>
  <c r="B81" i="1"/>
  <c r="B80" i="1"/>
  <c r="F54" i="1"/>
  <c r="F36" i="1"/>
  <c r="B82" i="4"/>
  <c r="B80" i="4"/>
  <c r="B91" i="4"/>
  <c r="C43" i="4"/>
  <c r="B27" i="4"/>
  <c r="L121" i="5"/>
  <c r="M121" i="5"/>
  <c r="N121" i="5"/>
  <c r="O121" i="5"/>
  <c r="L122" i="5"/>
  <c r="M122" i="5"/>
  <c r="N122" i="5"/>
  <c r="O122" i="5"/>
  <c r="O123" i="5"/>
  <c r="O126" i="5" s="1"/>
  <c r="O124" i="5"/>
  <c r="O127" i="5" s="1"/>
  <c r="C122" i="5"/>
  <c r="B122" i="4"/>
  <c r="C122" i="4"/>
  <c r="D122" i="4"/>
  <c r="F122" i="4"/>
  <c r="H122" i="4"/>
  <c r="K122" i="4"/>
  <c r="C121" i="4"/>
  <c r="D121" i="4"/>
  <c r="E121" i="4"/>
  <c r="F121" i="4"/>
  <c r="G121" i="4"/>
  <c r="H121" i="4"/>
  <c r="K121" i="4"/>
  <c r="B121" i="4"/>
  <c r="E118" i="4"/>
  <c r="F118" i="4"/>
  <c r="G118" i="4"/>
  <c r="H118" i="4"/>
  <c r="I118" i="4"/>
  <c r="C118" i="4"/>
  <c r="B118" i="4"/>
  <c r="J116" i="4"/>
  <c r="K118" i="4" s="1"/>
  <c r="I116" i="4"/>
  <c r="H116" i="4"/>
  <c r="G116" i="4"/>
  <c r="F116" i="4"/>
  <c r="E116" i="4"/>
  <c r="D116" i="4"/>
  <c r="C116" i="4"/>
  <c r="D118" i="4" s="1"/>
  <c r="B116" i="4"/>
  <c r="B25" i="5"/>
  <c r="F35" i="2"/>
  <c r="B7" i="2"/>
  <c r="N17" i="2" s="1"/>
  <c r="J17" i="2"/>
  <c r="I17" i="2"/>
  <c r="H17" i="2"/>
  <c r="G17" i="2"/>
  <c r="F17" i="2"/>
  <c r="E17" i="2"/>
  <c r="D17" i="2"/>
  <c r="C17" i="2"/>
  <c r="B17" i="2"/>
  <c r="N104" i="5"/>
  <c r="N103" i="5"/>
  <c r="M104" i="5"/>
  <c r="M103" i="5"/>
  <c r="B63" i="5"/>
  <c r="B56" i="5"/>
  <c r="B50" i="5"/>
  <c r="B90" i="5"/>
  <c r="B89" i="5"/>
  <c r="B80" i="5"/>
  <c r="C40" i="5"/>
  <c r="C38" i="5"/>
  <c r="C37" i="5"/>
  <c r="B67" i="4"/>
  <c r="B68" i="4" s="1"/>
  <c r="B25" i="4"/>
  <c r="B29" i="4" s="1"/>
  <c r="D103" i="4"/>
  <c r="E103" i="4" s="1"/>
  <c r="G103" i="4"/>
  <c r="I103" i="4"/>
  <c r="J103" i="4" s="1"/>
  <c r="J121" i="4" s="1"/>
  <c r="D104" i="4"/>
  <c r="E104" i="4" s="1"/>
  <c r="E122" i="4" s="1"/>
  <c r="G104" i="4"/>
  <c r="G122" i="4" s="1"/>
  <c r="I104" i="4"/>
  <c r="I122" i="4" s="1"/>
  <c r="J104" i="4"/>
  <c r="J122" i="4" s="1"/>
  <c r="B90" i="4"/>
  <c r="B89" i="4"/>
  <c r="F24" i="1"/>
  <c r="F11" i="1"/>
  <c r="F6" i="1"/>
  <c r="J6" i="1"/>
  <c r="I6" i="1"/>
  <c r="H6" i="1"/>
  <c r="G6" i="1"/>
  <c r="E6" i="1"/>
  <c r="D6" i="1"/>
  <c r="C6" i="1"/>
  <c r="B6" i="1"/>
  <c r="F20" i="2" l="1"/>
  <c r="B70" i="4"/>
  <c r="B72" i="4" s="1"/>
  <c r="B73" i="4" s="1"/>
  <c r="B74" i="4" s="1"/>
  <c r="B111" i="5"/>
  <c r="B113" i="5" s="1"/>
  <c r="B114" i="5" s="1"/>
  <c r="J118" i="4"/>
  <c r="I121" i="4"/>
  <c r="B30" i="5"/>
  <c r="B32" i="5" s="1"/>
  <c r="B33" i="5" s="1"/>
  <c r="B59" i="5" s="1"/>
  <c r="B60" i="5" s="1"/>
  <c r="B61" i="5" s="1"/>
  <c r="B53" i="5"/>
  <c r="B54" i="5" s="1"/>
  <c r="B84" i="4"/>
  <c r="B86" i="4" s="1"/>
  <c r="B87" i="4" s="1"/>
  <c r="B30" i="4"/>
  <c r="B32" i="4" s="1"/>
  <c r="B33" i="4" s="1"/>
  <c r="B34" i="4" s="1"/>
  <c r="B66" i="5"/>
  <c r="B67" i="5" s="1"/>
  <c r="B68" i="5" s="1"/>
  <c r="B42" i="5"/>
  <c r="B84" i="5"/>
  <c r="B86" i="5" s="1"/>
  <c r="B87" i="5" s="1"/>
  <c r="B95" i="5"/>
  <c r="B97" i="5" s="1"/>
  <c r="B98" i="5" s="1"/>
  <c r="B95" i="4"/>
  <c r="B97" i="4" s="1"/>
  <c r="B98" i="4" s="1"/>
  <c r="B63" i="4"/>
  <c r="B64" i="4" s="1"/>
  <c r="B65" i="4" s="1"/>
  <c r="F48" i="2" l="1"/>
  <c r="F66" i="2"/>
  <c r="F84" i="2" s="1"/>
  <c r="J105" i="4"/>
  <c r="C105" i="4"/>
  <c r="C123" i="4" s="1"/>
  <c r="C126" i="4" s="1"/>
  <c r="C106" i="4"/>
  <c r="C124" i="4" s="1"/>
  <c r="C127" i="4" s="1"/>
  <c r="J106" i="4"/>
  <c r="J124" i="4" s="1"/>
  <c r="J127" i="4" s="1"/>
  <c r="J123" i="4"/>
  <c r="J126" i="4" s="1"/>
  <c r="D106" i="4"/>
  <c r="D124" i="4" s="1"/>
  <c r="D127" i="4" s="1"/>
  <c r="D105" i="4"/>
  <c r="D123" i="4" s="1"/>
  <c r="D126" i="4" s="1"/>
  <c r="E105" i="4"/>
  <c r="E123" i="4" s="1"/>
  <c r="E126" i="4" s="1"/>
  <c r="H105" i="4"/>
  <c r="H123" i="4" s="1"/>
  <c r="H126" i="4" s="1"/>
  <c r="K106" i="4"/>
  <c r="K124" i="4" s="1"/>
  <c r="K127" i="4" s="1"/>
  <c r="I106" i="4"/>
  <c r="I124" i="4" s="1"/>
  <c r="I127" i="4" s="1"/>
  <c r="F105" i="4"/>
  <c r="F123" i="4" s="1"/>
  <c r="F126" i="4" s="1"/>
  <c r="G105" i="4"/>
  <c r="G123" i="4" s="1"/>
  <c r="G126" i="4" s="1"/>
  <c r="I105" i="4"/>
  <c r="I123" i="4" s="1"/>
  <c r="I126" i="4" s="1"/>
  <c r="B106" i="4"/>
  <c r="B124" i="4" s="1"/>
  <c r="B127" i="4" s="1"/>
  <c r="E106" i="4"/>
  <c r="E124" i="4" s="1"/>
  <c r="E127" i="4" s="1"/>
  <c r="K105" i="4"/>
  <c r="K123" i="4" s="1"/>
  <c r="K126" i="4" s="1"/>
  <c r="B105" i="4"/>
  <c r="B123" i="4" s="1"/>
  <c r="B126" i="4" s="1"/>
  <c r="F106" i="4"/>
  <c r="F124" i="4" s="1"/>
  <c r="F127" i="4" s="1"/>
  <c r="G106" i="4"/>
  <c r="G124" i="4" s="1"/>
  <c r="G127" i="4" s="1"/>
  <c r="H106" i="4"/>
  <c r="H124" i="4" s="1"/>
  <c r="H127" i="4" s="1"/>
  <c r="B35" i="5"/>
  <c r="B34" i="5"/>
  <c r="B129" i="4" l="1"/>
  <c r="B124" i="5"/>
  <c r="B127" i="5" s="1"/>
  <c r="N123" i="5"/>
  <c r="N126" i="5" s="1"/>
  <c r="C123" i="5"/>
  <c r="C126" i="5" s="1"/>
  <c r="D106" i="5" l="1"/>
  <c r="C124" i="5"/>
  <c r="C127" i="5" s="1"/>
  <c r="D105" i="5"/>
  <c r="C42" i="4"/>
  <c r="C40" i="4"/>
  <c r="C39" i="4"/>
  <c r="F8" i="1"/>
  <c r="C106" i="2"/>
  <c r="C105" i="2"/>
  <c r="C103" i="2"/>
  <c r="C102" i="2"/>
  <c r="B107" i="2" s="1"/>
  <c r="F74" i="2" s="1"/>
  <c r="F22" i="2"/>
  <c r="E105" i="5" l="1"/>
  <c r="D123" i="5"/>
  <c r="D126" i="5" s="1"/>
  <c r="E106" i="5"/>
  <c r="D124" i="5"/>
  <c r="D127" i="5" s="1"/>
  <c r="B44" i="4"/>
  <c r="F46" i="2"/>
  <c r="F34" i="2"/>
  <c r="F21" i="2"/>
  <c r="F70" i="1"/>
  <c r="F67" i="1"/>
  <c r="F49" i="1"/>
  <c r="F52" i="1"/>
  <c r="E124" i="5" l="1"/>
  <c r="E127" i="5" s="1"/>
  <c r="E123" i="5"/>
  <c r="E126" i="5" s="1"/>
  <c r="F23" i="2"/>
  <c r="F36" i="2"/>
  <c r="F68" i="2"/>
  <c r="F50" i="2"/>
  <c r="F51" i="2" s="1"/>
  <c r="F52" i="2" s="1"/>
  <c r="F33" i="2"/>
  <c r="F69" i="2" l="1"/>
  <c r="F70" i="2" s="1"/>
  <c r="F123" i="5"/>
  <c r="F126" i="5" s="1"/>
  <c r="F124" i="5"/>
  <c r="F127" i="5" s="1"/>
  <c r="J94" i="2"/>
  <c r="H94" i="2"/>
  <c r="K94" i="2"/>
  <c r="L94" i="2"/>
  <c r="O94" i="2"/>
  <c r="G94" i="2"/>
  <c r="M94" i="2"/>
  <c r="I94" i="2"/>
  <c r="N94" i="2"/>
  <c r="B94" i="2"/>
  <c r="D94" i="2"/>
  <c r="F94" i="2"/>
  <c r="C94" i="2"/>
  <c r="E94" i="2"/>
  <c r="F86" i="2"/>
  <c r="F25" i="2"/>
  <c r="F27" i="2" s="1"/>
  <c r="F28" i="2" s="1"/>
  <c r="F34" i="1"/>
  <c r="F38" i="1" s="1"/>
  <c r="F39" i="1" s="1"/>
  <c r="F40" i="1" s="1"/>
  <c r="F23" i="1"/>
  <c r="F22" i="1"/>
  <c r="F21" i="1"/>
  <c r="F9" i="1"/>
  <c r="F10" i="1"/>
  <c r="G124" i="5" l="1"/>
  <c r="G127" i="5" s="1"/>
  <c r="G123" i="5"/>
  <c r="G126" i="5" s="1"/>
  <c r="D82" i="1"/>
  <c r="E82" i="1"/>
  <c r="F82" i="1"/>
  <c r="G82" i="1"/>
  <c r="H82" i="1"/>
  <c r="I82" i="1"/>
  <c r="J82" i="1"/>
  <c r="C82" i="1"/>
  <c r="K82" i="1"/>
  <c r="B82" i="1"/>
  <c r="H92" i="2"/>
  <c r="H93" i="2" s="1"/>
  <c r="J92" i="2"/>
  <c r="J93" i="2" s="1"/>
  <c r="I92" i="2"/>
  <c r="I93" i="2" s="1"/>
  <c r="E92" i="2"/>
  <c r="E93" i="2" s="1"/>
  <c r="C92" i="2"/>
  <c r="C93" i="2" s="1"/>
  <c r="F92" i="2"/>
  <c r="F93" i="2" s="1"/>
  <c r="B92" i="2"/>
  <c r="L92" i="2"/>
  <c r="L93" i="2" s="1"/>
  <c r="K92" i="2"/>
  <c r="K93" i="2" s="1"/>
  <c r="M92" i="2"/>
  <c r="M93" i="2" s="1"/>
  <c r="D92" i="2"/>
  <c r="D93" i="2" s="1"/>
  <c r="N92" i="2"/>
  <c r="N93" i="2" s="1"/>
  <c r="O92" i="2"/>
  <c r="O93" i="2" s="1"/>
  <c r="G92" i="2"/>
  <c r="G93" i="2" s="1"/>
  <c r="F38" i="2"/>
  <c r="F40" i="2" s="1"/>
  <c r="F41" i="2" s="1"/>
  <c r="F87" i="2"/>
  <c r="F88" i="2" s="1"/>
  <c r="F74" i="1"/>
  <c r="F75" i="1" s="1"/>
  <c r="F76" i="1" s="1"/>
  <c r="B83" i="1" s="1"/>
  <c r="B85" i="1" s="1"/>
  <c r="F56" i="1"/>
  <c r="F57" i="1" s="1"/>
  <c r="F58" i="1" s="1"/>
  <c r="F26" i="1"/>
  <c r="F28" i="1" s="1"/>
  <c r="F29" i="1" s="1"/>
  <c r="H124" i="5" l="1"/>
  <c r="H127" i="5" s="1"/>
  <c r="H123" i="5"/>
  <c r="H126" i="5" s="1"/>
  <c r="I83" i="1"/>
  <c r="I85" i="1" s="1"/>
  <c r="J83" i="1"/>
  <c r="J85" i="1" s="1"/>
  <c r="E83" i="1"/>
  <c r="E85" i="1" s="1"/>
  <c r="C83" i="1"/>
  <c r="C85" i="1" s="1"/>
  <c r="B86" i="1" s="1"/>
  <c r="B87" i="1" s="1"/>
  <c r="C115" i="2" s="1"/>
  <c r="K83" i="1"/>
  <c r="K85" i="1" s="1"/>
  <c r="F83" i="1"/>
  <c r="F85" i="1" s="1"/>
  <c r="G83" i="1"/>
  <c r="G85" i="1" s="1"/>
  <c r="D83" i="1"/>
  <c r="D85" i="1" s="1"/>
  <c r="H83" i="1"/>
  <c r="H85" i="1" s="1"/>
  <c r="L95" i="2"/>
  <c r="L97" i="2" s="1"/>
  <c r="M95" i="2"/>
  <c r="M97" i="2" s="1"/>
  <c r="N95" i="2"/>
  <c r="N97" i="2" s="1"/>
  <c r="C95" i="2"/>
  <c r="C97" i="2" s="1"/>
  <c r="E95" i="2"/>
  <c r="E97" i="2" s="1"/>
  <c r="G95" i="2"/>
  <c r="G97" i="2" s="1"/>
  <c r="B95" i="2"/>
  <c r="F95" i="2"/>
  <c r="F97" i="2" s="1"/>
  <c r="I95" i="2"/>
  <c r="I97" i="2" s="1"/>
  <c r="O95" i="2"/>
  <c r="O97" i="2" s="1"/>
  <c r="D95" i="2"/>
  <c r="D97" i="2" s="1"/>
  <c r="H95" i="2"/>
  <c r="H97" i="2" s="1"/>
  <c r="J95" i="2"/>
  <c r="J97" i="2" s="1"/>
  <c r="K95" i="2"/>
  <c r="K97" i="2" s="1"/>
  <c r="B93" i="2"/>
  <c r="F13" i="1"/>
  <c r="F15" i="1" s="1"/>
  <c r="B97" i="2" l="1"/>
  <c r="B98" i="2" s="1"/>
  <c r="B99" i="2" s="1"/>
  <c r="E115" i="2" s="1"/>
  <c r="C118" i="2" s="1"/>
  <c r="J105" i="5"/>
  <c r="I123" i="5"/>
  <c r="I126" i="5" s="1"/>
  <c r="J106" i="5"/>
  <c r="I124" i="5"/>
  <c r="I127" i="5" s="1"/>
  <c r="F16" i="1"/>
  <c r="J124" i="5" l="1"/>
  <c r="J127" i="5" s="1"/>
  <c r="J123" i="5"/>
  <c r="J126" i="5" s="1"/>
  <c r="K123" i="5" l="1"/>
  <c r="K124" i="5"/>
  <c r="K127" i="5" l="1"/>
  <c r="K126" i="5"/>
  <c r="M105" i="5"/>
  <c r="M123" i="5" s="1"/>
  <c r="M126" i="5" s="1"/>
  <c r="L123" i="5"/>
  <c r="L126" i="5" s="1"/>
  <c r="M106" i="5"/>
  <c r="L124" i="5"/>
  <c r="L127" i="5" s="1"/>
  <c r="B129" i="5" l="1"/>
  <c r="M124" i="5"/>
  <c r="M127" i="5" s="1"/>
  <c r="N106" i="5"/>
  <c r="N124" i="5" s="1"/>
  <c r="N127" i="5" s="1"/>
</calcChain>
</file>

<file path=xl/sharedStrings.xml><?xml version="1.0" encoding="utf-8"?>
<sst xmlns="http://schemas.openxmlformats.org/spreadsheetml/2006/main" count="684" uniqueCount="216">
  <si>
    <t>Project:</t>
  </si>
  <si>
    <t>Project No.:</t>
  </si>
  <si>
    <t>Subject:</t>
  </si>
  <si>
    <t>Prepared By:</t>
  </si>
  <si>
    <t>Conner McGraw</t>
  </si>
  <si>
    <t>Date:</t>
  </si>
  <si>
    <t>Checked By:</t>
  </si>
  <si>
    <t>ODOT LUC-23-11.75</t>
  </si>
  <si>
    <t>Elevations:</t>
  </si>
  <si>
    <t>Elevation</t>
  </si>
  <si>
    <t>East Abutment</t>
  </si>
  <si>
    <t>West Abutment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</si>
  <si>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</si>
  <si>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</si>
  <si>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</si>
  <si>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</si>
  <si>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</si>
  <si>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</si>
  <si>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</si>
  <si>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</si>
  <si>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</si>
  <si>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</si>
  <si>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ft</t>
  </si>
  <si>
    <t>East Abutment:</t>
  </si>
  <si>
    <t>see elevations A through J</t>
  </si>
  <si>
    <t>Length Abutment (Lb1)</t>
  </si>
  <si>
    <t>Width Abutment (Wendcap1)</t>
  </si>
  <si>
    <t>Bottom of Cap (BoCb1)</t>
  </si>
  <si>
    <t>Top of Cap (ToCb1)</t>
  </si>
  <si>
    <t>Lb1 =</t>
  </si>
  <si>
    <t>Wendcap1 =</t>
  </si>
  <si>
    <t>BoCb1 =</t>
  </si>
  <si>
    <t>see elevation K + 3'-3"</t>
  </si>
  <si>
    <t>reference formula for ToCb1</t>
  </si>
  <si>
    <t>ToCb1 =</t>
  </si>
  <si>
    <t>Volume of Concrete(Bent1Stem)</t>
  </si>
  <si>
    <t>Bent1Stem =</t>
  </si>
  <si>
    <t>cf</t>
  </si>
  <si>
    <t>lbs</t>
  </si>
  <si>
    <t>Unit Wt Concrete (Uwt)</t>
  </si>
  <si>
    <t>Uwt =</t>
  </si>
  <si>
    <t>lbs/cf</t>
  </si>
  <si>
    <t>given</t>
  </si>
  <si>
    <t>kips</t>
  </si>
  <si>
    <t>West Abutment:</t>
  </si>
  <si>
    <t>EXISTING DESIGN</t>
  </si>
  <si>
    <t>PROPOSED DESIGN</t>
  </si>
  <si>
    <t>Stem Weight (Wt2)</t>
  </si>
  <si>
    <t>Stem Weight (Wt1)</t>
  </si>
  <si>
    <t>Length Abutment (Lb2)</t>
  </si>
  <si>
    <t>Width Abutment (Wendcap2)</t>
  </si>
  <si>
    <t>Bottom of Cap (BoCb2)</t>
  </si>
  <si>
    <t>Top of Cap (ToCb2)</t>
  </si>
  <si>
    <t>Lb2 =</t>
  </si>
  <si>
    <t>Wendcap2 =</t>
  </si>
  <si>
    <t>BoCb2 =</t>
  </si>
  <si>
    <t>ToCb2 =</t>
  </si>
  <si>
    <t>Volume of Concrete(Bent2Stem)</t>
  </si>
  <si>
    <t>Bent2Stem =</t>
  </si>
  <si>
    <t>Wt1 =</t>
  </si>
  <si>
    <t>Wt2 =</t>
  </si>
  <si>
    <t>reference:</t>
  </si>
  <si>
    <t>LUC-51-1285L 1960 Original Plans</t>
  </si>
  <si>
    <t>Number of Footings (NumF)</t>
  </si>
  <si>
    <t>NumF =</t>
  </si>
  <si>
    <t>Footing Depth (D)</t>
  </si>
  <si>
    <t>Footing Width (W)</t>
  </si>
  <si>
    <t>Footing Length( L)</t>
  </si>
  <si>
    <t>D =</t>
  </si>
  <si>
    <t>L =</t>
  </si>
  <si>
    <t>W =</t>
  </si>
  <si>
    <t>Volume of Concrete (Vfoot)</t>
  </si>
  <si>
    <t>Vfoot =</t>
  </si>
  <si>
    <t>Footing Weight (WtF)</t>
  </si>
  <si>
    <t>WtF =</t>
  </si>
  <si>
    <t>Footing:</t>
  </si>
  <si>
    <t>H =</t>
  </si>
  <si>
    <t>Subracted Area</t>
  </si>
  <si>
    <t>Width of CutOut (Wc)</t>
  </si>
  <si>
    <t>Wc =</t>
  </si>
  <si>
    <t>We =</t>
  </si>
  <si>
    <t>Le =</t>
  </si>
  <si>
    <t>Volume Concrete (Vend)</t>
  </si>
  <si>
    <t>Vend =</t>
  </si>
  <si>
    <t>LUC-51-1285_SFN 4805224_Stage 1 Bridge Plans</t>
  </si>
  <si>
    <t>L</t>
  </si>
  <si>
    <t>M</t>
  </si>
  <si>
    <t>N</t>
  </si>
  <si>
    <t>P</t>
  </si>
  <si>
    <t>orig. midpoint</t>
  </si>
  <si>
    <t>new midpoint in between F and G</t>
  </si>
  <si>
    <t>%</t>
  </si>
  <si>
    <t>K changes from 7'-3" span to 6'-0" span</t>
  </si>
  <si>
    <t>LIVE LOADS</t>
  </si>
  <si>
    <t>Beam ID</t>
  </si>
  <si>
    <t>Beam Type</t>
  </si>
  <si>
    <t>Ext</t>
  </si>
  <si>
    <t>Int</t>
  </si>
  <si>
    <t>Ref: 20230210-LUC-23 Existing</t>
  </si>
  <si>
    <t>Maximum Live Load Support1 (kips)</t>
  </si>
  <si>
    <t>Maximum Live Load Support5 (kips)</t>
  </si>
  <si>
    <t>Maximum Dead Load Support1 (kips)</t>
  </si>
  <si>
    <t>Maximum Dead Load Support5 (kips)</t>
  </si>
  <si>
    <t>Table 1.2.7.1</t>
  </si>
  <si>
    <t>Table 1.2.7.2</t>
  </si>
  <si>
    <t>Deck Thickness =</t>
  </si>
  <si>
    <t>Haunch Depth =</t>
  </si>
  <si>
    <t>Beam Height =</t>
  </si>
  <si>
    <t>HP Column Height =</t>
  </si>
  <si>
    <t>Bearing Pad Thickness =</t>
  </si>
  <si>
    <t>Existing Beam Seat Elevations</t>
  </si>
  <si>
    <t>Proposed Beam Seat Elevations</t>
  </si>
  <si>
    <t>Sum =</t>
  </si>
  <si>
    <t>slope =</t>
  </si>
  <si>
    <t>Beam Seat Lengths</t>
  </si>
  <si>
    <t>--</t>
  </si>
  <si>
    <t>Deck:</t>
  </si>
  <si>
    <t>Abutment Width =</t>
  </si>
  <si>
    <t>Deck Depth =</t>
  </si>
  <si>
    <t>Parapet:</t>
  </si>
  <si>
    <t>Parapet base:</t>
  </si>
  <si>
    <t>Width =</t>
  </si>
  <si>
    <t>Height 1=</t>
  </si>
  <si>
    <t>Height 2=</t>
  </si>
  <si>
    <t>Average Height =</t>
  </si>
  <si>
    <t>Parapet Edge:</t>
  </si>
  <si>
    <t>Area 1 =</t>
  </si>
  <si>
    <t>Area 2 =</t>
  </si>
  <si>
    <t>sf</t>
  </si>
  <si>
    <t>Sum Area =</t>
  </si>
  <si>
    <t>Area =</t>
  </si>
  <si>
    <t>Volume =</t>
  </si>
  <si>
    <t>Unit Weight Concrete</t>
  </si>
  <si>
    <t>Wt Parapet =</t>
  </si>
  <si>
    <t>Haunch:</t>
  </si>
  <si>
    <t>Haunch Width =</t>
  </si>
  <si>
    <t>Haunch Area =</t>
  </si>
  <si>
    <t>Haunch Volume =</t>
  </si>
  <si>
    <t>Interior Haunches</t>
  </si>
  <si>
    <t>Exterior Haunches</t>
  </si>
  <si>
    <t>Beam Flange Width =</t>
  </si>
  <si>
    <t>Beams:</t>
  </si>
  <si>
    <t>Deck Length =</t>
  </si>
  <si>
    <t>Deck Area =</t>
  </si>
  <si>
    <t>Deck Volume =</t>
  </si>
  <si>
    <t>(per half bridge span)</t>
  </si>
  <si>
    <t>Deck Weight =</t>
  </si>
  <si>
    <t>Total Deck Wt =</t>
  </si>
  <si>
    <t>Interior</t>
  </si>
  <si>
    <t>Rectangle Area =</t>
  </si>
  <si>
    <t>Subtract Triangle =</t>
  </si>
  <si>
    <t>Wt Haunch =</t>
  </si>
  <si>
    <t>Exteriors</t>
  </si>
  <si>
    <t>Left Parapet:</t>
  </si>
  <si>
    <t>Right Parapet:</t>
  </si>
  <si>
    <t>Ref: LUC-23 Proposed Int Beam.pdf</t>
  </si>
  <si>
    <t>Beam Weight =</t>
  </si>
  <si>
    <t>lbs/ft</t>
  </si>
  <si>
    <t>Trib Length =</t>
  </si>
  <si>
    <t>Tot Weight / Beam =</t>
  </si>
  <si>
    <t>Deck Weight per Beam =</t>
  </si>
  <si>
    <t xml:space="preserve">Beam Seat Lengths </t>
  </si>
  <si>
    <t>Abutment Length =</t>
  </si>
  <si>
    <t>Beam Tribs</t>
  </si>
  <si>
    <t>Weights/Loads (2 rows of beams)</t>
  </si>
  <si>
    <t>Total Weights on Beams</t>
  </si>
  <si>
    <t>East Abutment (kips)</t>
  </si>
  <si>
    <t>West Abutment (kips)</t>
  </si>
  <si>
    <t>Footing (kips)</t>
  </si>
  <si>
    <t>Weights/Loads (2 rows of piles)</t>
  </si>
  <si>
    <t>Phase 2 - Abutment Loading Piles (Existing)</t>
  </si>
  <si>
    <t>Backwall:</t>
  </si>
  <si>
    <t>Width Backwall</t>
  </si>
  <si>
    <t>Backwall Length (Le)</t>
  </si>
  <si>
    <t>Backwall (kips)</t>
  </si>
  <si>
    <t xml:space="preserve"> Stem -East Abutment (kips)</t>
  </si>
  <si>
    <t>Stem - West Abutment (kips)</t>
  </si>
  <si>
    <t>carried by 14 girders</t>
  </si>
  <si>
    <t>East Backwall:</t>
  </si>
  <si>
    <t>West Backwall:</t>
  </si>
  <si>
    <t>Exterior and sidewalk loads</t>
  </si>
  <si>
    <t>Backwall Height =</t>
  </si>
  <si>
    <t>Backwall Width =</t>
  </si>
  <si>
    <t>Area 3 =</t>
  </si>
  <si>
    <t>Backwall Height (H)</t>
  </si>
  <si>
    <t>Phase 2 - Abutment Loading Piles (Proposed)</t>
  </si>
  <si>
    <t>(For Trap. Area) Haunch Width 2 =</t>
  </si>
  <si>
    <t>(top width) Haunch Width 1 =</t>
  </si>
  <si>
    <t># Girders =</t>
  </si>
  <si>
    <t>assume backwall height and is the same as the proposed plans/design</t>
  </si>
  <si>
    <t>assume footing height and width and is the same as the proposed plans/design</t>
  </si>
  <si>
    <t>(span length carried by abutment) (half span length)</t>
  </si>
  <si>
    <t>Total Load on Piles</t>
  </si>
  <si>
    <t>TAKE MAX OF EITHER EAST/WEST + FOOTING + BACKWALL</t>
  </si>
  <si>
    <t>THEN DIVIDE BY 2</t>
  </si>
  <si>
    <t>THEN TAKE MAX LOAD OF THE 14 AND COMPARE IT TO MAX LOAD OF EXISTING 10 PREVIOUSLY</t>
  </si>
  <si>
    <t>Total Load (kips)</t>
  </si>
  <si>
    <t>Max Total Load per beam (kips)</t>
  </si>
  <si>
    <t>Max Total Load 2 beams (kips)</t>
  </si>
  <si>
    <t>Max LL + DL per beam</t>
  </si>
  <si>
    <t>Max LL + DL per beam (Support 1)</t>
  </si>
  <si>
    <t>Max LL + DL per beam (Support 5)</t>
  </si>
  <si>
    <t>FINAL LOAD SUMMARY</t>
  </si>
  <si>
    <t>Exisiting</t>
  </si>
  <si>
    <t>Proposed</t>
  </si>
  <si>
    <t>Percent Difference:</t>
  </si>
  <si>
    <t>Percent Difference Tolerance:</t>
  </si>
  <si>
    <t>(trib length)</t>
  </si>
  <si>
    <t>per beam</t>
  </si>
  <si>
    <t>per abutment</t>
  </si>
  <si>
    <t>Overhang =</t>
  </si>
  <si>
    <t>Glange Depth =</t>
  </si>
  <si>
    <t>in</t>
  </si>
  <si>
    <t>see elevation P + 3'-3"</t>
  </si>
  <si>
    <t>see elevations A through N</t>
  </si>
  <si>
    <t>Backwall Weight (WtF)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</si>
</sst>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\+00.00"/>
    <numFmt numFmtId="165" formatCode="0.0000"/>
    <numFmt numFmtId="166" formatCode="0.000"/>
    <numFmt numFmtId="167" formatCode="0.0000%"/>
    <numFmt numFmtId="168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sz val="10"/>
      <color theme="1"/>
      <name val="Arial Narrow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3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3" borderId="0" xfId="0" applyFill="1" applyAlignment="1">
      <alignment horizontal="center"/>
    </xf>
    <xf numFmtId="0" fontId="0" fillId="3" borderId="0" xfId="0" applyFill="1"/>
    <xf numFmtId="0" fontId="2" fillId="4" borderId="0" xfId="0" applyFont="1" applyFill="1"/>
    <xf numFmtId="0" fontId="3" fillId="0" borderId="0" xfId="0" applyFont="1"/>
    <xf numFmtId="0" fontId="4" fillId="0" borderId="0" xfId="0" applyFont="1"/>
    <xf numFmtId="0" fontId="5" fillId="2" borderId="1" xfId="1" applyFont="1"/>
    <xf numFmtId="2" fontId="0" fillId="3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/>
    <xf numFmtId="2" fontId="0" fillId="3" borderId="0" xfId="0" applyNumberFormat="1" applyFill="1"/>
    <xf numFmtId="16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0" fillId="3" borderId="0" xfId="0" quotePrefix="1" applyFill="1" applyAlignment="1">
      <alignment horizontal="center"/>
    </xf>
    <xf numFmtId="168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6" fillId="0" borderId="0" xfId="0" applyNumberFormat="1" applyFont="1" applyAlignment="1">
      <alignment vertical="center" textRotation="90"/>
    </xf>
    <xf numFmtId="0" fontId="0" fillId="0" borderId="0" xfId="0" quotePrefix="1"/>
    <xf numFmtId="0" fontId="4" fillId="0" borderId="0" xfId="0" applyFont="1" applyAlignment="1">
      <alignment horizontal="center"/>
    </xf>
    <xf numFmtId="0" fontId="0" fillId="3" borderId="0" xfId="0" applyFill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right"/>
    </xf>
    <xf numFmtId="164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2" fontId="0" fillId="5" borderId="0" xfId="0" applyNumberFormat="1" applyFill="1"/>
    <xf numFmtId="10" fontId="0" fillId="0" borderId="0" xfId="0" applyNumberFormat="1"/>
    <xf numFmtId="9" fontId="0" fillId="0" borderId="0" xfId="0" applyNumberFormat="1"/>
    <xf numFmtId="0" fontId="0" fillId="3" borderId="0" xfId="0" applyFill="1" applyAlignment="1">
      <alignment horizontal="center"/>
    </xf>
    <xf numFmtId="0" fontId="6" fillId="0" borderId="0" xfId="0" applyFont="1" applyAlignment="1">
      <alignment horizontal="center"/>
    </xf>
    <xf numFmtId="14" fontId="0" fillId="3" borderId="0" xfId="0" applyNumberFormat="1" applyFill="1" applyAlignment="1">
      <alignment horizontal="center"/>
    </xf>
  </cellXfs>
  <cellStyles count="2">
    <cellStyle name="Calculation" xfId="1" builtinId="22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62570</xdr:colOff>
      <xdr:row>1</xdr:row>
      <xdr:rowOff>85859</xdr:rowOff>
    </xdr:from>
    <xdr:to>
      <xdr:col>4</xdr:col>
      <xdr:colOff>1180564</xdr:colOff>
      <xdr:row>11</xdr:row>
      <xdr:rowOff>19812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6EBD5-E6F7-4FAF-7D2E-09B078C4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0" y="268310"/>
          <a:ext cx="5647064" cy="174322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</xdr:row>
      <xdr:rowOff>0</xdr:rowOff>
    </xdr:from>
    <xdr:to>
      <xdr:col>19</xdr:col>
      <xdr:colOff>304800</xdr:colOff>
      <xdr:row>23</xdr:row>
      <xdr:rowOff>133350</xdr:rowOff>
    </xdr:to>
    <xdr:sp macro="" textlink="">
      <xdr:nvSpPr>
        <xdr:cNvPr id="4097" name="avatar">
          <a:extLst>
            <a:ext uri="{FF2B5EF4-FFF2-40B4-BE49-F238E27FC236}">
              <a16:creationId xmlns:a16="http://schemas.microsoft.com/office/drawing/2014/main" id="{F8F5EF42-49A4-BF9D-32AF-5159800EDA9D}"/>
            </a:ext>
          </a:extLst>
        </xdr:cNvPr>
        <xdr:cNvSpPr>
          <a:spLocks noChangeAspect="1" noChangeArrowheads="1"/>
        </xdr:cNvSpPr>
      </xdr:nvSpPr>
      <xdr:spPr bwMode="auto">
        <a:xfrm>
          <a:off x="12031980" y="40614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622478</xdr:colOff>
      <xdr:row>10</xdr:row>
      <xdr:rowOff>96779</xdr:rowOff>
    </xdr:from>
    <xdr:to>
      <xdr:col>4</xdr:col>
      <xdr:colOff>568818</xdr:colOff>
      <xdr:row>23</xdr:row>
      <xdr:rowOff>97004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5BEAF-3A2C-8E96-9E42-0EEC2C99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2478" y="1921286"/>
          <a:ext cx="4475410" cy="2364464"/>
        </a:xfrm>
        <a:prstGeom prst="rect">
          <a:avLst/>
        </a:prstGeom>
      </xdr:spPr>
    </xdr:pic>
    <xdr:clientData/>
  </xdr:twoCellAnchor>
  <xdr:twoCellAnchor editAs="oneCell">
    <xdr:from>
      <xdr:col>3</xdr:col>
      <xdr:colOff>417693</xdr:colOff>
      <xdr:row>80</xdr:row>
      <xdr:rowOff>169980</xdr:rowOff>
    </xdr:from>
    <xdr:to>
      <xdr:col>8</xdr:col>
      <xdr:colOff>246147</xdr:colOff>
      <xdr:row>93</xdr:row>
      <xdr:rowOff>129641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A49BB6-B219-005E-F070-6A431B136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45242" y="14819698"/>
          <a:ext cx="4572870" cy="2331520"/>
        </a:xfrm>
        <a:prstGeom prst="rect">
          <a:avLst/>
        </a:prstGeom>
      </xdr:spPr>
    </xdr:pic>
    <xdr:clientData/>
  </xdr:twoCellAnchor>
  <xdr:twoCellAnchor editAs="oneCell">
    <xdr:from>
      <xdr:col>4</xdr:col>
      <xdr:colOff>81179</xdr:colOff>
      <xdr:row>46</xdr:row>
      <xdr:rowOff>20303</xdr:rowOff>
    </xdr:from>
    <xdr:to>
      <xdr:col>7</xdr:col>
      <xdr:colOff>570167</xdr:colOff>
      <xdr:row>59</xdr:row>
      <xdr:rowOff>22186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AB2778-CE43-2410-11A1-3BD530AE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02540" y="8339607"/>
          <a:ext cx="3551456" cy="23587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76201</xdr:colOff>
      <xdr:row>31</xdr:row>
      <xdr:rowOff>83820</xdr:rowOff>
    </xdr:from>
    <xdr:to>
      <xdr:col>13</xdr:col>
      <xdr:colOff>723901</xdr:colOff>
      <xdr:row>46</xdr:row>
      <xdr:rowOff>91828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21A82-C11B-EE07-1F00-B8DF6F80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1321" y="5753100"/>
          <a:ext cx="4777740" cy="2741683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27</xdr:row>
      <xdr:rowOff>3777</xdr:rowOff>
    </xdr:from>
    <xdr:to>
      <xdr:col>12</xdr:col>
      <xdr:colOff>266701</xdr:colOff>
      <xdr:row>29</xdr:row>
      <xdr:rowOff>93197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C2FDD-BD6B-DB29-548F-38D318D3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75121" y="2564097"/>
          <a:ext cx="3787140" cy="462800"/>
        </a:xfrm>
        <a:prstGeom prst="rect">
          <a:avLst/>
        </a:prstGeom>
      </xdr:spPr>
    </xdr:pic>
    <xdr:clientData/>
  </xdr:twoCellAnchor>
  <xdr:twoCellAnchor editAs="oneCell">
    <xdr:from>
      <xdr:col>8</xdr:col>
      <xdr:colOff>55708</xdr:colOff>
      <xdr:row>61</xdr:row>
      <xdr:rowOff>129540</xdr:rowOff>
    </xdr:from>
    <xdr:to>
      <xdr:col>14</xdr:col>
      <xdr:colOff>57150</xdr:colOff>
      <xdr:row>75</xdr:row>
      <xdr:rowOff>132443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E2CEBE-F454-B707-12D1-2236A3BD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0828" y="11285220"/>
          <a:ext cx="4897292" cy="2570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2369</xdr:colOff>
      <xdr:row>74</xdr:row>
      <xdr:rowOff>167641</xdr:rowOff>
    </xdr:from>
    <xdr:to>
      <xdr:col>14</xdr:col>
      <xdr:colOff>361950</xdr:colOff>
      <xdr:row>86</xdr:row>
      <xdr:rowOff>86500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94F079-5CA2-4BDC-B9FD-53EF69A3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589" y="13700761"/>
          <a:ext cx="4020991" cy="2111514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304801</xdr:colOff>
      <xdr:row>38</xdr:row>
      <xdr:rowOff>13119</xdr:rowOff>
    </xdr:from>
    <xdr:to>
      <xdr:col>16</xdr:col>
      <xdr:colOff>57151</xdr:colOff>
      <xdr:row>51</xdr:row>
      <xdr:rowOff>18416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EB339D-7CBA-1133-85A4-39DBABEF7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7021" y="6962559"/>
          <a:ext cx="4800600" cy="237892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21</xdr:row>
      <xdr:rowOff>21193</xdr:rowOff>
    </xdr:from>
    <xdr:to>
      <xdr:col>16</xdr:col>
      <xdr:colOff>285750</xdr:colOff>
      <xdr:row>29</xdr:row>
      <xdr:rowOff>97059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3AC99B-4FBC-09B1-10A9-E0EA9562A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39840" y="3861673"/>
          <a:ext cx="5326380" cy="154271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8DA39-E51B-483D-9FD9-D71D20CBF5B2}">
  <sheetPr>
    <pageSetUpPr fitToPage="1"/>
  </sheetPr>
  <dimension ref="A1:O130"/>
  <sheetViews>
    <sheetView topLeftCell="A75" zoomScale="79" workbookViewId="0">
      <selection activeCell="D112" sqref="D112"/>
    </sheetView>
  </sheetViews>
  <sheetFormatPr defaultRowHeight="14.4" x14ac:dyDescent="0.3"/>
  <cols>
    <col min="1" max="1" width="33.44140625" bestFit="1" customWidth="1"/>
    <col min="2" max="2" width="10.44140625" customWidth="1"/>
    <col min="4" max="4" width="13.21875" bestFit="1" customWidth="1"/>
    <col min="5" max="5" width="19.5546875" bestFit="1" customWidth="1"/>
    <col min="6" max="6" width="16.109375" customWidth="1"/>
    <col min="8" max="8" width="11.21875" customWidth="1"/>
    <col min="9" max="9" width="12.33203125" customWidth="1"/>
    <col min="10" max="10" width="20.109375" bestFit="1" customWidth="1"/>
    <col min="11" max="11" width="15" bestFit="1" customWidth="1"/>
  </cols>
  <sheetData>
    <row r="1" spans="1:12" x14ac:dyDescent="0.3">
      <c r="A1" s="2" t="s">
        <v>116</v>
      </c>
      <c r="F1" t="s">
        <v>0</v>
      </c>
      <c r="G1" s="35" t="s">
        <v>7</v>
      </c>
      <c r="H1" s="35"/>
      <c r="I1" s="35"/>
      <c r="J1" s="35"/>
      <c r="K1" s="35"/>
    </row>
    <row r="2" spans="1:12" x14ac:dyDescent="0.3">
      <c r="B2" s="36"/>
      <c r="C2" s="36"/>
      <c r="D2" s="36"/>
      <c r="F2" t="s">
        <v>1</v>
      </c>
      <c r="G2" s="35"/>
      <c r="H2" s="35"/>
      <c r="I2" s="35"/>
      <c r="J2" s="35"/>
      <c r="K2" s="35"/>
    </row>
    <row r="3" spans="1:12" x14ac:dyDescent="0.3">
      <c r="B3" s="25"/>
      <c r="C3" s="25"/>
      <c r="D3" s="25"/>
      <c r="F3" t="s">
        <v>2</v>
      </c>
      <c r="G3" s="35" t="s">
        <v>170</v>
      </c>
      <c r="H3" s="35"/>
      <c r="I3" s="35"/>
      <c r="J3" s="35"/>
      <c r="K3" s="35"/>
    </row>
    <row r="4" spans="1:12" x14ac:dyDescent="0.3">
      <c r="B4" s="26"/>
      <c r="C4" s="25"/>
      <c r="D4" s="25"/>
      <c r="F4" t="s">
        <v>3</v>
      </c>
      <c r="G4" s="35" t="s">
        <v>4</v>
      </c>
      <c r="H4" s="35"/>
      <c r="I4" t="s">
        <v>5</v>
      </c>
      <c r="J4" s="37">
        <v>44964</v>
      </c>
      <c r="K4" s="37"/>
    </row>
    <row r="5" spans="1:12" x14ac:dyDescent="0.3">
      <c r="B5" s="27"/>
      <c r="C5" s="28"/>
      <c r="D5" s="16"/>
      <c r="F5" t="s">
        <v>6</v>
      </c>
      <c r="G5" s="35"/>
      <c r="H5" s="35"/>
      <c r="I5" t="s">
        <v>5</v>
      </c>
      <c r="J5" s="35"/>
      <c r="K5" s="35"/>
    </row>
    <row r="6" spans="1:12" x14ac:dyDescent="0.3">
      <c r="B6" s="27"/>
      <c r="C6" s="28"/>
      <c r="D6" s="29"/>
    </row>
    <row r="7" spans="1:12" x14ac:dyDescent="0.3">
      <c r="B7" s="27"/>
      <c r="C7" s="28"/>
      <c r="D7" s="29"/>
    </row>
    <row r="8" spans="1:12" x14ac:dyDescent="0.3">
      <c r="B8" s="27"/>
      <c r="C8" s="30"/>
      <c r="D8" s="25"/>
    </row>
    <row r="9" spans="1:12" x14ac:dyDescent="0.3">
      <c r="B9" s="27"/>
      <c r="C9" s="30"/>
      <c r="D9" s="25"/>
    </row>
    <row r="10" spans="1:12" x14ac:dyDescent="0.3">
      <c r="B10" s="27"/>
      <c r="C10" s="31"/>
      <c r="D10" s="25"/>
    </row>
    <row r="11" spans="1:12" x14ac:dyDescent="0.3">
      <c r="H11" s="16"/>
    </row>
    <row r="12" spans="1:12" x14ac:dyDescent="0.3">
      <c r="B12" s="27"/>
    </row>
    <row r="14" spans="1:12" x14ac:dyDescent="0.3">
      <c r="E14" s="15"/>
      <c r="F14" s="16"/>
      <c r="H14" s="1"/>
      <c r="I14" s="1"/>
      <c r="J14" s="1"/>
      <c r="K14" s="1"/>
      <c r="L14" s="1"/>
    </row>
    <row r="15" spans="1:12" x14ac:dyDescent="0.3">
      <c r="D15" s="3"/>
      <c r="E15" s="15"/>
      <c r="F15" s="16"/>
      <c r="H15" s="1"/>
      <c r="I15" s="1"/>
      <c r="J15" s="1"/>
      <c r="K15" s="1"/>
      <c r="L15" s="1"/>
    </row>
    <row r="16" spans="1:12" x14ac:dyDescent="0.3">
      <c r="E16" s="15"/>
      <c r="F16" s="16"/>
      <c r="H16" s="1"/>
      <c r="I16" s="1"/>
      <c r="J16" s="1"/>
      <c r="K16" s="1"/>
      <c r="L16" s="1"/>
    </row>
    <row r="17" spans="1:13" x14ac:dyDescent="0.3">
      <c r="E17" s="15"/>
      <c r="F17" s="16"/>
    </row>
    <row r="18" spans="1:13" x14ac:dyDescent="0.3">
      <c r="E18" s="15"/>
      <c r="F18" s="16"/>
    </row>
    <row r="19" spans="1:13" x14ac:dyDescent="0.3">
      <c r="E19" s="15"/>
      <c r="F19" s="16"/>
    </row>
    <row r="20" spans="1:13" x14ac:dyDescent="0.3">
      <c r="E20" s="15"/>
      <c r="F20" s="16"/>
    </row>
    <row r="21" spans="1:13" x14ac:dyDescent="0.3">
      <c r="D21" s="3"/>
      <c r="E21" s="15"/>
      <c r="F21" s="16"/>
    </row>
    <row r="25" spans="1:13" x14ac:dyDescent="0.3">
      <c r="A25" t="s">
        <v>118</v>
      </c>
      <c r="B25">
        <f>8.25/12</f>
        <v>0.6875</v>
      </c>
      <c r="C25" t="s">
        <v>22</v>
      </c>
    </row>
    <row r="26" spans="1:13" x14ac:dyDescent="0.3">
      <c r="A26" t="s">
        <v>142</v>
      </c>
      <c r="B26">
        <f>(2*(2+3/12)+52)/2</f>
        <v>28.25</v>
      </c>
      <c r="C26" t="s">
        <v>22</v>
      </c>
      <c r="D26" t="s">
        <v>207</v>
      </c>
    </row>
    <row r="27" spans="1:13" x14ac:dyDescent="0.3">
      <c r="A27" t="s">
        <v>117</v>
      </c>
      <c r="B27">
        <f>66+4/12</f>
        <v>66.333333333333329</v>
      </c>
      <c r="C27" t="s">
        <v>22</v>
      </c>
      <c r="L27" s="1"/>
      <c r="M27" s="1"/>
    </row>
    <row r="28" spans="1:13" x14ac:dyDescent="0.3">
      <c r="L28" s="1"/>
      <c r="M28" s="1"/>
    </row>
    <row r="29" spans="1:13" x14ac:dyDescent="0.3">
      <c r="A29" t="s">
        <v>143</v>
      </c>
      <c r="B29">
        <f>B26*B25</f>
        <v>19.421875</v>
      </c>
      <c r="C29" t="s">
        <v>128</v>
      </c>
      <c r="D29" t="s">
        <v>145</v>
      </c>
      <c r="L29" s="1"/>
      <c r="M29" s="1"/>
    </row>
    <row r="30" spans="1:13" x14ac:dyDescent="0.3">
      <c r="A30" t="s">
        <v>144</v>
      </c>
      <c r="B30">
        <f>B29*B27</f>
        <v>1288.3177083333333</v>
      </c>
      <c r="C30" t="s">
        <v>37</v>
      </c>
    </row>
    <row r="32" spans="1:13" x14ac:dyDescent="0.3">
      <c r="A32" t="s">
        <v>146</v>
      </c>
      <c r="B32">
        <f>B30*150</f>
        <v>193247.65625</v>
      </c>
      <c r="C32" t="s">
        <v>38</v>
      </c>
    </row>
    <row r="33" spans="1:10" x14ac:dyDescent="0.3">
      <c r="B33">
        <f>B32/1000</f>
        <v>193.24765625000001</v>
      </c>
      <c r="C33" t="s">
        <v>43</v>
      </c>
    </row>
    <row r="34" spans="1:10" x14ac:dyDescent="0.3">
      <c r="A34" t="s">
        <v>160</v>
      </c>
      <c r="B34">
        <f>B33/10</f>
        <v>19.324765625000001</v>
      </c>
      <c r="C34" t="s">
        <v>43</v>
      </c>
      <c r="E34" s="22"/>
      <c r="G34" s="22"/>
      <c r="J34" s="22"/>
    </row>
    <row r="39" spans="1:10" x14ac:dyDescent="0.3">
      <c r="B39" s="3" t="s">
        <v>105</v>
      </c>
      <c r="C39" s="14">
        <f>8.25/12</f>
        <v>0.6875</v>
      </c>
      <c r="D39" t="s">
        <v>22</v>
      </c>
    </row>
    <row r="40" spans="1:10" x14ac:dyDescent="0.3">
      <c r="B40" s="3" t="s">
        <v>106</v>
      </c>
      <c r="C40" s="14">
        <f>2/12</f>
        <v>0.16666666666666666</v>
      </c>
      <c r="D40" t="s">
        <v>22</v>
      </c>
    </row>
    <row r="41" spans="1:10" x14ac:dyDescent="0.3">
      <c r="B41" s="3" t="s">
        <v>107</v>
      </c>
      <c r="C41" s="14">
        <v>3</v>
      </c>
      <c r="D41" t="s">
        <v>22</v>
      </c>
    </row>
    <row r="42" spans="1:10" x14ac:dyDescent="0.3">
      <c r="B42" s="3" t="s">
        <v>108</v>
      </c>
      <c r="C42" s="14">
        <f>6/12</f>
        <v>0.5</v>
      </c>
      <c r="D42" t="s">
        <v>22</v>
      </c>
    </row>
    <row r="43" spans="1:10" x14ac:dyDescent="0.3">
      <c r="B43" s="3" t="s">
        <v>109</v>
      </c>
      <c r="C43" s="14">
        <f>2.773/12</f>
        <v>0.23108333333333334</v>
      </c>
      <c r="D43" t="s">
        <v>22</v>
      </c>
    </row>
    <row r="44" spans="1:10" x14ac:dyDescent="0.3">
      <c r="A44" s="3" t="s">
        <v>112</v>
      </c>
      <c r="B44" s="13">
        <f>SUM(C39:C43)</f>
        <v>4.5852499999999994</v>
      </c>
      <c r="C44" t="s">
        <v>22</v>
      </c>
    </row>
    <row r="45" spans="1:10" x14ac:dyDescent="0.3">
      <c r="B45" s="21"/>
      <c r="C45" s="18"/>
      <c r="D45" s="15"/>
    </row>
    <row r="46" spans="1:10" x14ac:dyDescent="0.3">
      <c r="B46" s="21"/>
      <c r="C46" s="18"/>
      <c r="D46" s="15"/>
    </row>
    <row r="47" spans="1:10" x14ac:dyDescent="0.3">
      <c r="A47" s="2" t="s">
        <v>119</v>
      </c>
      <c r="B47" s="21"/>
      <c r="C47" s="18"/>
      <c r="D47" s="15"/>
      <c r="E47" s="16"/>
      <c r="F47" s="19"/>
      <c r="G47" s="19"/>
    </row>
    <row r="48" spans="1:10" x14ac:dyDescent="0.3">
      <c r="A48" s="9" t="s">
        <v>180</v>
      </c>
      <c r="B48" s="20"/>
      <c r="C48" s="18"/>
      <c r="D48" s="15"/>
      <c r="E48" s="16"/>
      <c r="F48" s="19"/>
      <c r="G48" s="19"/>
    </row>
    <row r="49" spans="1:7" x14ac:dyDescent="0.3">
      <c r="A49" t="s">
        <v>120</v>
      </c>
      <c r="E49" s="16"/>
      <c r="F49" s="19"/>
      <c r="G49" s="19"/>
    </row>
    <row r="50" spans="1:7" x14ac:dyDescent="0.3">
      <c r="B50" s="3" t="s">
        <v>121</v>
      </c>
      <c r="C50">
        <f>5+1+4/12</f>
        <v>6.333333333333333</v>
      </c>
      <c r="D50" t="s">
        <v>22</v>
      </c>
      <c r="E50" s="16"/>
      <c r="F50" s="19"/>
      <c r="G50" s="19"/>
    </row>
    <row r="51" spans="1:7" x14ac:dyDescent="0.3">
      <c r="B51" s="3" t="s">
        <v>122</v>
      </c>
      <c r="C51">
        <f>10.75/12</f>
        <v>0.89583333333333337</v>
      </c>
      <c r="D51" t="s">
        <v>22</v>
      </c>
      <c r="E51" s="16"/>
      <c r="F51" s="19"/>
      <c r="G51" s="19"/>
    </row>
    <row r="52" spans="1:7" x14ac:dyDescent="0.3">
      <c r="B52" s="3" t="s">
        <v>123</v>
      </c>
      <c r="C52">
        <f>(11+7/8)/12</f>
        <v>0.98958333333333337</v>
      </c>
      <c r="D52" t="s">
        <v>22</v>
      </c>
      <c r="E52" s="16"/>
      <c r="F52" s="19"/>
      <c r="G52" s="19"/>
    </row>
    <row r="53" spans="1:7" x14ac:dyDescent="0.3">
      <c r="B53" s="3" t="s">
        <v>124</v>
      </c>
      <c r="C53">
        <f>(C52+C51)/2</f>
        <v>0.94270833333333337</v>
      </c>
      <c r="D53" t="s">
        <v>22</v>
      </c>
      <c r="E53" s="16"/>
      <c r="F53" s="19"/>
      <c r="G53" s="19"/>
    </row>
    <row r="54" spans="1:7" x14ac:dyDescent="0.3">
      <c r="B54" s="3" t="s">
        <v>130</v>
      </c>
      <c r="C54">
        <f>C53*C50</f>
        <v>5.9704861111111107</v>
      </c>
      <c r="D54" t="s">
        <v>128</v>
      </c>
      <c r="E54" s="16"/>
      <c r="F54" s="19"/>
      <c r="G54" s="19"/>
    </row>
    <row r="55" spans="1:7" x14ac:dyDescent="0.3">
      <c r="E55" s="16"/>
      <c r="F55" s="19"/>
      <c r="G55" s="19"/>
    </row>
    <row r="56" spans="1:7" x14ac:dyDescent="0.3">
      <c r="A56" t="s">
        <v>125</v>
      </c>
      <c r="E56" s="16"/>
      <c r="F56" s="19"/>
      <c r="G56" s="19"/>
    </row>
    <row r="57" spans="1:7" x14ac:dyDescent="0.3">
      <c r="A57" s="3"/>
      <c r="B57" s="3" t="s">
        <v>126</v>
      </c>
      <c r="C57">
        <f>1*(1+4/12)</f>
        <v>1.3333333333333333</v>
      </c>
      <c r="D57" t="s">
        <v>128</v>
      </c>
      <c r="E57" s="16"/>
      <c r="F57" s="19"/>
      <c r="G57" s="19"/>
    </row>
    <row r="58" spans="1:7" x14ac:dyDescent="0.3">
      <c r="A58" s="3"/>
      <c r="B58" s="3" t="s">
        <v>127</v>
      </c>
      <c r="C58">
        <f>(1-2*(0.75/12)) * 4/12</f>
        <v>0.29166666666666669</v>
      </c>
      <c r="D58" t="s">
        <v>128</v>
      </c>
      <c r="E58" s="16"/>
      <c r="F58" s="19"/>
      <c r="G58" s="19"/>
    </row>
    <row r="59" spans="1:7" x14ac:dyDescent="0.3">
      <c r="A59" s="3"/>
      <c r="B59" s="3" t="s">
        <v>183</v>
      </c>
      <c r="C59">
        <f>(1+4/12)*1</f>
        <v>1.3333333333333333</v>
      </c>
      <c r="D59" t="s">
        <v>128</v>
      </c>
      <c r="E59" s="16"/>
      <c r="F59" s="19"/>
      <c r="G59" s="19"/>
    </row>
    <row r="60" spans="1:7" x14ac:dyDescent="0.3">
      <c r="A60" s="3"/>
      <c r="B60" s="3" t="s">
        <v>129</v>
      </c>
      <c r="C60">
        <f>SUM(C57:C59)</f>
        <v>2.958333333333333</v>
      </c>
      <c r="D60" t="s">
        <v>128</v>
      </c>
    </row>
    <row r="61" spans="1:7" x14ac:dyDescent="0.3">
      <c r="A61" s="3" t="s">
        <v>131</v>
      </c>
      <c r="B61">
        <f>(C60+C54)*B26</f>
        <v>252.23914930555551</v>
      </c>
      <c r="C61" t="s">
        <v>37</v>
      </c>
    </row>
    <row r="62" spans="1:7" x14ac:dyDescent="0.3">
      <c r="A62" s="3" t="s">
        <v>132</v>
      </c>
      <c r="C62">
        <v>150</v>
      </c>
    </row>
    <row r="63" spans="1:7" x14ac:dyDescent="0.3">
      <c r="A63" s="3" t="s">
        <v>133</v>
      </c>
      <c r="B63">
        <f>C62*B61</f>
        <v>37835.872395833328</v>
      </c>
      <c r="C63" t="s">
        <v>38</v>
      </c>
    </row>
    <row r="64" spans="1:7" x14ac:dyDescent="0.3">
      <c r="A64" s="3"/>
      <c r="B64">
        <f>B63/1000</f>
        <v>37.835872395833327</v>
      </c>
      <c r="C64" t="s">
        <v>43</v>
      </c>
    </row>
    <row r="65" spans="1:4" x14ac:dyDescent="0.3">
      <c r="A65" s="3"/>
      <c r="B65">
        <f>B64/10</f>
        <v>3.7835872395833325</v>
      </c>
      <c r="D65" s="9" t="s">
        <v>208</v>
      </c>
    </row>
    <row r="66" spans="1:4" x14ac:dyDescent="0.3">
      <c r="A66" s="9" t="s">
        <v>148</v>
      </c>
    </row>
    <row r="67" spans="1:4" x14ac:dyDescent="0.3">
      <c r="A67" s="3" t="s">
        <v>149</v>
      </c>
      <c r="B67">
        <f>1*9/12</f>
        <v>0.75</v>
      </c>
      <c r="C67" t="s">
        <v>128</v>
      </c>
    </row>
    <row r="68" spans="1:4" x14ac:dyDescent="0.3">
      <c r="A68" s="3" t="s">
        <v>150</v>
      </c>
      <c r="B68">
        <f>B67-0.5*2/12*9/12</f>
        <v>0.6875</v>
      </c>
      <c r="C68" t="s">
        <v>128</v>
      </c>
    </row>
    <row r="69" spans="1:4" x14ac:dyDescent="0.3">
      <c r="A69" s="3"/>
    </row>
    <row r="70" spans="1:4" x14ac:dyDescent="0.3">
      <c r="A70" s="3" t="s">
        <v>131</v>
      </c>
      <c r="B70">
        <f>B68*B26</f>
        <v>19.421875</v>
      </c>
      <c r="C70" t="s">
        <v>37</v>
      </c>
    </row>
    <row r="71" spans="1:4" x14ac:dyDescent="0.3">
      <c r="A71" s="3" t="s">
        <v>132</v>
      </c>
      <c r="C71">
        <v>150</v>
      </c>
    </row>
    <row r="72" spans="1:4" x14ac:dyDescent="0.3">
      <c r="A72" s="3" t="s">
        <v>133</v>
      </c>
      <c r="B72">
        <f>C71*B70</f>
        <v>2913.28125</v>
      </c>
      <c r="C72" t="s">
        <v>38</v>
      </c>
    </row>
    <row r="73" spans="1:4" x14ac:dyDescent="0.3">
      <c r="A73" s="3"/>
      <c r="B73">
        <f>B72/1000</f>
        <v>2.9132812499999998</v>
      </c>
      <c r="C73" t="s">
        <v>43</v>
      </c>
    </row>
    <row r="74" spans="1:4" x14ac:dyDescent="0.3">
      <c r="B74">
        <f>B73/10</f>
        <v>0.29132812499999999</v>
      </c>
      <c r="D74" s="9" t="s">
        <v>208</v>
      </c>
    </row>
    <row r="78" spans="1:4" x14ac:dyDescent="0.3">
      <c r="A78" s="2" t="s">
        <v>134</v>
      </c>
    </row>
    <row r="79" spans="1:4" x14ac:dyDescent="0.3">
      <c r="A79" s="9" t="s">
        <v>138</v>
      </c>
    </row>
    <row r="80" spans="1:4" x14ac:dyDescent="0.3">
      <c r="A80" s="3" t="s">
        <v>106</v>
      </c>
      <c r="B80">
        <f>2/12</f>
        <v>0.16666666666666666</v>
      </c>
      <c r="C80" t="s">
        <v>22</v>
      </c>
    </row>
    <row r="81" spans="1:3" x14ac:dyDescent="0.3">
      <c r="A81" s="3" t="s">
        <v>135</v>
      </c>
      <c r="B81">
        <f>(2*0.5*9+12)/12</f>
        <v>1.75</v>
      </c>
      <c r="C81" t="s">
        <v>22</v>
      </c>
    </row>
    <row r="82" spans="1:3" x14ac:dyDescent="0.3">
      <c r="A82" s="3" t="s">
        <v>136</v>
      </c>
      <c r="B82">
        <f>0.5*B81*B80</f>
        <v>0.14583333333333331</v>
      </c>
      <c r="C82" t="s">
        <v>128</v>
      </c>
    </row>
    <row r="83" spans="1:3" x14ac:dyDescent="0.3">
      <c r="A83" s="3"/>
    </row>
    <row r="84" spans="1:3" x14ac:dyDescent="0.3">
      <c r="A84" s="3" t="s">
        <v>137</v>
      </c>
      <c r="B84">
        <f>B82*B27</f>
        <v>9.6736111111111089</v>
      </c>
      <c r="C84" t="s">
        <v>37</v>
      </c>
    </row>
    <row r="85" spans="1:3" x14ac:dyDescent="0.3">
      <c r="A85" s="3" t="s">
        <v>132</v>
      </c>
      <c r="C85">
        <v>150</v>
      </c>
    </row>
    <row r="86" spans="1:3" x14ac:dyDescent="0.3">
      <c r="A86" s="3" t="s">
        <v>151</v>
      </c>
      <c r="B86">
        <f>C85*B84</f>
        <v>1451.0416666666663</v>
      </c>
      <c r="C86" t="s">
        <v>38</v>
      </c>
    </row>
    <row r="87" spans="1:3" x14ac:dyDescent="0.3">
      <c r="A87" s="3"/>
      <c r="B87">
        <f>B86/1000</f>
        <v>1.4510416666666663</v>
      </c>
      <c r="C87" t="s">
        <v>43</v>
      </c>
    </row>
    <row r="88" spans="1:3" x14ac:dyDescent="0.3">
      <c r="A88" s="9" t="s">
        <v>139</v>
      </c>
    </row>
    <row r="89" spans="1:3" x14ac:dyDescent="0.3">
      <c r="A89" s="3" t="s">
        <v>140</v>
      </c>
      <c r="B89">
        <f>12/12</f>
        <v>1</v>
      </c>
      <c r="C89" t="s">
        <v>22</v>
      </c>
    </row>
    <row r="90" spans="1:3" x14ac:dyDescent="0.3">
      <c r="A90" s="3" t="s">
        <v>106</v>
      </c>
      <c r="B90">
        <f>2/12</f>
        <v>0.16666666666666666</v>
      </c>
      <c r="C90" t="s">
        <v>22</v>
      </c>
    </row>
    <row r="91" spans="1:3" x14ac:dyDescent="0.3">
      <c r="A91" s="3" t="s">
        <v>187</v>
      </c>
      <c r="B91">
        <f>2+4/12+9/12+B89/2</f>
        <v>3.5833333333333335</v>
      </c>
      <c r="C91" t="s">
        <v>22</v>
      </c>
    </row>
    <row r="92" spans="1:3" x14ac:dyDescent="0.3">
      <c r="A92" s="3" t="s">
        <v>186</v>
      </c>
      <c r="B92">
        <f>B91-9/12</f>
        <v>2.8333333333333335</v>
      </c>
      <c r="C92" t="s">
        <v>22</v>
      </c>
    </row>
    <row r="93" spans="1:3" x14ac:dyDescent="0.3">
      <c r="A93" s="3" t="s">
        <v>136</v>
      </c>
      <c r="B93">
        <f>(0.5*(B91+B92)*B90)</f>
        <v>0.53472222222222221</v>
      </c>
      <c r="C93" t="s">
        <v>128</v>
      </c>
    </row>
    <row r="94" spans="1:3" x14ac:dyDescent="0.3">
      <c r="A94" s="3"/>
    </row>
    <row r="95" spans="1:3" x14ac:dyDescent="0.3">
      <c r="A95" s="3" t="s">
        <v>137</v>
      </c>
      <c r="B95">
        <f>B93*B27</f>
        <v>35.469907407407405</v>
      </c>
      <c r="C95" t="s">
        <v>37</v>
      </c>
    </row>
    <row r="96" spans="1:3" x14ac:dyDescent="0.3">
      <c r="A96" s="3" t="s">
        <v>132</v>
      </c>
      <c r="C96">
        <v>150</v>
      </c>
    </row>
    <row r="97" spans="1:12" x14ac:dyDescent="0.3">
      <c r="A97" s="3" t="s">
        <v>151</v>
      </c>
      <c r="B97">
        <f>C96*B95</f>
        <v>5320.4861111111104</v>
      </c>
      <c r="C97" t="s">
        <v>38</v>
      </c>
    </row>
    <row r="98" spans="1:12" x14ac:dyDescent="0.3">
      <c r="A98" s="3"/>
      <c r="B98">
        <f>B97/1000</f>
        <v>5.3204861111111104</v>
      </c>
      <c r="C98" t="s">
        <v>43</v>
      </c>
    </row>
    <row r="99" spans="1:12" x14ac:dyDescent="0.3">
      <c r="A99" s="2" t="s">
        <v>141</v>
      </c>
    </row>
    <row r="100" spans="1:12" x14ac:dyDescent="0.3">
      <c r="A100" s="2" t="s">
        <v>93</v>
      </c>
    </row>
    <row r="101" spans="1:12" x14ac:dyDescent="0.3">
      <c r="A101" s="6" t="s">
        <v>94</v>
      </c>
      <c r="B101" s="5">
        <v>1</v>
      </c>
      <c r="C101" s="5">
        <v>2</v>
      </c>
      <c r="D101" s="5">
        <v>3</v>
      </c>
      <c r="E101" s="5">
        <v>4</v>
      </c>
      <c r="F101" s="5">
        <v>5</v>
      </c>
      <c r="G101" s="5">
        <v>6</v>
      </c>
      <c r="H101" s="5">
        <v>7</v>
      </c>
      <c r="I101" s="5">
        <v>8</v>
      </c>
      <c r="J101" s="5">
        <v>9</v>
      </c>
      <c r="K101" s="5">
        <v>10</v>
      </c>
    </row>
    <row r="102" spans="1:12" x14ac:dyDescent="0.3">
      <c r="A102" s="6" t="s">
        <v>95</v>
      </c>
      <c r="B102" s="5" t="s">
        <v>96</v>
      </c>
      <c r="C102" s="5" t="s">
        <v>97</v>
      </c>
      <c r="D102" s="5" t="s">
        <v>97</v>
      </c>
      <c r="E102" s="5" t="s">
        <v>97</v>
      </c>
      <c r="F102" s="5" t="s">
        <v>97</v>
      </c>
      <c r="G102" s="5" t="s">
        <v>97</v>
      </c>
      <c r="H102" s="5" t="s">
        <v>97</v>
      </c>
      <c r="I102" s="5" t="s">
        <v>97</v>
      </c>
      <c r="J102" s="5" t="s">
        <v>97</v>
      </c>
      <c r="K102" s="5" t="s">
        <v>96</v>
      </c>
    </row>
    <row r="103" spans="1:12" x14ac:dyDescent="0.3">
      <c r="A103" s="6" t="s">
        <v>99</v>
      </c>
      <c r="B103" s="11">
        <v>45.61</v>
      </c>
      <c r="C103" s="11">
        <v>58.54</v>
      </c>
      <c r="D103" s="11">
        <f>C103</f>
        <v>58.54</v>
      </c>
      <c r="E103" s="11">
        <f>D103</f>
        <v>58.54</v>
      </c>
      <c r="F103" s="11">
        <v>49.45</v>
      </c>
      <c r="G103" s="11">
        <f>F103</f>
        <v>49.45</v>
      </c>
      <c r="H103" s="11">
        <v>55.65</v>
      </c>
      <c r="I103" s="11">
        <f>H103</f>
        <v>55.65</v>
      </c>
      <c r="J103" s="11">
        <f>I103</f>
        <v>55.65</v>
      </c>
      <c r="K103" s="11">
        <v>52.36</v>
      </c>
      <c r="L103" t="s">
        <v>103</v>
      </c>
    </row>
    <row r="104" spans="1:12" x14ac:dyDescent="0.3">
      <c r="A104" s="6" t="s">
        <v>100</v>
      </c>
      <c r="B104" s="11">
        <v>45.62</v>
      </c>
      <c r="C104" s="11">
        <v>58.55</v>
      </c>
      <c r="D104" s="11">
        <f>C104</f>
        <v>58.55</v>
      </c>
      <c r="E104" s="11">
        <f>D104</f>
        <v>58.55</v>
      </c>
      <c r="F104" s="11">
        <v>49.46</v>
      </c>
      <c r="G104" s="11">
        <f>F104</f>
        <v>49.46</v>
      </c>
      <c r="H104" s="11">
        <v>55.66</v>
      </c>
      <c r="I104" s="11">
        <f>H104</f>
        <v>55.66</v>
      </c>
      <c r="J104" s="11">
        <f>I104</f>
        <v>55.66</v>
      </c>
      <c r="K104" s="11">
        <v>52.38</v>
      </c>
      <c r="L104" t="s">
        <v>103</v>
      </c>
    </row>
    <row r="105" spans="1:12" x14ac:dyDescent="0.3">
      <c r="A105" s="6" t="s">
        <v>101</v>
      </c>
      <c r="B105" s="11">
        <f>$B$34+$B$65+$B$74+$B$98+$B$114</f>
        <v>33.522667100694449</v>
      </c>
      <c r="C105" s="11">
        <f>$B$34+$B$65+$B$74+$B$87+$B$114</f>
        <v>29.653222656250001</v>
      </c>
      <c r="D105" s="11">
        <f t="shared" ref="D105:J106" si="0">$B$34+$B$65+$B$74+$B$87+$B$114</f>
        <v>29.653222656250001</v>
      </c>
      <c r="E105" s="11">
        <f t="shared" si="0"/>
        <v>29.653222656250001</v>
      </c>
      <c r="F105" s="11">
        <f t="shared" si="0"/>
        <v>29.653222656250001</v>
      </c>
      <c r="G105" s="11">
        <f t="shared" si="0"/>
        <v>29.653222656250001</v>
      </c>
      <c r="H105" s="11">
        <f t="shared" si="0"/>
        <v>29.653222656250001</v>
      </c>
      <c r="I105" s="11">
        <f t="shared" si="0"/>
        <v>29.653222656250001</v>
      </c>
      <c r="J105" s="11">
        <f>$B$34+$B$65+$B$74+$B$87+$B$114</f>
        <v>29.653222656250001</v>
      </c>
      <c r="K105" s="11">
        <f t="shared" ref="K105:K106" si="1">$B$34+$B$65+$B$74+$B$98+$B$114</f>
        <v>33.522667100694449</v>
      </c>
      <c r="L105" t="s">
        <v>104</v>
      </c>
    </row>
    <row r="106" spans="1:12" x14ac:dyDescent="0.3">
      <c r="A106" s="6" t="s">
        <v>102</v>
      </c>
      <c r="B106" s="11">
        <f>$B$34+$B$65+$B$74+$B$98+$B$114</f>
        <v>33.522667100694449</v>
      </c>
      <c r="C106" s="11">
        <f>$B$34+$B$65+$B$74+$B$87+$B$114</f>
        <v>29.653222656250001</v>
      </c>
      <c r="D106" s="11">
        <f t="shared" si="0"/>
        <v>29.653222656250001</v>
      </c>
      <c r="E106" s="11">
        <f t="shared" si="0"/>
        <v>29.653222656250001</v>
      </c>
      <c r="F106" s="11">
        <f t="shared" si="0"/>
        <v>29.653222656250001</v>
      </c>
      <c r="G106" s="11">
        <f t="shared" si="0"/>
        <v>29.653222656250001</v>
      </c>
      <c r="H106" s="11">
        <f t="shared" si="0"/>
        <v>29.653222656250001</v>
      </c>
      <c r="I106" s="11">
        <f t="shared" si="0"/>
        <v>29.653222656250001</v>
      </c>
      <c r="J106" s="11">
        <f t="shared" si="0"/>
        <v>29.653222656250001</v>
      </c>
      <c r="K106" s="11">
        <f t="shared" si="1"/>
        <v>33.522667100694449</v>
      </c>
      <c r="L106" t="s">
        <v>104</v>
      </c>
    </row>
    <row r="107" spans="1:12" x14ac:dyDescent="0.3">
      <c r="A107" t="s">
        <v>98</v>
      </c>
      <c r="E107" s="3"/>
    </row>
    <row r="108" spans="1:12" x14ac:dyDescent="0.3">
      <c r="E108" s="3"/>
    </row>
    <row r="109" spans="1:12" x14ac:dyDescent="0.3">
      <c r="A109" s="3" t="s">
        <v>156</v>
      </c>
      <c r="B109" s="11">
        <v>170</v>
      </c>
      <c r="C109" t="s">
        <v>157</v>
      </c>
    </row>
    <row r="111" spans="1:12" x14ac:dyDescent="0.3">
      <c r="A111" s="3" t="s">
        <v>158</v>
      </c>
      <c r="B111">
        <f>B26</f>
        <v>28.25</v>
      </c>
      <c r="C111" t="s">
        <v>22</v>
      </c>
      <c r="D111" t="s">
        <v>209</v>
      </c>
    </row>
    <row r="113" spans="1:15" x14ac:dyDescent="0.3">
      <c r="A113" s="3" t="s">
        <v>159</v>
      </c>
      <c r="B113">
        <f>B109*B111</f>
        <v>4802.5</v>
      </c>
      <c r="C113" t="s">
        <v>38</v>
      </c>
    </row>
    <row r="114" spans="1:15" x14ac:dyDescent="0.3">
      <c r="B114">
        <f>B113/1000</f>
        <v>4.8025000000000002</v>
      </c>
      <c r="C114" t="s">
        <v>43</v>
      </c>
    </row>
    <row r="116" spans="1:15" x14ac:dyDescent="0.3">
      <c r="A116" t="s">
        <v>114</v>
      </c>
      <c r="B116" s="6">
        <f>3+4+(6+1/16)/12+(3+1/8)/12</f>
        <v>7.765625</v>
      </c>
      <c r="C116" s="6">
        <f>3+4+(3+1/8)/12</f>
        <v>7.260416666666667</v>
      </c>
      <c r="D116" s="6">
        <f>3+4+(3+1/8)/12</f>
        <v>7.260416666666667</v>
      </c>
      <c r="E116" s="6">
        <f>3+4+(3+1/8)/12</f>
        <v>7.260416666666667</v>
      </c>
      <c r="F116" s="6">
        <f>2*(3+(6+1/16)/12)</f>
        <v>7.010416666666667</v>
      </c>
      <c r="G116" s="6">
        <f>3+4+(3+1/8)/12</f>
        <v>7.260416666666667</v>
      </c>
      <c r="H116" s="6">
        <f>3+4+(3+1/8)/12</f>
        <v>7.260416666666667</v>
      </c>
      <c r="I116" s="6">
        <f>3+4+(3+1/8)/12</f>
        <v>7.260416666666667</v>
      </c>
      <c r="J116" s="6">
        <f>4+3+(3+1/8)/12+(6+1/16)/12</f>
        <v>7.765625</v>
      </c>
      <c r="K116" t="s">
        <v>22</v>
      </c>
    </row>
    <row r="118" spans="1:15" x14ac:dyDescent="0.3">
      <c r="A118" t="s">
        <v>163</v>
      </c>
      <c r="B118" s="13">
        <f>B116</f>
        <v>7.765625</v>
      </c>
      <c r="C118" s="13">
        <f>(B116+C116)/2</f>
        <v>7.5130208333333339</v>
      </c>
      <c r="D118" s="13">
        <f t="shared" ref="D118:J118" si="2">(C116+D116)/2</f>
        <v>7.260416666666667</v>
      </c>
      <c r="E118" s="13">
        <f t="shared" si="2"/>
        <v>7.260416666666667</v>
      </c>
      <c r="F118" s="13">
        <f t="shared" si="2"/>
        <v>7.135416666666667</v>
      </c>
      <c r="G118" s="13">
        <f t="shared" si="2"/>
        <v>7.135416666666667</v>
      </c>
      <c r="H118" s="13">
        <f t="shared" si="2"/>
        <v>7.260416666666667</v>
      </c>
      <c r="I118" s="13">
        <f t="shared" si="2"/>
        <v>7.260416666666667</v>
      </c>
      <c r="J118" s="13">
        <f t="shared" si="2"/>
        <v>7.5130208333333339</v>
      </c>
      <c r="K118" s="13">
        <f>J116</f>
        <v>7.765625</v>
      </c>
      <c r="L118" t="s">
        <v>22</v>
      </c>
    </row>
    <row r="120" spans="1:15" x14ac:dyDescent="0.3">
      <c r="A120" t="s">
        <v>169</v>
      </c>
      <c r="B120" s="5">
        <v>1</v>
      </c>
      <c r="C120" s="5">
        <v>2</v>
      </c>
      <c r="D120" s="5">
        <v>3</v>
      </c>
      <c r="E120" s="5">
        <v>4</v>
      </c>
      <c r="F120" s="5">
        <v>5</v>
      </c>
      <c r="G120" s="5">
        <v>6</v>
      </c>
      <c r="H120" s="5">
        <v>7</v>
      </c>
      <c r="I120" s="5">
        <v>8</v>
      </c>
      <c r="J120" s="5">
        <v>9</v>
      </c>
      <c r="K120" s="5">
        <v>10</v>
      </c>
    </row>
    <row r="121" spans="1:15" x14ac:dyDescent="0.3">
      <c r="A121" s="6" t="s">
        <v>99</v>
      </c>
      <c r="B121" s="12">
        <f>B103/2</f>
        <v>22.805</v>
      </c>
      <c r="C121" s="12">
        <f t="shared" ref="C121:K121" si="3">C103/2</f>
        <v>29.27</v>
      </c>
      <c r="D121" s="12">
        <f t="shared" si="3"/>
        <v>29.27</v>
      </c>
      <c r="E121" s="12">
        <f t="shared" si="3"/>
        <v>29.27</v>
      </c>
      <c r="F121" s="12">
        <f t="shared" si="3"/>
        <v>24.725000000000001</v>
      </c>
      <c r="G121" s="12">
        <f t="shared" si="3"/>
        <v>24.725000000000001</v>
      </c>
      <c r="H121" s="12">
        <f t="shared" si="3"/>
        <v>27.824999999999999</v>
      </c>
      <c r="I121" s="12">
        <f t="shared" si="3"/>
        <v>27.824999999999999</v>
      </c>
      <c r="J121" s="12">
        <f t="shared" si="3"/>
        <v>27.824999999999999</v>
      </c>
      <c r="K121" s="12">
        <f t="shared" si="3"/>
        <v>26.18</v>
      </c>
    </row>
    <row r="122" spans="1:15" x14ac:dyDescent="0.3">
      <c r="A122" s="6" t="s">
        <v>100</v>
      </c>
      <c r="B122" s="12">
        <f t="shared" ref="B122:K122" si="4">B104/2</f>
        <v>22.81</v>
      </c>
      <c r="C122" s="12">
        <f t="shared" si="4"/>
        <v>29.274999999999999</v>
      </c>
      <c r="D122" s="12">
        <f t="shared" si="4"/>
        <v>29.274999999999999</v>
      </c>
      <c r="E122" s="12">
        <f t="shared" si="4"/>
        <v>29.274999999999999</v>
      </c>
      <c r="F122" s="12">
        <f t="shared" si="4"/>
        <v>24.73</v>
      </c>
      <c r="G122" s="12">
        <f t="shared" si="4"/>
        <v>24.73</v>
      </c>
      <c r="H122" s="12">
        <f t="shared" si="4"/>
        <v>27.83</v>
      </c>
      <c r="I122" s="12">
        <f t="shared" si="4"/>
        <v>27.83</v>
      </c>
      <c r="J122" s="12">
        <f t="shared" si="4"/>
        <v>27.83</v>
      </c>
      <c r="K122" s="12">
        <f t="shared" si="4"/>
        <v>26.19</v>
      </c>
    </row>
    <row r="123" spans="1:15" x14ac:dyDescent="0.3">
      <c r="A123" s="6" t="s">
        <v>101</v>
      </c>
      <c r="B123" s="12">
        <f t="shared" ref="B123:K123" si="5">B105/2</f>
        <v>16.761333550347224</v>
      </c>
      <c r="C123" s="12">
        <f t="shared" si="5"/>
        <v>14.826611328125001</v>
      </c>
      <c r="D123" s="12">
        <f t="shared" si="5"/>
        <v>14.826611328125001</v>
      </c>
      <c r="E123" s="12">
        <f t="shared" si="5"/>
        <v>14.826611328125001</v>
      </c>
      <c r="F123" s="12">
        <f t="shared" si="5"/>
        <v>14.826611328125001</v>
      </c>
      <c r="G123" s="12">
        <f t="shared" si="5"/>
        <v>14.826611328125001</v>
      </c>
      <c r="H123" s="12">
        <f t="shared" si="5"/>
        <v>14.826611328125001</v>
      </c>
      <c r="I123" s="12">
        <f t="shared" si="5"/>
        <v>14.826611328125001</v>
      </c>
      <c r="J123" s="12">
        <f t="shared" si="5"/>
        <v>14.826611328125001</v>
      </c>
      <c r="K123" s="12">
        <f t="shared" si="5"/>
        <v>16.761333550347224</v>
      </c>
    </row>
    <row r="124" spans="1:15" x14ac:dyDescent="0.3">
      <c r="A124" s="6" t="s">
        <v>102</v>
      </c>
      <c r="B124" s="12">
        <f t="shared" ref="B124:K124" si="6">B106/2</f>
        <v>16.761333550347224</v>
      </c>
      <c r="C124" s="12">
        <f t="shared" si="6"/>
        <v>14.826611328125001</v>
      </c>
      <c r="D124" s="12">
        <f t="shared" si="6"/>
        <v>14.826611328125001</v>
      </c>
      <c r="E124" s="12">
        <f t="shared" si="6"/>
        <v>14.826611328125001</v>
      </c>
      <c r="F124" s="12">
        <f t="shared" si="6"/>
        <v>14.826611328125001</v>
      </c>
      <c r="G124" s="12">
        <f t="shared" si="6"/>
        <v>14.826611328125001</v>
      </c>
      <c r="H124" s="12">
        <f t="shared" si="6"/>
        <v>14.826611328125001</v>
      </c>
      <c r="I124" s="12">
        <f t="shared" si="6"/>
        <v>14.826611328125001</v>
      </c>
      <c r="J124" s="12">
        <f t="shared" si="6"/>
        <v>14.826611328125001</v>
      </c>
      <c r="K124" s="12">
        <f t="shared" si="6"/>
        <v>16.761333550347224</v>
      </c>
    </row>
    <row r="126" spans="1:15" x14ac:dyDescent="0.3">
      <c r="A126" s="24" t="s">
        <v>200</v>
      </c>
      <c r="B126" s="13">
        <f>B121+B123</f>
        <v>39.566333550347224</v>
      </c>
      <c r="C126" s="13">
        <f t="shared" ref="C126:O127" si="7">C121+C123</f>
        <v>44.096611328125</v>
      </c>
      <c r="D126" s="13">
        <f t="shared" si="7"/>
        <v>44.096611328125</v>
      </c>
      <c r="E126" s="13">
        <f t="shared" si="7"/>
        <v>44.096611328125</v>
      </c>
      <c r="F126" s="13">
        <f t="shared" si="7"/>
        <v>39.551611328125006</v>
      </c>
      <c r="G126" s="13">
        <f t="shared" si="7"/>
        <v>39.551611328125006</v>
      </c>
      <c r="H126" s="13">
        <f t="shared" si="7"/>
        <v>42.651611328125</v>
      </c>
      <c r="I126" s="13">
        <f t="shared" si="7"/>
        <v>42.651611328125</v>
      </c>
      <c r="J126" s="13">
        <f t="shared" si="7"/>
        <v>42.651611328125</v>
      </c>
      <c r="K126" s="13">
        <f t="shared" si="7"/>
        <v>42.941333550347224</v>
      </c>
      <c r="L126" s="13">
        <f t="shared" si="7"/>
        <v>0</v>
      </c>
      <c r="M126" s="13">
        <f t="shared" si="7"/>
        <v>0</v>
      </c>
      <c r="N126" s="13">
        <f t="shared" si="7"/>
        <v>0</v>
      </c>
      <c r="O126" s="13">
        <f t="shared" si="7"/>
        <v>0</v>
      </c>
    </row>
    <row r="127" spans="1:15" x14ac:dyDescent="0.3">
      <c r="A127" s="24" t="s">
        <v>201</v>
      </c>
      <c r="B127" s="13">
        <f>B122+B124</f>
        <v>39.571333550347219</v>
      </c>
      <c r="C127" s="13">
        <f t="shared" si="7"/>
        <v>44.101611328125003</v>
      </c>
      <c r="D127" s="13">
        <f t="shared" si="7"/>
        <v>44.101611328125003</v>
      </c>
      <c r="E127" s="13">
        <f t="shared" si="7"/>
        <v>44.101611328125003</v>
      </c>
      <c r="F127" s="13">
        <f t="shared" si="7"/>
        <v>39.556611328125001</v>
      </c>
      <c r="G127" s="13">
        <f t="shared" si="7"/>
        <v>39.556611328125001</v>
      </c>
      <c r="H127" s="13">
        <f t="shared" si="7"/>
        <v>42.656611328124995</v>
      </c>
      <c r="I127" s="13">
        <f t="shared" si="7"/>
        <v>42.656611328124995</v>
      </c>
      <c r="J127" s="13">
        <f t="shared" si="7"/>
        <v>42.656611328124995</v>
      </c>
      <c r="K127" s="13">
        <f t="shared" si="7"/>
        <v>42.951333550347229</v>
      </c>
      <c r="L127" s="13">
        <f t="shared" si="7"/>
        <v>0</v>
      </c>
      <c r="M127" s="13">
        <f t="shared" si="7"/>
        <v>0</v>
      </c>
      <c r="N127" s="13">
        <f t="shared" si="7"/>
        <v>0</v>
      </c>
      <c r="O127" s="13">
        <f t="shared" si="7"/>
        <v>0</v>
      </c>
    </row>
    <row r="129" spans="1:15" x14ac:dyDescent="0.3">
      <c r="A129" s="24" t="s">
        <v>199</v>
      </c>
      <c r="B129" s="13">
        <f>MAX(B126:O127)</f>
        <v>44.101611328125003</v>
      </c>
      <c r="C129" s="13" t="s">
        <v>43</v>
      </c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</row>
    <row r="130" spans="1:15" x14ac:dyDescent="0.3">
      <c r="B130" s="13"/>
      <c r="C130" s="13"/>
      <c r="D130" s="13"/>
      <c r="E130" s="13"/>
      <c r="F130" s="13"/>
      <c r="G130" s="13"/>
      <c r="H130" s="13"/>
      <c r="I130" s="13"/>
      <c r="J130" s="13"/>
      <c r="K130" s="13"/>
    </row>
  </sheetData>
  <mergeCells count="8">
    <mergeCell ref="G5:H5"/>
    <mergeCell ref="J5:K5"/>
    <mergeCell ref="B2:D2"/>
    <mergeCell ref="G1:K1"/>
    <mergeCell ref="G2:K2"/>
    <mergeCell ref="G3:K3"/>
    <mergeCell ref="G4:H4"/>
    <mergeCell ref="J4:K4"/>
  </mergeCells>
  <pageMargins left="0.7" right="0.7" top="0.75" bottom="0.75" header="0.3" footer="0.3"/>
  <pageSetup scale="3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711B6-A679-41F9-9C81-B3C630E9168B}">
  <sheetPr>
    <pageSetUpPr fitToPage="1"/>
  </sheetPr>
  <dimension ref="A1:O117"/>
  <sheetViews>
    <sheetView workbookViewId="0">
      <selection activeCell="I6" sqref="I6"/>
    </sheetView>
  </sheetViews>
  <sheetFormatPr defaultRowHeight="14.4" x14ac:dyDescent="0.3"/>
  <cols>
    <col min="1" max="1" width="31.21875" customWidth="1"/>
    <col min="3" max="3" width="9.5546875" customWidth="1"/>
    <col min="5" max="5" width="11.109375" bestFit="1" customWidth="1"/>
    <col min="6" max="6" width="9.88671875" customWidth="1"/>
    <col min="9" max="9" width="24.6640625" bestFit="1" customWidth="1"/>
    <col min="14" max="14" width="11.33203125" bestFit="1" customWidth="1"/>
  </cols>
  <sheetData>
    <row r="1" spans="1:14" x14ac:dyDescent="0.3">
      <c r="A1" s="7" t="s">
        <v>45</v>
      </c>
      <c r="C1" t="s">
        <v>61</v>
      </c>
      <c r="D1" t="s">
        <v>62</v>
      </c>
    </row>
    <row r="2" spans="1:14" x14ac:dyDescent="0.3">
      <c r="A2" s="2" t="s">
        <v>8</v>
      </c>
    </row>
    <row r="3" spans="1:14" x14ac:dyDescent="0.3">
      <c r="A3" t="s">
        <v>9</v>
      </c>
      <c r="B3" s="1" t="s">
        <v>12</v>
      </c>
      <c r="C3" s="1" t="s">
        <v>13</v>
      </c>
      <c r="D3" s="1" t="s">
        <v>14</v>
      </c>
      <c r="E3" s="1" t="s">
        <v>15</v>
      </c>
      <c r="F3" s="1" t="s">
        <v>16</v>
      </c>
      <c r="G3" s="1" t="s">
        <v>17</v>
      </c>
      <c r="H3" s="1" t="s">
        <v>18</v>
      </c>
      <c r="I3" s="1" t="s">
        <v>19</v>
      </c>
      <c r="J3" s="1" t="s">
        <v>20</v>
      </c>
      <c r="K3" s="1" t="s">
        <v>21</v>
      </c>
      <c r="L3" s="1"/>
    </row>
    <row r="4" spans="1:14" x14ac:dyDescent="0.3">
      <c r="A4" t="s">
        <v>10</v>
      </c>
      <c r="B4" s="5">
        <v>646.77</v>
      </c>
      <c r="C4" s="5">
        <v>646.88</v>
      </c>
      <c r="D4" s="5">
        <v>646.99</v>
      </c>
      <c r="E4" s="5">
        <v>647.1</v>
      </c>
      <c r="F4" s="5">
        <v>647.22</v>
      </c>
      <c r="G4" s="5">
        <v>647.1</v>
      </c>
      <c r="H4" s="5">
        <v>646.99</v>
      </c>
      <c r="I4" s="5">
        <v>646.87</v>
      </c>
      <c r="J4" s="5">
        <v>646.76</v>
      </c>
      <c r="K4" s="5">
        <v>640.29999999999995</v>
      </c>
      <c r="L4" s="1" t="s">
        <v>22</v>
      </c>
    </row>
    <row r="5" spans="1:14" x14ac:dyDescent="0.3">
      <c r="A5" t="s">
        <v>11</v>
      </c>
      <c r="B5" s="5">
        <v>646.55999999999995</v>
      </c>
      <c r="C5" s="5">
        <v>646.66999999999996</v>
      </c>
      <c r="D5" s="5">
        <v>646.78</v>
      </c>
      <c r="E5" s="5">
        <v>646.89</v>
      </c>
      <c r="F5" s="5">
        <v>647</v>
      </c>
      <c r="G5" s="5">
        <v>646.88</v>
      </c>
      <c r="H5" s="5">
        <v>646.77</v>
      </c>
      <c r="I5" s="5">
        <v>646.65</v>
      </c>
      <c r="J5" s="5">
        <v>646.54</v>
      </c>
      <c r="K5" s="5">
        <v>640.1</v>
      </c>
      <c r="L5" s="1" t="s">
        <v>22</v>
      </c>
    </row>
    <row r="6" spans="1:14" x14ac:dyDescent="0.3">
      <c r="A6" t="s">
        <v>114</v>
      </c>
      <c r="B6" s="6">
        <f>3+4+(6+1/16)/12+(3+1/8)/12</f>
        <v>7.765625</v>
      </c>
      <c r="C6" s="6">
        <f>3+4+(3+1/8)/12</f>
        <v>7.260416666666667</v>
      </c>
      <c r="D6" s="6">
        <f>3+4+(3+1/8)/12</f>
        <v>7.260416666666667</v>
      </c>
      <c r="E6" s="6">
        <f>3+4+(3+1/8)/12</f>
        <v>7.260416666666667</v>
      </c>
      <c r="F6" s="6">
        <f>2*(3+(6+1/16)/12)</f>
        <v>7.010416666666667</v>
      </c>
      <c r="G6" s="6">
        <f>3+4+(3+1/8)/12</f>
        <v>7.260416666666667</v>
      </c>
      <c r="H6" s="6">
        <f>3+4+(3+1/8)/12</f>
        <v>7.260416666666667</v>
      </c>
      <c r="I6" s="6">
        <f>3+4+(3+1/8)/12</f>
        <v>7.260416666666667</v>
      </c>
      <c r="J6" s="6">
        <f>4+3+(3+1/8)/12+(6+1/16)/12</f>
        <v>7.765625</v>
      </c>
      <c r="K6" s="17" t="s">
        <v>115</v>
      </c>
      <c r="L6" s="1" t="s">
        <v>22</v>
      </c>
    </row>
    <row r="7" spans="1:14" x14ac:dyDescent="0.3">
      <c r="A7" s="2" t="s">
        <v>23</v>
      </c>
    </row>
    <row r="8" spans="1:14" x14ac:dyDescent="0.3">
      <c r="A8" t="s">
        <v>25</v>
      </c>
      <c r="E8" s="3" t="s">
        <v>29</v>
      </c>
      <c r="F8" s="6">
        <f>35+(5+5/8)/12+35+(1+5/8)/12-(2+1/12)-(2+5/12)</f>
        <v>66.104166666666671</v>
      </c>
      <c r="G8" t="s">
        <v>22</v>
      </c>
      <c r="I8" t="s">
        <v>0</v>
      </c>
      <c r="J8" s="35" t="s">
        <v>7</v>
      </c>
      <c r="K8" s="35"/>
      <c r="L8" s="35"/>
      <c r="M8" s="35"/>
      <c r="N8" s="35"/>
    </row>
    <row r="9" spans="1:14" x14ac:dyDescent="0.3">
      <c r="A9" t="s">
        <v>26</v>
      </c>
      <c r="E9" s="3" t="s">
        <v>30</v>
      </c>
      <c r="F9" s="6">
        <f>2+1+9/12</f>
        <v>3.75</v>
      </c>
      <c r="G9" t="s">
        <v>22</v>
      </c>
      <c r="I9" t="s">
        <v>1</v>
      </c>
      <c r="J9" s="35"/>
      <c r="K9" s="35"/>
      <c r="L9" s="35"/>
      <c r="M9" s="35"/>
      <c r="N9" s="35"/>
    </row>
    <row r="10" spans="1:14" x14ac:dyDescent="0.3">
      <c r="A10" t="s">
        <v>27</v>
      </c>
      <c r="B10" t="s">
        <v>32</v>
      </c>
      <c r="E10" s="3" t="s">
        <v>31</v>
      </c>
      <c r="F10" s="6">
        <f>K4 + 3+3/12</f>
        <v>643.54999999999995</v>
      </c>
      <c r="G10" t="s">
        <v>22</v>
      </c>
      <c r="I10" t="s">
        <v>2</v>
      </c>
      <c r="J10" s="35" t="s">
        <v>170</v>
      </c>
      <c r="K10" s="35"/>
      <c r="L10" s="35"/>
      <c r="M10" s="35"/>
      <c r="N10" s="35"/>
    </row>
    <row r="11" spans="1:14" x14ac:dyDescent="0.3">
      <c r="A11" t="s">
        <v>28</v>
      </c>
      <c r="B11" t="s">
        <v>24</v>
      </c>
      <c r="E11" s="3" t="s">
        <v>34</v>
      </c>
      <c r="F11">
        <f>(B4*$B$6+C4*$C$6+D4*$D$6+E4*$E$6+F4*$F$6+G4*$G$6+H4*$H$6+I4*$I$6+J4*$J$6)/F8</f>
        <v>646.96042940434927</v>
      </c>
      <c r="G11" t="s">
        <v>22</v>
      </c>
      <c r="I11" t="s">
        <v>3</v>
      </c>
      <c r="J11" s="35" t="s">
        <v>4</v>
      </c>
      <c r="K11" s="35"/>
      <c r="L11" t="s">
        <v>5</v>
      </c>
      <c r="M11" s="37">
        <v>44964</v>
      </c>
      <c r="N11" s="37"/>
    </row>
    <row r="12" spans="1:14" x14ac:dyDescent="0.3">
      <c r="E12" s="3"/>
      <c r="I12" t="s">
        <v>6</v>
      </c>
      <c r="J12" s="35"/>
      <c r="K12" s="35"/>
      <c r="L12" t="s">
        <v>5</v>
      </c>
      <c r="M12" s="35"/>
      <c r="N12" s="35"/>
    </row>
    <row r="13" spans="1:14" x14ac:dyDescent="0.3">
      <c r="A13" t="s">
        <v>35</v>
      </c>
      <c r="E13" s="3" t="s">
        <v>36</v>
      </c>
      <c r="F13">
        <f>F8*F9*(F11-F10)</f>
        <v>845.4134765625297</v>
      </c>
      <c r="G13" t="s">
        <v>37</v>
      </c>
    </row>
    <row r="14" spans="1:14" x14ac:dyDescent="0.3">
      <c r="A14" t="s">
        <v>39</v>
      </c>
      <c r="E14" s="3" t="s">
        <v>40</v>
      </c>
      <c r="F14" s="6">
        <v>150</v>
      </c>
      <c r="G14" t="s">
        <v>41</v>
      </c>
      <c r="H14" t="s">
        <v>42</v>
      </c>
    </row>
    <row r="15" spans="1:14" x14ac:dyDescent="0.3">
      <c r="A15" t="s">
        <v>48</v>
      </c>
      <c r="E15" s="4" t="s">
        <v>59</v>
      </c>
      <c r="F15" s="10">
        <f>F13*F14</f>
        <v>126812.02148437945</v>
      </c>
      <c r="G15" t="s">
        <v>38</v>
      </c>
    </row>
    <row r="16" spans="1:14" x14ac:dyDescent="0.3">
      <c r="F16" s="10">
        <f>F15/1000</f>
        <v>126.81202148437946</v>
      </c>
      <c r="G16" t="s">
        <v>43</v>
      </c>
    </row>
    <row r="17" spans="1:12" x14ac:dyDescent="0.3">
      <c r="J17" s="3" t="s">
        <v>105</v>
      </c>
      <c r="K17" s="14">
        <f>8.25/12</f>
        <v>0.6875</v>
      </c>
      <c r="L17" t="s">
        <v>22</v>
      </c>
    </row>
    <row r="18" spans="1:12" x14ac:dyDescent="0.3">
      <c r="J18" s="3" t="s">
        <v>106</v>
      </c>
      <c r="K18" s="14">
        <f>2/12</f>
        <v>0.16666666666666666</v>
      </c>
      <c r="L18" t="s">
        <v>22</v>
      </c>
    </row>
    <row r="19" spans="1:12" x14ac:dyDescent="0.3">
      <c r="J19" s="3" t="s">
        <v>107</v>
      </c>
      <c r="K19" s="14">
        <v>3</v>
      </c>
      <c r="L19" t="s">
        <v>22</v>
      </c>
    </row>
    <row r="20" spans="1:12" x14ac:dyDescent="0.3">
      <c r="A20" s="2" t="s">
        <v>44</v>
      </c>
      <c r="J20" s="3" t="s">
        <v>108</v>
      </c>
      <c r="K20" s="14">
        <f>6/12</f>
        <v>0.5</v>
      </c>
      <c r="L20" t="s">
        <v>22</v>
      </c>
    </row>
    <row r="21" spans="1:12" x14ac:dyDescent="0.3">
      <c r="A21" t="s">
        <v>49</v>
      </c>
      <c r="E21" s="3" t="s">
        <v>53</v>
      </c>
      <c r="F21" s="6">
        <f>35+(5+5/8)/12+35+(1+5/8)/12-(2+1/12)-(2+5/12)</f>
        <v>66.104166666666671</v>
      </c>
      <c r="G21" t="s">
        <v>22</v>
      </c>
      <c r="J21" s="3" t="s">
        <v>109</v>
      </c>
      <c r="K21" s="14">
        <f>1.5/12</f>
        <v>0.125</v>
      </c>
      <c r="L21" t="s">
        <v>22</v>
      </c>
    </row>
    <row r="22" spans="1:12" x14ac:dyDescent="0.3">
      <c r="A22" t="s">
        <v>50</v>
      </c>
      <c r="E22" s="3" t="s">
        <v>54</v>
      </c>
      <c r="F22" s="6">
        <f>2+1+9/12</f>
        <v>3.75</v>
      </c>
      <c r="G22" t="s">
        <v>22</v>
      </c>
      <c r="I22" t="s">
        <v>112</v>
      </c>
      <c r="J22" s="13">
        <f>SUM(K17:K21)</f>
        <v>4.4791666666666661</v>
      </c>
      <c r="K22" t="s">
        <v>22</v>
      </c>
    </row>
    <row r="23" spans="1:12" x14ac:dyDescent="0.3">
      <c r="A23" t="s">
        <v>51</v>
      </c>
      <c r="B23" t="s">
        <v>32</v>
      </c>
      <c r="E23" s="3" t="s">
        <v>55</v>
      </c>
      <c r="F23" s="6">
        <f>K5 + 3+3/12</f>
        <v>643.35</v>
      </c>
      <c r="G23" t="s">
        <v>22</v>
      </c>
    </row>
    <row r="24" spans="1:12" x14ac:dyDescent="0.3">
      <c r="A24" t="s">
        <v>52</v>
      </c>
      <c r="B24" t="s">
        <v>24</v>
      </c>
      <c r="E24" s="3" t="s">
        <v>56</v>
      </c>
      <c r="F24">
        <f>(B5*$B$6+C5*$C$6+D5*$D$6+E5*$E$6+F5*$F$6+G5*$G$6+H5*$H$6+I5*$I$6+J5*$J$6)/F21</f>
        <v>646.74489914907019</v>
      </c>
      <c r="G24" t="s">
        <v>22</v>
      </c>
    </row>
    <row r="25" spans="1:12" x14ac:dyDescent="0.3">
      <c r="E25" s="3"/>
    </row>
    <row r="26" spans="1:12" x14ac:dyDescent="0.3">
      <c r="A26" t="s">
        <v>57</v>
      </c>
      <c r="E26" s="3" t="s">
        <v>58</v>
      </c>
      <c r="F26">
        <f>F21*F22*(F24-F23)</f>
        <v>841.56367187497278</v>
      </c>
      <c r="G26" t="s">
        <v>37</v>
      </c>
    </row>
    <row r="27" spans="1:12" x14ac:dyDescent="0.3">
      <c r="A27" t="s">
        <v>39</v>
      </c>
      <c r="E27" s="3" t="s">
        <v>40</v>
      </c>
      <c r="F27" s="6">
        <v>150</v>
      </c>
      <c r="G27" t="s">
        <v>41</v>
      </c>
      <c r="H27" t="s">
        <v>42</v>
      </c>
      <c r="I27" t="s">
        <v>33</v>
      </c>
    </row>
    <row r="28" spans="1:12" x14ac:dyDescent="0.3">
      <c r="A28" t="s">
        <v>47</v>
      </c>
      <c r="E28" s="4" t="s">
        <v>60</v>
      </c>
      <c r="F28" s="10">
        <f>F26*F27</f>
        <v>126234.55078124591</v>
      </c>
      <c r="G28" t="s">
        <v>38</v>
      </c>
    </row>
    <row r="29" spans="1:12" x14ac:dyDescent="0.3">
      <c r="E29" s="3"/>
      <c r="F29" s="10">
        <f>F28/1000</f>
        <v>126.23455078124591</v>
      </c>
      <c r="G29" t="s">
        <v>43</v>
      </c>
    </row>
    <row r="30" spans="1:12" x14ac:dyDescent="0.3">
      <c r="E30" s="3"/>
    </row>
    <row r="31" spans="1:12" x14ac:dyDescent="0.3">
      <c r="A31" s="2" t="s">
        <v>75</v>
      </c>
      <c r="E31" s="3"/>
    </row>
    <row r="32" spans="1:12" x14ac:dyDescent="0.3">
      <c r="A32" t="s">
        <v>63</v>
      </c>
      <c r="E32" s="3" t="s">
        <v>64</v>
      </c>
      <c r="F32" s="6">
        <v>1</v>
      </c>
    </row>
    <row r="33" spans="1:8" x14ac:dyDescent="0.3">
      <c r="E33" s="3"/>
    </row>
    <row r="34" spans="1:8" x14ac:dyDescent="0.3">
      <c r="A34" t="s">
        <v>65</v>
      </c>
      <c r="E34" s="3" t="s">
        <v>68</v>
      </c>
      <c r="F34" s="6">
        <f>3+3/12</f>
        <v>3.25</v>
      </c>
      <c r="G34" t="s">
        <v>22</v>
      </c>
    </row>
    <row r="35" spans="1:8" x14ac:dyDescent="0.3">
      <c r="A35" t="s">
        <v>66</v>
      </c>
      <c r="E35" s="3" t="s">
        <v>70</v>
      </c>
      <c r="F35" s="6">
        <v>6</v>
      </c>
      <c r="G35" t="s">
        <v>22</v>
      </c>
    </row>
    <row r="36" spans="1:8" x14ac:dyDescent="0.3">
      <c r="A36" t="s">
        <v>67</v>
      </c>
      <c r="E36" s="3" t="s">
        <v>69</v>
      </c>
      <c r="F36" s="6">
        <f>70+11.25/12</f>
        <v>70.9375</v>
      </c>
      <c r="G36" t="s">
        <v>22</v>
      </c>
    </row>
    <row r="37" spans="1:8" x14ac:dyDescent="0.3">
      <c r="A37" t="s">
        <v>39</v>
      </c>
      <c r="E37" s="3" t="s">
        <v>40</v>
      </c>
      <c r="F37" s="6">
        <v>150</v>
      </c>
      <c r="G37" t="s">
        <v>41</v>
      </c>
      <c r="H37" t="s">
        <v>42</v>
      </c>
    </row>
    <row r="38" spans="1:8" x14ac:dyDescent="0.3">
      <c r="A38" t="s">
        <v>71</v>
      </c>
      <c r="E38" s="3" t="s">
        <v>72</v>
      </c>
      <c r="F38">
        <f>F34*F35*F36*F32</f>
        <v>1383.28125</v>
      </c>
      <c r="G38" t="s">
        <v>37</v>
      </c>
    </row>
    <row r="39" spans="1:8" x14ac:dyDescent="0.3">
      <c r="A39" t="s">
        <v>73</v>
      </c>
      <c r="E39" s="3" t="s">
        <v>74</v>
      </c>
      <c r="F39" s="10">
        <f>F38*F37</f>
        <v>207492.1875</v>
      </c>
      <c r="G39" t="s">
        <v>38</v>
      </c>
    </row>
    <row r="40" spans="1:8" x14ac:dyDescent="0.3">
      <c r="E40" s="3"/>
      <c r="F40" s="10">
        <f>F39/1000</f>
        <v>207.4921875</v>
      </c>
      <c r="G40" t="s">
        <v>43</v>
      </c>
    </row>
    <row r="41" spans="1:8" x14ac:dyDescent="0.3">
      <c r="E41" s="3"/>
    </row>
    <row r="42" spans="1:8" x14ac:dyDescent="0.3">
      <c r="E42" s="3"/>
    </row>
    <row r="43" spans="1:8" x14ac:dyDescent="0.3">
      <c r="E43" s="3"/>
    </row>
    <row r="45" spans="1:8" x14ac:dyDescent="0.3">
      <c r="A45" s="2" t="s">
        <v>171</v>
      </c>
    </row>
    <row r="46" spans="1:8" x14ac:dyDescent="0.3">
      <c r="A46" s="8" t="s">
        <v>178</v>
      </c>
      <c r="E46" s="3"/>
    </row>
    <row r="47" spans="1:8" x14ac:dyDescent="0.3">
      <c r="E47" s="3"/>
    </row>
    <row r="48" spans="1:8" x14ac:dyDescent="0.3">
      <c r="A48" t="s">
        <v>184</v>
      </c>
      <c r="E48" s="3" t="s">
        <v>76</v>
      </c>
      <c r="F48" s="13">
        <f>J22</f>
        <v>4.4791666666666661</v>
      </c>
      <c r="G48" t="s">
        <v>22</v>
      </c>
    </row>
    <row r="49" spans="1:8" x14ac:dyDescent="0.3">
      <c r="A49" t="s">
        <v>172</v>
      </c>
      <c r="E49" s="3" t="s">
        <v>80</v>
      </c>
      <c r="F49" s="6">
        <f>1.75</f>
        <v>1.75</v>
      </c>
      <c r="G49" t="s">
        <v>22</v>
      </c>
    </row>
    <row r="50" spans="1:8" x14ac:dyDescent="0.3">
      <c r="A50" s="9" t="s">
        <v>77</v>
      </c>
      <c r="E50" s="3"/>
    </row>
    <row r="51" spans="1:8" x14ac:dyDescent="0.3">
      <c r="E51" s="3"/>
    </row>
    <row r="52" spans="1:8" x14ac:dyDescent="0.3">
      <c r="A52" t="s">
        <v>78</v>
      </c>
      <c r="E52" s="3" t="s">
        <v>79</v>
      </c>
      <c r="F52" s="6">
        <f>6/12</f>
        <v>0.5</v>
      </c>
      <c r="G52" t="s">
        <v>22</v>
      </c>
    </row>
    <row r="53" spans="1:8" x14ac:dyDescent="0.3">
      <c r="E53" s="3"/>
    </row>
    <row r="54" spans="1:8" x14ac:dyDescent="0.3">
      <c r="A54" t="s">
        <v>173</v>
      </c>
      <c r="E54" s="3" t="s">
        <v>81</v>
      </c>
      <c r="F54" s="6">
        <f>F8- 2+1/8/12</f>
        <v>64.114583333333343</v>
      </c>
      <c r="G54" t="s">
        <v>22</v>
      </c>
    </row>
    <row r="55" spans="1:8" x14ac:dyDescent="0.3">
      <c r="A55" t="s">
        <v>39</v>
      </c>
      <c r="E55" s="3" t="s">
        <v>40</v>
      </c>
      <c r="F55" s="6">
        <v>150</v>
      </c>
      <c r="G55" t="s">
        <v>41</v>
      </c>
      <c r="H55" t="s">
        <v>42</v>
      </c>
    </row>
    <row r="56" spans="1:8" x14ac:dyDescent="0.3">
      <c r="A56" t="s">
        <v>82</v>
      </c>
      <c r="E56" s="3" t="s">
        <v>83</v>
      </c>
      <c r="F56">
        <f>F54*F49*F48-F54*F52*F48</f>
        <v>358.97488064236109</v>
      </c>
      <c r="G56" t="s">
        <v>37</v>
      </c>
    </row>
    <row r="57" spans="1:8" x14ac:dyDescent="0.3">
      <c r="A57" t="s">
        <v>73</v>
      </c>
      <c r="E57" s="3" t="s">
        <v>74</v>
      </c>
      <c r="F57" s="10">
        <f>F56*F55</f>
        <v>53846.232096354164</v>
      </c>
      <c r="G57" t="s">
        <v>38</v>
      </c>
    </row>
    <row r="58" spans="1:8" x14ac:dyDescent="0.3">
      <c r="E58" s="3"/>
      <c r="F58" s="10">
        <f>F57/1000</f>
        <v>53.846232096354164</v>
      </c>
      <c r="G58" t="s">
        <v>43</v>
      </c>
    </row>
    <row r="59" spans="1:8" x14ac:dyDescent="0.3">
      <c r="E59" s="3"/>
    </row>
    <row r="60" spans="1:8" x14ac:dyDescent="0.3">
      <c r="E60" s="3"/>
    </row>
    <row r="61" spans="1:8" x14ac:dyDescent="0.3">
      <c r="E61" s="3"/>
    </row>
    <row r="64" spans="1:8" x14ac:dyDescent="0.3">
      <c r="A64" s="8" t="s">
        <v>179</v>
      </c>
      <c r="E64" s="3"/>
    </row>
    <row r="65" spans="1:11" x14ac:dyDescent="0.3">
      <c r="E65" s="3"/>
    </row>
    <row r="66" spans="1:11" x14ac:dyDescent="0.3">
      <c r="A66" t="s">
        <v>184</v>
      </c>
      <c r="E66" s="3" t="s">
        <v>76</v>
      </c>
      <c r="F66">
        <f>F48</f>
        <v>4.4791666666666661</v>
      </c>
      <c r="G66" t="s">
        <v>22</v>
      </c>
    </row>
    <row r="67" spans="1:11" x14ac:dyDescent="0.3">
      <c r="A67" t="s">
        <v>172</v>
      </c>
      <c r="E67" s="3" t="s">
        <v>80</v>
      </c>
      <c r="F67" s="6">
        <f>1.75</f>
        <v>1.75</v>
      </c>
      <c r="G67" t="s">
        <v>22</v>
      </c>
    </row>
    <row r="68" spans="1:11" x14ac:dyDescent="0.3">
      <c r="A68" s="9" t="s">
        <v>77</v>
      </c>
      <c r="E68" s="3"/>
    </row>
    <row r="69" spans="1:11" x14ac:dyDescent="0.3">
      <c r="E69" s="3"/>
    </row>
    <row r="70" spans="1:11" x14ac:dyDescent="0.3">
      <c r="A70" t="s">
        <v>78</v>
      </c>
      <c r="E70" s="3" t="s">
        <v>79</v>
      </c>
      <c r="F70" s="6">
        <f>6/12</f>
        <v>0.5</v>
      </c>
      <c r="G70" t="s">
        <v>22</v>
      </c>
    </row>
    <row r="71" spans="1:11" x14ac:dyDescent="0.3">
      <c r="E71" s="3"/>
    </row>
    <row r="72" spans="1:11" x14ac:dyDescent="0.3">
      <c r="A72" t="s">
        <v>173</v>
      </c>
      <c r="E72" s="3" t="s">
        <v>81</v>
      </c>
      <c r="F72" s="6">
        <f>F21- 2+1/8/12</f>
        <v>64.114583333333343</v>
      </c>
      <c r="G72" t="s">
        <v>22</v>
      </c>
    </row>
    <row r="73" spans="1:11" x14ac:dyDescent="0.3">
      <c r="A73" t="s">
        <v>39</v>
      </c>
      <c r="E73" s="3" t="s">
        <v>40</v>
      </c>
      <c r="F73" s="6">
        <v>150</v>
      </c>
      <c r="G73" t="s">
        <v>41</v>
      </c>
      <c r="H73" t="s">
        <v>42</v>
      </c>
    </row>
    <row r="74" spans="1:11" x14ac:dyDescent="0.3">
      <c r="A74" t="s">
        <v>82</v>
      </c>
      <c r="E74" s="3" t="s">
        <v>83</v>
      </c>
      <c r="F74">
        <f>F72*F67*F66-F72*F70*F66</f>
        <v>358.97488064236109</v>
      </c>
      <c r="G74" t="s">
        <v>37</v>
      </c>
    </row>
    <row r="75" spans="1:11" x14ac:dyDescent="0.3">
      <c r="A75" t="s">
        <v>73</v>
      </c>
      <c r="E75" s="3" t="s">
        <v>74</v>
      </c>
      <c r="F75" s="10">
        <f>F74*F73</f>
        <v>53846.232096354164</v>
      </c>
      <c r="G75" t="s">
        <v>38</v>
      </c>
    </row>
    <row r="76" spans="1:11" x14ac:dyDescent="0.3">
      <c r="E76" s="3"/>
      <c r="F76" s="10">
        <f>F75/1000</f>
        <v>53.846232096354164</v>
      </c>
      <c r="G76" t="s">
        <v>43</v>
      </c>
    </row>
    <row r="77" spans="1:11" x14ac:dyDescent="0.3">
      <c r="E77" s="3"/>
    </row>
    <row r="78" spans="1:11" x14ac:dyDescent="0.3">
      <c r="E78" s="3"/>
    </row>
    <row r="79" spans="1:11" x14ac:dyDescent="0.3">
      <c r="A79" t="s">
        <v>165</v>
      </c>
      <c r="B79" s="5">
        <v>1</v>
      </c>
      <c r="C79" s="5">
        <v>2</v>
      </c>
      <c r="D79" s="5">
        <v>3</v>
      </c>
      <c r="E79" s="5">
        <v>4</v>
      </c>
      <c r="F79" s="5">
        <v>5</v>
      </c>
      <c r="G79" s="5">
        <v>6</v>
      </c>
      <c r="H79" s="5">
        <v>7</v>
      </c>
      <c r="I79" s="5">
        <v>8</v>
      </c>
      <c r="J79" s="5">
        <v>9</v>
      </c>
      <c r="K79" s="5">
        <v>10</v>
      </c>
    </row>
    <row r="80" spans="1:11" x14ac:dyDescent="0.3">
      <c r="A80" s="24" t="s">
        <v>175</v>
      </c>
      <c r="B80" s="13">
        <f>$F$16*B6/$F$8</f>
        <v>14.897315161771964</v>
      </c>
      <c r="C80" s="13">
        <f t="shared" ref="C80:J80" si="0">$F$16*((C6+B6)/2)/$F$8</f>
        <v>14.412727780587565</v>
      </c>
      <c r="D80" s="13">
        <f t="shared" si="0"/>
        <v>13.928140399403164</v>
      </c>
      <c r="E80" s="13">
        <f t="shared" si="0"/>
        <v>13.928140399403164</v>
      </c>
      <c r="F80" s="13">
        <f t="shared" si="0"/>
        <v>13.688344581909853</v>
      </c>
      <c r="G80" s="13">
        <f t="shared" si="0"/>
        <v>13.688344581909853</v>
      </c>
      <c r="H80" s="13">
        <f t="shared" si="0"/>
        <v>13.928140399403164</v>
      </c>
      <c r="I80" s="13">
        <f t="shared" si="0"/>
        <v>13.928140399403164</v>
      </c>
      <c r="J80" s="13">
        <f t="shared" si="0"/>
        <v>14.412727780587565</v>
      </c>
      <c r="K80" s="13">
        <f>$F$16*J6/$F$8</f>
        <v>14.897315161771964</v>
      </c>
    </row>
    <row r="81" spans="1:15" x14ac:dyDescent="0.3">
      <c r="A81" s="24" t="s">
        <v>176</v>
      </c>
      <c r="B81" s="13">
        <f>$F$29*B6/$F$8</f>
        <v>14.82947645878015</v>
      </c>
      <c r="C81" s="13">
        <f>$F$29*((C6+B6)/2)/$F$8</f>
        <v>14.347095769141761</v>
      </c>
      <c r="D81" s="13">
        <f t="shared" ref="D81:J81" si="1">$F$29*((D6+C6)/2)/$F$8</f>
        <v>13.864715079503371</v>
      </c>
      <c r="E81" s="13">
        <f t="shared" si="1"/>
        <v>13.864715079503371</v>
      </c>
      <c r="F81" s="13">
        <f t="shared" si="1"/>
        <v>13.626011233084377</v>
      </c>
      <c r="G81" s="13">
        <f t="shared" si="1"/>
        <v>13.626011233084377</v>
      </c>
      <c r="H81" s="13">
        <f t="shared" si="1"/>
        <v>13.864715079503371</v>
      </c>
      <c r="I81" s="13">
        <f t="shared" si="1"/>
        <v>13.864715079503371</v>
      </c>
      <c r="J81" s="13">
        <f t="shared" si="1"/>
        <v>14.347095769141761</v>
      </c>
      <c r="K81" s="13">
        <f>$F$29*J6/$F$8</f>
        <v>14.82947645878015</v>
      </c>
    </row>
    <row r="82" spans="1:15" x14ac:dyDescent="0.3">
      <c r="A82" s="24" t="s">
        <v>168</v>
      </c>
      <c r="B82" s="13">
        <f>$F$40*B6/$F$8</f>
        <v>24.375264068901668</v>
      </c>
      <c r="C82" s="13">
        <f>$F$40*((C6+B6)/2)/$F$8</f>
        <v>23.582373185372678</v>
      </c>
      <c r="D82" s="13">
        <f t="shared" ref="D82:J82" si="2">$F$40*((D6+C6)/2)/$F$8</f>
        <v>22.78948230184368</v>
      </c>
      <c r="E82" s="13">
        <f t="shared" si="2"/>
        <v>22.78948230184368</v>
      </c>
      <c r="F82" s="13">
        <f t="shared" si="2"/>
        <v>22.397123926489126</v>
      </c>
      <c r="G82" s="13">
        <f t="shared" si="2"/>
        <v>22.397123926489126</v>
      </c>
      <c r="H82" s="13">
        <f t="shared" si="2"/>
        <v>22.78948230184368</v>
      </c>
      <c r="I82" s="13">
        <f t="shared" si="2"/>
        <v>22.78948230184368</v>
      </c>
      <c r="J82" s="13">
        <f t="shared" si="2"/>
        <v>23.582373185372678</v>
      </c>
      <c r="K82" s="13">
        <f>$F$40*J6/$F$8</f>
        <v>24.375264068901668</v>
      </c>
    </row>
    <row r="83" spans="1:15" x14ac:dyDescent="0.3">
      <c r="A83" s="24" t="s">
        <v>174</v>
      </c>
      <c r="B83" s="13">
        <f>$F$76*B6/$F$8</f>
        <v>6.32561708601198</v>
      </c>
      <c r="C83" s="13">
        <f>$F$76*((C6+B6)/2)/$F$8</f>
        <v>6.1198542230531743</v>
      </c>
      <c r="D83" s="13">
        <f t="shared" ref="D83:J83" si="3">$F$76*((D6+C6)/2)/$F$8</f>
        <v>5.9140913600943668</v>
      </c>
      <c r="E83" s="13">
        <f t="shared" si="3"/>
        <v>5.9140913600943668</v>
      </c>
      <c r="F83" s="13">
        <f t="shared" si="3"/>
        <v>5.8122705619291839</v>
      </c>
      <c r="G83" s="13">
        <f t="shared" si="3"/>
        <v>5.8122705619291839</v>
      </c>
      <c r="H83" s="13">
        <f t="shared" si="3"/>
        <v>5.9140913600943668</v>
      </c>
      <c r="I83" s="13">
        <f t="shared" si="3"/>
        <v>5.9140913600943668</v>
      </c>
      <c r="J83" s="13">
        <f t="shared" si="3"/>
        <v>6.1198542230531743</v>
      </c>
      <c r="K83" s="13">
        <f>$F$76*J6/$F$8</f>
        <v>6.32561708601198</v>
      </c>
    </row>
    <row r="85" spans="1:15" x14ac:dyDescent="0.3">
      <c r="A85" s="24" t="s">
        <v>196</v>
      </c>
      <c r="B85" s="13">
        <f>MAX(B80+B82+B83,B81+B82+B83)</f>
        <v>45.598196316685609</v>
      </c>
      <c r="C85" s="13">
        <f t="shared" ref="C85:K85" si="4">MAX(C80+C82+C83,C81+C82+C83)</f>
        <v>44.114955189013415</v>
      </c>
      <c r="D85" s="13">
        <f t="shared" si="4"/>
        <v>42.631714061341214</v>
      </c>
      <c r="E85" s="13">
        <f t="shared" si="4"/>
        <v>42.631714061341214</v>
      </c>
      <c r="F85" s="13">
        <f t="shared" si="4"/>
        <v>41.897739070328157</v>
      </c>
      <c r="G85" s="13">
        <f t="shared" si="4"/>
        <v>41.897739070328157</v>
      </c>
      <c r="H85" s="13">
        <f t="shared" si="4"/>
        <v>42.631714061341214</v>
      </c>
      <c r="I85" s="13">
        <f t="shared" si="4"/>
        <v>42.631714061341214</v>
      </c>
      <c r="J85" s="13">
        <f t="shared" si="4"/>
        <v>44.114955189013415</v>
      </c>
      <c r="K85" s="13">
        <f t="shared" si="4"/>
        <v>45.598196316685609</v>
      </c>
      <c r="L85" s="13"/>
      <c r="M85" s="13"/>
      <c r="N85" s="13"/>
      <c r="O85" s="13"/>
    </row>
    <row r="86" spans="1:15" x14ac:dyDescent="0.3">
      <c r="A86" s="24" t="s">
        <v>198</v>
      </c>
      <c r="B86" s="13">
        <f>MAX(B85:K85)</f>
        <v>45.598196316685609</v>
      </c>
    </row>
    <row r="87" spans="1:15" x14ac:dyDescent="0.3">
      <c r="A87" s="24" t="s">
        <v>197</v>
      </c>
      <c r="B87">
        <f>B86/2</f>
        <v>22.799098158342805</v>
      </c>
    </row>
    <row r="89" spans="1:15" x14ac:dyDescent="0.3">
      <c r="A89" s="3"/>
      <c r="B89" s="13"/>
      <c r="E89" s="3"/>
    </row>
    <row r="90" spans="1:15" x14ac:dyDescent="0.3">
      <c r="A90" s="3"/>
      <c r="B90" s="13"/>
      <c r="E90" s="3"/>
    </row>
    <row r="91" spans="1:15" x14ac:dyDescent="0.3">
      <c r="A91" s="3"/>
      <c r="B91" s="13"/>
      <c r="E91" s="3"/>
    </row>
    <row r="92" spans="1:15" x14ac:dyDescent="0.3">
      <c r="A92" s="3"/>
      <c r="B92" s="13"/>
      <c r="E92" s="3"/>
    </row>
    <row r="93" spans="1:15" x14ac:dyDescent="0.3">
      <c r="A93" s="3"/>
      <c r="B93" s="13"/>
      <c r="E93" s="3"/>
    </row>
    <row r="94" spans="1:15" x14ac:dyDescent="0.3">
      <c r="A94" s="3"/>
      <c r="E94" s="3"/>
    </row>
    <row r="95" spans="1:15" x14ac:dyDescent="0.3">
      <c r="A95" s="3"/>
      <c r="E95" s="3"/>
    </row>
    <row r="96" spans="1:15" x14ac:dyDescent="0.3">
      <c r="A96" s="3"/>
    </row>
    <row r="97" spans="1:12" x14ac:dyDescent="0.3">
      <c r="A97" s="3"/>
    </row>
    <row r="98" spans="1:12" x14ac:dyDescent="0.3">
      <c r="A98" s="2"/>
    </row>
    <row r="99" spans="1:12" x14ac:dyDescent="0.3">
      <c r="A99" s="2"/>
    </row>
    <row r="100" spans="1:12" x14ac:dyDescent="0.3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x14ac:dyDescent="0.3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x14ac:dyDescent="0.3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4" spans="1:12" x14ac:dyDescent="0.3">
      <c r="A104" s="2"/>
    </row>
    <row r="105" spans="1:12" x14ac:dyDescent="0.3">
      <c r="E105" s="3"/>
    </row>
    <row r="106" spans="1:12" x14ac:dyDescent="0.3">
      <c r="E106" s="3"/>
    </row>
    <row r="107" spans="1:12" x14ac:dyDescent="0.3">
      <c r="E107" s="3"/>
    </row>
    <row r="117" spans="1:1" x14ac:dyDescent="0.3">
      <c r="A117" s="2"/>
    </row>
  </sheetData>
  <mergeCells count="7">
    <mergeCell ref="J8:N8"/>
    <mergeCell ref="J9:N9"/>
    <mergeCell ref="J12:K12"/>
    <mergeCell ref="J11:K11"/>
    <mergeCell ref="J10:N10"/>
    <mergeCell ref="M11:N11"/>
    <mergeCell ref="M12:N12"/>
  </mergeCells>
  <pageMargins left="0.7" right="0.7" top="0.75" bottom="0.75" header="0.3" footer="0.3"/>
  <pageSetup scale="50" fitToHeight="0" orientation="portrait" r:id="rId1"/>
  <ignoredErrors>
    <ignoredError sqref="F6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B0644-BE7F-4907-81CB-859510999100}">
  <sheetPr>
    <pageSetUpPr fitToPage="1"/>
  </sheetPr>
  <dimension ref="A1:P130"/>
  <sheetViews>
    <sheetView topLeftCell="A76" workbookViewId="0">
      <selection activeCell="C18" sqref="C18"/>
    </sheetView>
  </sheetViews>
  <sheetFormatPr defaultRowHeight="14.4" x14ac:dyDescent="0.3"/>
  <cols>
    <col min="1" max="1" width="31.21875" bestFit="1" customWidth="1"/>
    <col min="10" max="10" width="11.33203125" bestFit="1" customWidth="1"/>
  </cols>
  <sheetData>
    <row r="1" spans="1:15" x14ac:dyDescent="0.3">
      <c r="A1" s="2" t="s">
        <v>116</v>
      </c>
      <c r="J1" t="s">
        <v>0</v>
      </c>
      <c r="K1" s="35" t="s">
        <v>7</v>
      </c>
      <c r="L1" s="35"/>
      <c r="M1" s="35"/>
      <c r="N1" s="35"/>
      <c r="O1" s="35"/>
    </row>
    <row r="2" spans="1:15" x14ac:dyDescent="0.3">
      <c r="B2" s="36"/>
      <c r="C2" s="36"/>
      <c r="D2" s="36"/>
      <c r="J2" t="s">
        <v>1</v>
      </c>
      <c r="K2" s="35"/>
      <c r="L2" s="35"/>
      <c r="M2" s="35"/>
      <c r="N2" s="35"/>
      <c r="O2" s="35"/>
    </row>
    <row r="3" spans="1:15" x14ac:dyDescent="0.3">
      <c r="B3" s="25"/>
      <c r="C3" s="25"/>
      <c r="D3" s="25"/>
      <c r="J3" t="s">
        <v>2</v>
      </c>
      <c r="K3" s="35" t="s">
        <v>185</v>
      </c>
      <c r="L3" s="35"/>
      <c r="M3" s="35"/>
      <c r="N3" s="35"/>
      <c r="O3" s="35"/>
    </row>
    <row r="4" spans="1:15" x14ac:dyDescent="0.3">
      <c r="B4" s="26"/>
      <c r="C4" s="25"/>
      <c r="D4" s="25"/>
      <c r="J4" t="s">
        <v>3</v>
      </c>
      <c r="K4" s="35" t="s">
        <v>4</v>
      </c>
      <c r="L4" s="35"/>
      <c r="M4" t="s">
        <v>5</v>
      </c>
      <c r="N4" s="37">
        <v>44964</v>
      </c>
      <c r="O4" s="37"/>
    </row>
    <row r="5" spans="1:15" x14ac:dyDescent="0.3">
      <c r="B5" s="27"/>
      <c r="C5" s="28"/>
      <c r="D5" s="16"/>
      <c r="J5" t="s">
        <v>6</v>
      </c>
      <c r="K5" s="35"/>
      <c r="L5" s="35"/>
      <c r="M5" t="s">
        <v>5</v>
      </c>
      <c r="N5" s="35"/>
      <c r="O5" s="35"/>
    </row>
    <row r="6" spans="1:15" x14ac:dyDescent="0.3">
      <c r="B6" s="27"/>
      <c r="C6" s="28"/>
      <c r="D6" s="29"/>
    </row>
    <row r="7" spans="1:15" x14ac:dyDescent="0.3">
      <c r="B7" s="27"/>
      <c r="C7" s="28"/>
      <c r="D7" s="29"/>
    </row>
    <row r="8" spans="1:15" x14ac:dyDescent="0.3">
      <c r="B8" s="27"/>
      <c r="C8" s="30"/>
      <c r="D8" s="25"/>
    </row>
    <row r="9" spans="1:15" x14ac:dyDescent="0.3">
      <c r="B9" s="27"/>
      <c r="C9" s="30"/>
      <c r="D9" s="25"/>
    </row>
    <row r="10" spans="1:15" x14ac:dyDescent="0.3">
      <c r="B10" s="27"/>
      <c r="C10" s="31"/>
      <c r="D10" s="25"/>
    </row>
    <row r="11" spans="1:15" x14ac:dyDescent="0.3">
      <c r="H11" s="16"/>
    </row>
    <row r="12" spans="1:15" x14ac:dyDescent="0.3">
      <c r="B12" s="27"/>
    </row>
    <row r="14" spans="1:15" x14ac:dyDescent="0.3">
      <c r="E14" s="15"/>
      <c r="F14" s="16"/>
      <c r="H14" s="1"/>
      <c r="I14" s="1"/>
      <c r="J14" s="1"/>
      <c r="K14" s="1"/>
      <c r="L14" s="1"/>
    </row>
    <row r="15" spans="1:15" x14ac:dyDescent="0.3">
      <c r="D15" s="3"/>
      <c r="E15" s="15"/>
      <c r="F15" s="16"/>
      <c r="H15" s="1"/>
      <c r="I15" s="1"/>
      <c r="J15" s="1"/>
      <c r="K15" s="1"/>
      <c r="L15" s="1"/>
    </row>
    <row r="16" spans="1:15" x14ac:dyDescent="0.3">
      <c r="E16" s="15"/>
      <c r="F16" s="16"/>
      <c r="H16" s="1"/>
      <c r="I16" s="1"/>
      <c r="J16" s="1"/>
      <c r="K16" s="1"/>
      <c r="L16" s="1"/>
    </row>
    <row r="17" spans="1:13" x14ac:dyDescent="0.3">
      <c r="C17">
        <f>0.9375*12</f>
        <v>11.25</v>
      </c>
      <c r="E17" s="15"/>
      <c r="F17" s="16"/>
    </row>
    <row r="18" spans="1:13" x14ac:dyDescent="0.3">
      <c r="E18" s="15"/>
      <c r="F18" s="16"/>
    </row>
    <row r="19" spans="1:13" x14ac:dyDescent="0.3">
      <c r="E19" s="15"/>
      <c r="F19" s="16"/>
    </row>
    <row r="20" spans="1:13" x14ac:dyDescent="0.3">
      <c r="A20" s="3" t="s">
        <v>188</v>
      </c>
      <c r="B20">
        <v>14</v>
      </c>
      <c r="E20" s="15"/>
      <c r="F20" s="16"/>
    </row>
    <row r="21" spans="1:13" x14ac:dyDescent="0.3">
      <c r="D21" s="3"/>
      <c r="E21" s="15"/>
      <c r="F21" s="16"/>
    </row>
    <row r="25" spans="1:13" x14ac:dyDescent="0.3">
      <c r="A25" t="s">
        <v>118</v>
      </c>
      <c r="B25">
        <f>8.25/12</f>
        <v>0.6875</v>
      </c>
      <c r="C25" t="s">
        <v>22</v>
      </c>
    </row>
    <row r="26" spans="1:13" x14ac:dyDescent="0.3">
      <c r="A26" t="s">
        <v>142</v>
      </c>
      <c r="B26">
        <f>'Existing Sup'!B26</f>
        <v>28.25</v>
      </c>
      <c r="C26" t="s">
        <v>22</v>
      </c>
      <c r="D26" t="s">
        <v>191</v>
      </c>
    </row>
    <row r="27" spans="1:13" x14ac:dyDescent="0.3">
      <c r="A27" t="s">
        <v>117</v>
      </c>
      <c r="B27">
        <f>90.9375</f>
        <v>90.9375</v>
      </c>
      <c r="C27" t="s">
        <v>22</v>
      </c>
      <c r="L27" s="1"/>
      <c r="M27" s="1"/>
    </row>
    <row r="28" spans="1:13" x14ac:dyDescent="0.3">
      <c r="L28" s="1"/>
      <c r="M28" s="1"/>
    </row>
    <row r="29" spans="1:13" x14ac:dyDescent="0.3">
      <c r="A29" t="s">
        <v>143</v>
      </c>
      <c r="B29">
        <f>B26*B25</f>
        <v>19.421875</v>
      </c>
      <c r="C29" t="s">
        <v>128</v>
      </c>
      <c r="D29" t="s">
        <v>145</v>
      </c>
      <c r="L29" s="1"/>
      <c r="M29" s="1"/>
    </row>
    <row r="30" spans="1:13" x14ac:dyDescent="0.3">
      <c r="A30" t="s">
        <v>144</v>
      </c>
      <c r="B30">
        <f>B29*B27</f>
        <v>1766.1767578125</v>
      </c>
      <c r="C30" t="s">
        <v>37</v>
      </c>
    </row>
    <row r="32" spans="1:13" x14ac:dyDescent="0.3">
      <c r="A32" t="s">
        <v>146</v>
      </c>
      <c r="B32">
        <f>B30*150</f>
        <v>264926.513671875</v>
      </c>
      <c r="C32" t="s">
        <v>38</v>
      </c>
    </row>
    <row r="33" spans="1:10" x14ac:dyDescent="0.3">
      <c r="B33">
        <f>B32/1000</f>
        <v>264.926513671875</v>
      </c>
      <c r="C33" t="s">
        <v>43</v>
      </c>
    </row>
    <row r="34" spans="1:10" x14ac:dyDescent="0.3">
      <c r="B34">
        <f>B33/14</f>
        <v>18.923322405133927</v>
      </c>
      <c r="D34" s="9" t="s">
        <v>177</v>
      </c>
      <c r="E34" s="22"/>
      <c r="G34" s="22"/>
      <c r="J34" s="22"/>
    </row>
    <row r="35" spans="1:10" x14ac:dyDescent="0.3">
      <c r="A35" t="s">
        <v>147</v>
      </c>
      <c r="B35">
        <f>B33*2</f>
        <v>529.85302734375</v>
      </c>
      <c r="C35" t="s">
        <v>43</v>
      </c>
    </row>
    <row r="36" spans="1:10" x14ac:dyDescent="0.3">
      <c r="B36">
        <f>B35/B20</f>
        <v>37.846644810267854</v>
      </c>
      <c r="C36" t="s">
        <v>43</v>
      </c>
    </row>
    <row r="37" spans="1:10" x14ac:dyDescent="0.3">
      <c r="B37" s="3" t="s">
        <v>105</v>
      </c>
      <c r="C37" s="14">
        <f>8.25/12</f>
        <v>0.6875</v>
      </c>
      <c r="D37" t="s">
        <v>22</v>
      </c>
    </row>
    <row r="38" spans="1:10" x14ac:dyDescent="0.3">
      <c r="B38" s="3" t="s">
        <v>106</v>
      </c>
      <c r="C38" s="14">
        <f>2/12</f>
        <v>0.16666666666666666</v>
      </c>
      <c r="D38" t="s">
        <v>22</v>
      </c>
    </row>
    <row r="39" spans="1:10" x14ac:dyDescent="0.3">
      <c r="B39" s="3" t="s">
        <v>107</v>
      </c>
      <c r="C39" s="14">
        <v>3</v>
      </c>
      <c r="D39" t="s">
        <v>22</v>
      </c>
    </row>
    <row r="40" spans="1:10" x14ac:dyDescent="0.3">
      <c r="B40" s="3" t="s">
        <v>108</v>
      </c>
      <c r="C40" s="14">
        <f>6/12</f>
        <v>0.5</v>
      </c>
      <c r="D40" t="s">
        <v>22</v>
      </c>
    </row>
    <row r="41" spans="1:10" x14ac:dyDescent="0.3">
      <c r="B41" s="3" t="s">
        <v>109</v>
      </c>
      <c r="C41" s="14">
        <f>2.773/12</f>
        <v>0.23108333333333334</v>
      </c>
      <c r="D41" t="s">
        <v>22</v>
      </c>
    </row>
    <row r="42" spans="1:10" x14ac:dyDescent="0.3">
      <c r="A42" s="3" t="s">
        <v>112</v>
      </c>
      <c r="B42" s="13">
        <f>SUM(C37:C41)</f>
        <v>4.5852499999999994</v>
      </c>
      <c r="C42" t="s">
        <v>22</v>
      </c>
    </row>
    <row r="43" spans="1:10" x14ac:dyDescent="0.3">
      <c r="B43" s="21"/>
      <c r="C43" s="18"/>
      <c r="D43" s="15"/>
    </row>
    <row r="44" spans="1:10" x14ac:dyDescent="0.3">
      <c r="B44" s="21"/>
      <c r="C44" s="18"/>
      <c r="D44" s="15"/>
    </row>
    <row r="45" spans="1:10" x14ac:dyDescent="0.3">
      <c r="B45" s="21"/>
      <c r="C45" s="18"/>
      <c r="D45" s="15"/>
    </row>
    <row r="46" spans="1:10" x14ac:dyDescent="0.3">
      <c r="B46" s="21"/>
      <c r="C46" s="18"/>
      <c r="D46" s="15"/>
    </row>
    <row r="47" spans="1:10" x14ac:dyDescent="0.3">
      <c r="A47" s="2" t="s">
        <v>119</v>
      </c>
      <c r="B47" s="21"/>
      <c r="C47" s="18"/>
      <c r="D47" s="15"/>
      <c r="E47" s="16"/>
      <c r="F47" s="19"/>
      <c r="G47" s="19"/>
    </row>
    <row r="48" spans="1:10" x14ac:dyDescent="0.3">
      <c r="A48" s="9" t="s">
        <v>152</v>
      </c>
      <c r="B48" s="20"/>
      <c r="C48" s="18"/>
      <c r="D48" s="15"/>
      <c r="E48" s="16"/>
      <c r="F48" s="19"/>
      <c r="G48" s="19"/>
    </row>
    <row r="49" spans="1:7" x14ac:dyDescent="0.3">
      <c r="A49" s="23" t="s">
        <v>153</v>
      </c>
      <c r="E49" s="16"/>
      <c r="F49" s="19"/>
      <c r="G49" s="19"/>
    </row>
    <row r="50" spans="1:7" x14ac:dyDescent="0.3">
      <c r="A50" s="3" t="s">
        <v>130</v>
      </c>
      <c r="B50" s="3">
        <f>1*(3+6/12)</f>
        <v>3.5</v>
      </c>
      <c r="C50" t="s">
        <v>128</v>
      </c>
      <c r="E50" s="16"/>
      <c r="F50" s="19"/>
      <c r="G50" s="19"/>
    </row>
    <row r="51" spans="1:7" x14ac:dyDescent="0.3">
      <c r="A51" s="3" t="s">
        <v>131</v>
      </c>
      <c r="B51" s="3">
        <f>B50*B26</f>
        <v>98.875</v>
      </c>
      <c r="C51" t="s">
        <v>37</v>
      </c>
      <c r="E51" s="16"/>
      <c r="F51" s="19"/>
      <c r="G51" s="19"/>
    </row>
    <row r="52" spans="1:7" x14ac:dyDescent="0.3">
      <c r="A52" s="3" t="s">
        <v>132</v>
      </c>
      <c r="C52">
        <v>150</v>
      </c>
      <c r="E52" s="16"/>
      <c r="F52" s="19"/>
      <c r="G52" s="19"/>
    </row>
    <row r="53" spans="1:7" x14ac:dyDescent="0.3">
      <c r="A53" s="3" t="s">
        <v>133</v>
      </c>
      <c r="B53">
        <f>C52*B51</f>
        <v>14831.25</v>
      </c>
      <c r="C53" t="s">
        <v>38</v>
      </c>
      <c r="E53" s="16"/>
      <c r="F53" s="19"/>
      <c r="G53" s="19"/>
    </row>
    <row r="54" spans="1:7" x14ac:dyDescent="0.3">
      <c r="A54" s="3"/>
      <c r="B54">
        <f>B53/1000</f>
        <v>14.831250000000001</v>
      </c>
      <c r="C54" t="s">
        <v>43</v>
      </c>
      <c r="E54" s="16"/>
      <c r="F54" s="19"/>
      <c r="G54" s="19"/>
    </row>
    <row r="55" spans="1:7" x14ac:dyDescent="0.3">
      <c r="A55" s="23" t="s">
        <v>154</v>
      </c>
      <c r="E55" s="16"/>
      <c r="F55" s="19"/>
      <c r="G55" s="19"/>
    </row>
    <row r="56" spans="1:7" x14ac:dyDescent="0.3">
      <c r="A56" s="3" t="s">
        <v>130</v>
      </c>
      <c r="B56" s="3">
        <f>0.5*(1.5+10/12)*(3.5)</f>
        <v>4.0833333333333339</v>
      </c>
      <c r="C56" t="s">
        <v>128</v>
      </c>
      <c r="E56" s="16"/>
      <c r="F56" s="19"/>
      <c r="G56" s="19"/>
    </row>
    <row r="57" spans="1:7" x14ac:dyDescent="0.3">
      <c r="A57" s="3" t="s">
        <v>131</v>
      </c>
      <c r="B57" s="3">
        <f>B56*B26</f>
        <v>115.35416666666669</v>
      </c>
      <c r="C57" t="s">
        <v>37</v>
      </c>
      <c r="E57" s="16"/>
      <c r="F57" s="19"/>
      <c r="G57" s="19"/>
    </row>
    <row r="58" spans="1:7" x14ac:dyDescent="0.3">
      <c r="A58" s="3" t="s">
        <v>132</v>
      </c>
      <c r="C58">
        <v>150</v>
      </c>
      <c r="E58" s="16"/>
      <c r="F58" s="19"/>
      <c r="G58" s="19"/>
    </row>
    <row r="59" spans="1:7" x14ac:dyDescent="0.3">
      <c r="A59" s="3" t="s">
        <v>133</v>
      </c>
      <c r="B59">
        <f>C58*B57</f>
        <v>17303.125000000004</v>
      </c>
      <c r="C59" t="s">
        <v>38</v>
      </c>
      <c r="E59" s="16"/>
      <c r="F59" s="19"/>
      <c r="G59" s="19"/>
    </row>
    <row r="60" spans="1:7" x14ac:dyDescent="0.3">
      <c r="A60" s="3"/>
      <c r="B60">
        <f>B59/1000</f>
        <v>17.303125000000005</v>
      </c>
      <c r="C60" t="s">
        <v>43</v>
      </c>
    </row>
    <row r="61" spans="1:7" x14ac:dyDescent="0.3">
      <c r="A61" s="3"/>
      <c r="B61">
        <f>B60/B20</f>
        <v>1.2359375000000004</v>
      </c>
      <c r="C61" t="s">
        <v>43</v>
      </c>
    </row>
    <row r="62" spans="1:7" x14ac:dyDescent="0.3">
      <c r="A62" s="9" t="s">
        <v>148</v>
      </c>
    </row>
    <row r="63" spans="1:7" x14ac:dyDescent="0.3">
      <c r="A63" s="3" t="s">
        <v>130</v>
      </c>
      <c r="B63" s="3">
        <f>0.5*(2+1+4/12)*(3.5)</f>
        <v>5.8333333333333339</v>
      </c>
      <c r="C63" t="s">
        <v>128</v>
      </c>
    </row>
    <row r="64" spans="1:7" x14ac:dyDescent="0.3">
      <c r="A64" s="3" t="s">
        <v>131</v>
      </c>
      <c r="B64" s="3">
        <f>B63*B26</f>
        <v>164.79166666666669</v>
      </c>
      <c r="C64" t="s">
        <v>37</v>
      </c>
    </row>
    <row r="65" spans="1:3" x14ac:dyDescent="0.3">
      <c r="A65" s="3" t="s">
        <v>132</v>
      </c>
      <c r="C65">
        <v>150</v>
      </c>
    </row>
    <row r="66" spans="1:3" x14ac:dyDescent="0.3">
      <c r="A66" s="3" t="s">
        <v>133</v>
      </c>
      <c r="B66">
        <f>C65*B64</f>
        <v>24718.750000000004</v>
      </c>
      <c r="C66" t="s">
        <v>38</v>
      </c>
    </row>
    <row r="67" spans="1:3" x14ac:dyDescent="0.3">
      <c r="A67" s="3"/>
      <c r="B67">
        <f>B66/1000</f>
        <v>24.718750000000004</v>
      </c>
      <c r="C67" t="s">
        <v>43</v>
      </c>
    </row>
    <row r="68" spans="1:3" x14ac:dyDescent="0.3">
      <c r="A68" s="3"/>
      <c r="B68">
        <f>B67/B20</f>
        <v>1.7656250000000002</v>
      </c>
      <c r="C68" t="s">
        <v>43</v>
      </c>
    </row>
    <row r="69" spans="1:3" x14ac:dyDescent="0.3">
      <c r="A69" s="3"/>
    </row>
    <row r="78" spans="1:3" x14ac:dyDescent="0.3">
      <c r="A78" s="2" t="s">
        <v>134</v>
      </c>
    </row>
    <row r="79" spans="1:3" x14ac:dyDescent="0.3">
      <c r="A79" s="9" t="s">
        <v>138</v>
      </c>
    </row>
    <row r="80" spans="1:3" x14ac:dyDescent="0.3">
      <c r="A80" s="3" t="s">
        <v>106</v>
      </c>
      <c r="B80">
        <f>2/12</f>
        <v>0.16666666666666666</v>
      </c>
      <c r="C80" t="s">
        <v>22</v>
      </c>
    </row>
    <row r="81" spans="1:3" x14ac:dyDescent="0.3">
      <c r="A81" s="3" t="s">
        <v>135</v>
      </c>
      <c r="B81">
        <f>12/12</f>
        <v>1</v>
      </c>
      <c r="C81" t="s">
        <v>22</v>
      </c>
    </row>
    <row r="82" spans="1:3" x14ac:dyDescent="0.3">
      <c r="A82" s="3" t="s">
        <v>136</v>
      </c>
      <c r="B82">
        <f>B81*B80</f>
        <v>0.16666666666666666</v>
      </c>
      <c r="C82" t="s">
        <v>128</v>
      </c>
    </row>
    <row r="83" spans="1:3" x14ac:dyDescent="0.3">
      <c r="A83" s="3"/>
    </row>
    <row r="84" spans="1:3" x14ac:dyDescent="0.3">
      <c r="A84" s="3" t="s">
        <v>137</v>
      </c>
      <c r="B84">
        <f>B82*B27</f>
        <v>15.15625</v>
      </c>
      <c r="C84" t="s">
        <v>37</v>
      </c>
    </row>
    <row r="85" spans="1:3" x14ac:dyDescent="0.3">
      <c r="A85" s="3" t="s">
        <v>132</v>
      </c>
      <c r="C85">
        <v>150</v>
      </c>
    </row>
    <row r="86" spans="1:3" x14ac:dyDescent="0.3">
      <c r="A86" s="3" t="s">
        <v>151</v>
      </c>
      <c r="B86">
        <f>C85*B84</f>
        <v>2273.4375</v>
      </c>
      <c r="C86" t="s">
        <v>38</v>
      </c>
    </row>
    <row r="87" spans="1:3" x14ac:dyDescent="0.3">
      <c r="A87" s="3"/>
      <c r="B87">
        <f>B86/1000</f>
        <v>2.2734375</v>
      </c>
      <c r="C87" t="s">
        <v>43</v>
      </c>
    </row>
    <row r="88" spans="1:3" x14ac:dyDescent="0.3">
      <c r="A88" s="9" t="s">
        <v>139</v>
      </c>
    </row>
    <row r="89" spans="1:3" x14ac:dyDescent="0.3">
      <c r="A89" s="3" t="s">
        <v>140</v>
      </c>
      <c r="B89">
        <f>12/12</f>
        <v>1</v>
      </c>
      <c r="C89" t="s">
        <v>22</v>
      </c>
    </row>
    <row r="90" spans="1:3" x14ac:dyDescent="0.3">
      <c r="A90" s="3" t="s">
        <v>106</v>
      </c>
      <c r="B90">
        <f>2/12</f>
        <v>0.16666666666666666</v>
      </c>
      <c r="C90" t="s">
        <v>22</v>
      </c>
    </row>
    <row r="91" spans="1:3" x14ac:dyDescent="0.3">
      <c r="A91" s="3" t="s">
        <v>210</v>
      </c>
      <c r="B91">
        <f>1+10/12</f>
        <v>1.8333333333333335</v>
      </c>
      <c r="C91" t="s">
        <v>22</v>
      </c>
    </row>
    <row r="92" spans="1:3" x14ac:dyDescent="0.3">
      <c r="A92" s="3" t="s">
        <v>211</v>
      </c>
      <c r="B92">
        <f>1.1/12</f>
        <v>9.1666666666666674E-2</v>
      </c>
      <c r="C92" t="s">
        <v>212</v>
      </c>
    </row>
    <row r="93" spans="1:3" x14ac:dyDescent="0.3">
      <c r="A93" s="3" t="s">
        <v>136</v>
      </c>
      <c r="B93">
        <f>B89*B90+B91*B92</f>
        <v>0.33472222222222225</v>
      </c>
      <c r="C93" t="s">
        <v>128</v>
      </c>
    </row>
    <row r="94" spans="1:3" x14ac:dyDescent="0.3">
      <c r="A94" s="3"/>
    </row>
    <row r="95" spans="1:3" x14ac:dyDescent="0.3">
      <c r="A95" s="3" t="s">
        <v>137</v>
      </c>
      <c r="B95">
        <f>B93*B27</f>
        <v>30.438802083333336</v>
      </c>
      <c r="C95" t="s">
        <v>37</v>
      </c>
    </row>
    <row r="96" spans="1:3" x14ac:dyDescent="0.3">
      <c r="A96" s="3" t="s">
        <v>132</v>
      </c>
      <c r="C96">
        <v>150</v>
      </c>
    </row>
    <row r="97" spans="1:16" x14ac:dyDescent="0.3">
      <c r="A97" s="3" t="s">
        <v>151</v>
      </c>
      <c r="B97">
        <f>C96*B95</f>
        <v>4565.8203125</v>
      </c>
      <c r="C97" t="s">
        <v>38</v>
      </c>
    </row>
    <row r="98" spans="1:16" x14ac:dyDescent="0.3">
      <c r="A98" s="3"/>
      <c r="B98">
        <f>B97/1000</f>
        <v>4.5658203124999996</v>
      </c>
      <c r="C98" t="s">
        <v>43</v>
      </c>
    </row>
    <row r="99" spans="1:16" x14ac:dyDescent="0.3">
      <c r="A99" s="2" t="s">
        <v>141</v>
      </c>
    </row>
    <row r="100" spans="1:16" x14ac:dyDescent="0.3">
      <c r="A100" s="2" t="s">
        <v>93</v>
      </c>
    </row>
    <row r="101" spans="1:16" x14ac:dyDescent="0.3">
      <c r="A101" s="6" t="s">
        <v>94</v>
      </c>
      <c r="B101" s="5">
        <v>1</v>
      </c>
      <c r="C101" s="5">
        <v>2</v>
      </c>
      <c r="D101" s="5">
        <v>3</v>
      </c>
      <c r="E101" s="5">
        <v>4</v>
      </c>
      <c r="F101" s="5">
        <v>5</v>
      </c>
      <c r="G101" s="5">
        <v>6</v>
      </c>
      <c r="H101" s="5">
        <v>7</v>
      </c>
      <c r="I101" s="5">
        <v>8</v>
      </c>
      <c r="J101" s="5">
        <v>9</v>
      </c>
      <c r="K101" s="5">
        <v>10</v>
      </c>
      <c r="L101" s="5">
        <v>11</v>
      </c>
      <c r="M101" s="5">
        <v>12</v>
      </c>
      <c r="N101" s="5">
        <v>13</v>
      </c>
      <c r="O101" s="5">
        <v>14</v>
      </c>
    </row>
    <row r="102" spans="1:16" x14ac:dyDescent="0.3">
      <c r="A102" s="6" t="s">
        <v>95</v>
      </c>
      <c r="B102" s="5" t="s">
        <v>96</v>
      </c>
      <c r="C102" s="5" t="s">
        <v>97</v>
      </c>
      <c r="D102" s="5" t="s">
        <v>97</v>
      </c>
      <c r="E102" s="5" t="s">
        <v>97</v>
      </c>
      <c r="F102" s="5" t="s">
        <v>97</v>
      </c>
      <c r="G102" s="5" t="s">
        <v>97</v>
      </c>
      <c r="H102" s="5" t="s">
        <v>97</v>
      </c>
      <c r="I102" s="5" t="s">
        <v>97</v>
      </c>
      <c r="J102" s="5" t="s">
        <v>97</v>
      </c>
      <c r="K102" s="5" t="s">
        <v>97</v>
      </c>
      <c r="L102" s="5" t="s">
        <v>97</v>
      </c>
      <c r="M102" s="5" t="s">
        <v>97</v>
      </c>
      <c r="N102" s="5" t="s">
        <v>97</v>
      </c>
      <c r="O102" s="5" t="s">
        <v>96</v>
      </c>
    </row>
    <row r="103" spans="1:16" x14ac:dyDescent="0.3">
      <c r="A103" s="6" t="s">
        <v>99</v>
      </c>
      <c r="B103" s="11">
        <f>'Existing Sup'!B103</f>
        <v>45.61</v>
      </c>
      <c r="C103" s="11">
        <f>'Existing Sup'!C103</f>
        <v>58.54</v>
      </c>
      <c r="D103" s="11">
        <f>'Existing Sup'!D103</f>
        <v>58.54</v>
      </c>
      <c r="E103" s="11">
        <f>'Existing Sup'!E103</f>
        <v>58.54</v>
      </c>
      <c r="F103" s="11">
        <f>'Existing Sup'!F103</f>
        <v>49.45</v>
      </c>
      <c r="G103" s="11">
        <f>'Existing Sup'!G103</f>
        <v>49.45</v>
      </c>
      <c r="H103" s="11">
        <f>'Existing Sup'!H103</f>
        <v>55.65</v>
      </c>
      <c r="I103" s="11">
        <f>'Existing Sup'!I103</f>
        <v>55.65</v>
      </c>
      <c r="J103" s="11">
        <f>'Existing Sup'!J103</f>
        <v>55.65</v>
      </c>
      <c r="K103" s="11">
        <f>'Existing Sup'!K103</f>
        <v>52.36</v>
      </c>
      <c r="L103" s="11">
        <v>49.61</v>
      </c>
      <c r="M103" s="11">
        <f>L103</f>
        <v>49.61</v>
      </c>
      <c r="N103" s="11">
        <f>M103</f>
        <v>49.61</v>
      </c>
      <c r="O103" s="11">
        <v>34.520000000000003</v>
      </c>
      <c r="P103" t="s">
        <v>103</v>
      </c>
    </row>
    <row r="104" spans="1:16" x14ac:dyDescent="0.3">
      <c r="A104" s="6" t="s">
        <v>100</v>
      </c>
      <c r="B104" s="11">
        <f>'Existing Sup'!B104</f>
        <v>45.62</v>
      </c>
      <c r="C104" s="11">
        <f>'Existing Sup'!C104</f>
        <v>58.55</v>
      </c>
      <c r="D104" s="11">
        <f>'Existing Sup'!D104</f>
        <v>58.55</v>
      </c>
      <c r="E104" s="11">
        <f>'Existing Sup'!E104</f>
        <v>58.55</v>
      </c>
      <c r="F104" s="11">
        <f>'Existing Sup'!F104</f>
        <v>49.46</v>
      </c>
      <c r="G104" s="11">
        <f>'Existing Sup'!G104</f>
        <v>49.46</v>
      </c>
      <c r="H104" s="11">
        <f>'Existing Sup'!H104</f>
        <v>55.66</v>
      </c>
      <c r="I104" s="11">
        <f>'Existing Sup'!I104</f>
        <v>55.66</v>
      </c>
      <c r="J104" s="11">
        <f>'Existing Sup'!J104</f>
        <v>55.66</v>
      </c>
      <c r="K104" s="11">
        <f>'Existing Sup'!K104</f>
        <v>52.38</v>
      </c>
      <c r="L104" s="11">
        <v>49.66</v>
      </c>
      <c r="M104" s="11">
        <f t="shared" ref="M104:N104" si="0">L104</f>
        <v>49.66</v>
      </c>
      <c r="N104" s="11">
        <f t="shared" si="0"/>
        <v>49.66</v>
      </c>
      <c r="O104" s="11">
        <v>34.549999999999997</v>
      </c>
      <c r="P104" t="s">
        <v>103</v>
      </c>
    </row>
    <row r="105" spans="1:16" x14ac:dyDescent="0.3">
      <c r="A105" s="6" t="s">
        <v>101</v>
      </c>
      <c r="B105" s="11">
        <v>18.5</v>
      </c>
      <c r="C105" s="11">
        <v>19.28</v>
      </c>
      <c r="D105" s="11">
        <f t="shared" ref="D105:E106" si="1">C105</f>
        <v>19.28</v>
      </c>
      <c r="E105" s="11">
        <f t="shared" si="1"/>
        <v>19.28</v>
      </c>
      <c r="F105" s="11">
        <v>16.38</v>
      </c>
      <c r="G105" s="11">
        <v>16.420000000000002</v>
      </c>
      <c r="H105" s="11">
        <v>17.48</v>
      </c>
      <c r="I105" s="11">
        <v>17.43</v>
      </c>
      <c r="J105" s="11">
        <f t="shared" ref="J105:M106" si="2">I105</f>
        <v>17.43</v>
      </c>
      <c r="K105" s="11">
        <v>16.37</v>
      </c>
      <c r="L105" s="11">
        <v>15.47</v>
      </c>
      <c r="M105" s="11">
        <f t="shared" si="2"/>
        <v>15.47</v>
      </c>
      <c r="N105" s="11">
        <f>M105</f>
        <v>15.47</v>
      </c>
      <c r="O105" s="11">
        <v>15.34</v>
      </c>
      <c r="P105" t="s">
        <v>104</v>
      </c>
    </row>
    <row r="106" spans="1:16" x14ac:dyDescent="0.3">
      <c r="A106" s="6" t="s">
        <v>102</v>
      </c>
      <c r="B106" s="11">
        <v>18.510000000000002</v>
      </c>
      <c r="C106" s="11">
        <v>19.28</v>
      </c>
      <c r="D106" s="11">
        <f t="shared" si="1"/>
        <v>19.28</v>
      </c>
      <c r="E106" s="11">
        <f t="shared" si="1"/>
        <v>19.28</v>
      </c>
      <c r="F106" s="11">
        <v>16.38</v>
      </c>
      <c r="G106" s="11">
        <v>16.420000000000002</v>
      </c>
      <c r="H106" s="11">
        <v>17.48</v>
      </c>
      <c r="I106" s="11">
        <v>17.43</v>
      </c>
      <c r="J106" s="11">
        <f t="shared" si="2"/>
        <v>17.43</v>
      </c>
      <c r="K106" s="11">
        <v>16.350000000000001</v>
      </c>
      <c r="L106" s="11">
        <v>15.47</v>
      </c>
      <c r="M106" s="11">
        <f t="shared" si="2"/>
        <v>15.47</v>
      </c>
      <c r="N106" s="11">
        <f>M106</f>
        <v>15.47</v>
      </c>
      <c r="O106" s="11">
        <v>15.34</v>
      </c>
      <c r="P106" t="s">
        <v>104</v>
      </c>
    </row>
    <row r="107" spans="1:16" x14ac:dyDescent="0.3">
      <c r="A107" t="s">
        <v>98</v>
      </c>
      <c r="E107" s="3"/>
    </row>
    <row r="108" spans="1:16" x14ac:dyDescent="0.3">
      <c r="A108" t="s">
        <v>155</v>
      </c>
    </row>
    <row r="109" spans="1:16" x14ac:dyDescent="0.3">
      <c r="A109" s="3" t="s">
        <v>156</v>
      </c>
      <c r="B109" s="11">
        <v>170</v>
      </c>
      <c r="C109" t="s">
        <v>157</v>
      </c>
    </row>
    <row r="111" spans="1:16" x14ac:dyDescent="0.3">
      <c r="A111" s="3" t="s">
        <v>158</v>
      </c>
      <c r="B111">
        <f>B26</f>
        <v>28.25</v>
      </c>
      <c r="C111" t="s">
        <v>22</v>
      </c>
    </row>
    <row r="113" spans="1:15" x14ac:dyDescent="0.3">
      <c r="A113" s="3" t="s">
        <v>159</v>
      </c>
      <c r="B113">
        <f>B109*B111</f>
        <v>4802.5</v>
      </c>
      <c r="C113" t="s">
        <v>38</v>
      </c>
    </row>
    <row r="114" spans="1:15" x14ac:dyDescent="0.3">
      <c r="B114">
        <f>B113/1000</f>
        <v>4.8025000000000002</v>
      </c>
      <c r="C114" t="s">
        <v>43</v>
      </c>
    </row>
    <row r="118" spans="1:15" x14ac:dyDescent="0.3">
      <c r="B118" s="13"/>
      <c r="C118" s="13"/>
      <c r="D118" s="13"/>
      <c r="E118" s="13"/>
      <c r="F118" s="13"/>
      <c r="G118" s="13"/>
      <c r="H118" s="13"/>
      <c r="I118" s="13"/>
      <c r="J118" s="13"/>
      <c r="K118" s="13"/>
    </row>
    <row r="120" spans="1:15" x14ac:dyDescent="0.3">
      <c r="A120" t="s">
        <v>164</v>
      </c>
      <c r="B120" s="5">
        <v>1</v>
      </c>
      <c r="C120" s="5">
        <v>2</v>
      </c>
      <c r="D120" s="5">
        <v>3</v>
      </c>
      <c r="E120" s="5">
        <v>4</v>
      </c>
      <c r="F120" s="5">
        <v>5</v>
      </c>
      <c r="G120" s="5">
        <v>6</v>
      </c>
      <c r="H120" s="5">
        <v>7</v>
      </c>
      <c r="I120" s="5">
        <v>8</v>
      </c>
      <c r="J120" s="5">
        <v>9</v>
      </c>
      <c r="K120" s="5">
        <v>10</v>
      </c>
      <c r="L120" s="5">
        <v>11</v>
      </c>
      <c r="M120" s="5">
        <v>12</v>
      </c>
      <c r="N120" s="5">
        <v>13</v>
      </c>
      <c r="O120" s="5">
        <v>14</v>
      </c>
    </row>
    <row r="121" spans="1:15" x14ac:dyDescent="0.3">
      <c r="A121" s="6" t="s">
        <v>99</v>
      </c>
      <c r="B121" s="12">
        <f>B103/2</f>
        <v>22.805</v>
      </c>
      <c r="C121" s="12">
        <f t="shared" ref="C121:K121" si="3">C103/2</f>
        <v>29.27</v>
      </c>
      <c r="D121" s="12">
        <f t="shared" si="3"/>
        <v>29.27</v>
      </c>
      <c r="E121" s="12">
        <f t="shared" si="3"/>
        <v>29.27</v>
      </c>
      <c r="F121" s="12">
        <f t="shared" si="3"/>
        <v>24.725000000000001</v>
      </c>
      <c r="G121" s="12">
        <f t="shared" si="3"/>
        <v>24.725000000000001</v>
      </c>
      <c r="H121" s="12">
        <f t="shared" si="3"/>
        <v>27.824999999999999</v>
      </c>
      <c r="I121" s="12">
        <f t="shared" si="3"/>
        <v>27.824999999999999</v>
      </c>
      <c r="J121" s="12">
        <f t="shared" si="3"/>
        <v>27.824999999999999</v>
      </c>
      <c r="K121" s="12">
        <f t="shared" si="3"/>
        <v>26.18</v>
      </c>
      <c r="L121" s="12">
        <f t="shared" ref="L121:O121" si="4">L103/2</f>
        <v>24.805</v>
      </c>
      <c r="M121" s="12">
        <f t="shared" si="4"/>
        <v>24.805</v>
      </c>
      <c r="N121" s="12">
        <f t="shared" si="4"/>
        <v>24.805</v>
      </c>
      <c r="O121" s="12">
        <f t="shared" si="4"/>
        <v>17.260000000000002</v>
      </c>
    </row>
    <row r="122" spans="1:15" x14ac:dyDescent="0.3">
      <c r="A122" s="6" t="s">
        <v>100</v>
      </c>
      <c r="B122" s="12">
        <f t="shared" ref="B122:K124" si="5">B104/2</f>
        <v>22.81</v>
      </c>
      <c r="C122" s="12">
        <f t="shared" si="5"/>
        <v>29.274999999999999</v>
      </c>
      <c r="D122" s="12">
        <f t="shared" si="5"/>
        <v>29.274999999999999</v>
      </c>
      <c r="E122" s="12">
        <f t="shared" si="5"/>
        <v>29.274999999999999</v>
      </c>
      <c r="F122" s="12">
        <f t="shared" si="5"/>
        <v>24.73</v>
      </c>
      <c r="G122" s="12">
        <f t="shared" si="5"/>
        <v>24.73</v>
      </c>
      <c r="H122" s="12">
        <f t="shared" si="5"/>
        <v>27.83</v>
      </c>
      <c r="I122" s="12">
        <f t="shared" si="5"/>
        <v>27.83</v>
      </c>
      <c r="J122" s="12">
        <f t="shared" si="5"/>
        <v>27.83</v>
      </c>
      <c r="K122" s="12">
        <f t="shared" si="5"/>
        <v>26.19</v>
      </c>
      <c r="L122" s="12">
        <f t="shared" ref="L122:O122" si="6">L104/2</f>
        <v>24.83</v>
      </c>
      <c r="M122" s="12">
        <f t="shared" si="6"/>
        <v>24.83</v>
      </c>
      <c r="N122" s="12">
        <f t="shared" si="6"/>
        <v>24.83</v>
      </c>
      <c r="O122" s="12">
        <f t="shared" si="6"/>
        <v>17.274999999999999</v>
      </c>
    </row>
    <row r="123" spans="1:15" x14ac:dyDescent="0.3">
      <c r="A123" s="6" t="s">
        <v>101</v>
      </c>
      <c r="B123" s="12">
        <f t="shared" si="5"/>
        <v>9.25</v>
      </c>
      <c r="C123" s="12">
        <f t="shared" si="5"/>
        <v>9.64</v>
      </c>
      <c r="D123" s="12">
        <f t="shared" si="5"/>
        <v>9.64</v>
      </c>
      <c r="E123" s="12">
        <f t="shared" si="5"/>
        <v>9.64</v>
      </c>
      <c r="F123" s="12">
        <f t="shared" si="5"/>
        <v>8.19</v>
      </c>
      <c r="G123" s="12">
        <f t="shared" si="5"/>
        <v>8.2100000000000009</v>
      </c>
      <c r="H123" s="12">
        <f t="shared" si="5"/>
        <v>8.74</v>
      </c>
      <c r="I123" s="12">
        <f t="shared" si="5"/>
        <v>8.7149999999999999</v>
      </c>
      <c r="J123" s="12">
        <f t="shared" si="5"/>
        <v>8.7149999999999999</v>
      </c>
      <c r="K123" s="12">
        <f t="shared" si="5"/>
        <v>8.1850000000000005</v>
      </c>
      <c r="L123" s="12">
        <f t="shared" ref="L123:O123" si="7">L105/2</f>
        <v>7.7350000000000003</v>
      </c>
      <c r="M123" s="12">
        <f t="shared" si="7"/>
        <v>7.7350000000000003</v>
      </c>
      <c r="N123" s="12">
        <f t="shared" si="7"/>
        <v>7.7350000000000003</v>
      </c>
      <c r="O123" s="12">
        <f t="shared" si="7"/>
        <v>7.67</v>
      </c>
    </row>
    <row r="124" spans="1:15" x14ac:dyDescent="0.3">
      <c r="A124" s="6" t="s">
        <v>102</v>
      </c>
      <c r="B124" s="12">
        <f t="shared" si="5"/>
        <v>9.2550000000000008</v>
      </c>
      <c r="C124" s="12">
        <f t="shared" si="5"/>
        <v>9.64</v>
      </c>
      <c r="D124" s="12">
        <f t="shared" si="5"/>
        <v>9.64</v>
      </c>
      <c r="E124" s="12">
        <f t="shared" si="5"/>
        <v>9.64</v>
      </c>
      <c r="F124" s="12">
        <f t="shared" si="5"/>
        <v>8.19</v>
      </c>
      <c r="G124" s="12">
        <f t="shared" si="5"/>
        <v>8.2100000000000009</v>
      </c>
      <c r="H124" s="12">
        <f t="shared" si="5"/>
        <v>8.74</v>
      </c>
      <c r="I124" s="12">
        <f t="shared" si="5"/>
        <v>8.7149999999999999</v>
      </c>
      <c r="J124" s="12">
        <f t="shared" si="5"/>
        <v>8.7149999999999999</v>
      </c>
      <c r="K124" s="12">
        <f t="shared" si="5"/>
        <v>8.1750000000000007</v>
      </c>
      <c r="L124" s="12">
        <f t="shared" ref="L124:O124" si="8">L106/2</f>
        <v>7.7350000000000003</v>
      </c>
      <c r="M124" s="12">
        <f t="shared" si="8"/>
        <v>7.7350000000000003</v>
      </c>
      <c r="N124" s="12">
        <f t="shared" si="8"/>
        <v>7.7350000000000003</v>
      </c>
      <c r="O124" s="12">
        <f t="shared" si="8"/>
        <v>7.67</v>
      </c>
    </row>
    <row r="126" spans="1:15" x14ac:dyDescent="0.3">
      <c r="A126" s="24" t="s">
        <v>200</v>
      </c>
      <c r="B126" s="13">
        <f>B121+B123</f>
        <v>32.055</v>
      </c>
      <c r="C126" s="13">
        <f t="shared" ref="C126:O126" si="9">C121+C123</f>
        <v>38.909999999999997</v>
      </c>
      <c r="D126" s="13">
        <f t="shared" si="9"/>
        <v>38.909999999999997</v>
      </c>
      <c r="E126" s="13">
        <f t="shared" si="9"/>
        <v>38.909999999999997</v>
      </c>
      <c r="F126" s="13">
        <f t="shared" si="9"/>
        <v>32.914999999999999</v>
      </c>
      <c r="G126" s="13">
        <f t="shared" si="9"/>
        <v>32.935000000000002</v>
      </c>
      <c r="H126" s="13">
        <f t="shared" si="9"/>
        <v>36.564999999999998</v>
      </c>
      <c r="I126" s="13">
        <f t="shared" si="9"/>
        <v>36.54</v>
      </c>
      <c r="J126" s="13">
        <f t="shared" si="9"/>
        <v>36.54</v>
      </c>
      <c r="K126" s="13">
        <f t="shared" si="9"/>
        <v>34.365000000000002</v>
      </c>
      <c r="L126" s="13">
        <f t="shared" si="9"/>
        <v>32.54</v>
      </c>
      <c r="M126" s="13">
        <f t="shared" si="9"/>
        <v>32.54</v>
      </c>
      <c r="N126" s="13">
        <f t="shared" si="9"/>
        <v>32.54</v>
      </c>
      <c r="O126" s="13">
        <f t="shared" si="9"/>
        <v>24.93</v>
      </c>
    </row>
    <row r="127" spans="1:15" x14ac:dyDescent="0.3">
      <c r="A127" s="24" t="s">
        <v>201</v>
      </c>
      <c r="B127" s="13">
        <f>B122+B124</f>
        <v>32.064999999999998</v>
      </c>
      <c r="C127" s="13">
        <f t="shared" ref="C127:O127" si="10">C122+C124</f>
        <v>38.914999999999999</v>
      </c>
      <c r="D127" s="13">
        <f t="shared" si="10"/>
        <v>38.914999999999999</v>
      </c>
      <c r="E127" s="13">
        <f t="shared" si="10"/>
        <v>38.914999999999999</v>
      </c>
      <c r="F127" s="13">
        <f t="shared" si="10"/>
        <v>32.92</v>
      </c>
      <c r="G127" s="13">
        <f t="shared" si="10"/>
        <v>32.94</v>
      </c>
      <c r="H127" s="13">
        <f t="shared" si="10"/>
        <v>36.57</v>
      </c>
      <c r="I127" s="13">
        <f t="shared" si="10"/>
        <v>36.545000000000002</v>
      </c>
      <c r="J127" s="13">
        <f t="shared" si="10"/>
        <v>36.545000000000002</v>
      </c>
      <c r="K127" s="13">
        <f t="shared" si="10"/>
        <v>34.365000000000002</v>
      </c>
      <c r="L127" s="13">
        <f t="shared" si="10"/>
        <v>32.564999999999998</v>
      </c>
      <c r="M127" s="13">
        <f t="shared" si="10"/>
        <v>32.564999999999998</v>
      </c>
      <c r="N127" s="13">
        <f t="shared" si="10"/>
        <v>32.564999999999998</v>
      </c>
      <c r="O127" s="13">
        <f t="shared" si="10"/>
        <v>24.945</v>
      </c>
    </row>
    <row r="129" spans="1:15" x14ac:dyDescent="0.3">
      <c r="A129" s="24" t="s">
        <v>199</v>
      </c>
      <c r="B129" s="13">
        <f>MAX(B126:O127)</f>
        <v>38.914999999999999</v>
      </c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</row>
    <row r="130" spans="1:15" x14ac:dyDescent="0.3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</row>
  </sheetData>
  <mergeCells count="8">
    <mergeCell ref="K5:L5"/>
    <mergeCell ref="N5:O5"/>
    <mergeCell ref="B2:D2"/>
    <mergeCell ref="K1:O1"/>
    <mergeCell ref="K2:O2"/>
    <mergeCell ref="K3:O3"/>
    <mergeCell ref="K4:L4"/>
    <mergeCell ref="N4:O4"/>
  </mergeCells>
  <pageMargins left="0.7" right="0.7" top="0.75" bottom="0.75" header="0.3" footer="0.3"/>
  <pageSetup scale="5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83962-1E61-4838-997B-DCEBA5A61AF6}">
  <sheetPr>
    <pageSetUpPr fitToPage="1"/>
  </sheetPr>
  <dimension ref="A1:T120"/>
  <sheetViews>
    <sheetView tabSelected="1" topLeftCell="A72" workbookViewId="0">
      <selection activeCell="B17" sqref="B17"/>
    </sheetView>
  </sheetViews>
  <sheetFormatPr defaultRowHeight="14.4" x14ac:dyDescent="0.3"/>
  <cols>
    <col min="1" max="1" width="30.109375" customWidth="1"/>
    <col min="15" max="15" width="11.33203125" bestFit="1" customWidth="1"/>
    <col min="20" max="20" width="11.33203125" bestFit="1" customWidth="1"/>
  </cols>
  <sheetData>
    <row r="1" spans="1:20" x14ac:dyDescent="0.3">
      <c r="A1" s="7" t="s">
        <v>46</v>
      </c>
      <c r="C1" t="s">
        <v>61</v>
      </c>
      <c r="D1" t="s">
        <v>84</v>
      </c>
      <c r="O1" t="s">
        <v>0</v>
      </c>
      <c r="P1" s="35" t="s">
        <v>7</v>
      </c>
      <c r="Q1" s="35"/>
      <c r="R1" s="35"/>
      <c r="S1" s="35"/>
      <c r="T1" s="35"/>
    </row>
    <row r="2" spans="1:20" x14ac:dyDescent="0.3">
      <c r="A2" s="2" t="s">
        <v>8</v>
      </c>
      <c r="F2" t="s">
        <v>89</v>
      </c>
      <c r="O2" t="s">
        <v>1</v>
      </c>
      <c r="P2" s="35"/>
      <c r="Q2" s="35"/>
      <c r="R2" s="35"/>
      <c r="S2" s="35"/>
      <c r="T2" s="35"/>
    </row>
    <row r="3" spans="1:20" x14ac:dyDescent="0.3">
      <c r="A3" t="s">
        <v>110</v>
      </c>
      <c r="B3" s="1" t="s">
        <v>12</v>
      </c>
      <c r="C3" s="1" t="s">
        <v>13</v>
      </c>
      <c r="D3" s="1" t="s">
        <v>14</v>
      </c>
      <c r="E3" s="1" t="s">
        <v>15</v>
      </c>
      <c r="F3" s="1" t="s">
        <v>16</v>
      </c>
      <c r="G3" s="1" t="s">
        <v>17</v>
      </c>
      <c r="H3" s="1" t="s">
        <v>18</v>
      </c>
      <c r="I3" s="1" t="s">
        <v>19</v>
      </c>
      <c r="J3" s="1" t="s">
        <v>20</v>
      </c>
      <c r="K3" s="1" t="s">
        <v>21</v>
      </c>
      <c r="L3" s="1"/>
      <c r="M3" s="3"/>
      <c r="O3" t="s">
        <v>2</v>
      </c>
      <c r="P3" s="35" t="s">
        <v>185</v>
      </c>
      <c r="Q3" s="35"/>
      <c r="R3" s="35"/>
      <c r="S3" s="35"/>
      <c r="T3" s="35"/>
    </row>
    <row r="4" spans="1:20" x14ac:dyDescent="0.3">
      <c r="A4" t="s">
        <v>10</v>
      </c>
      <c r="B4" s="5">
        <v>646.77</v>
      </c>
      <c r="C4" s="5">
        <v>646.88</v>
      </c>
      <c r="D4" s="5">
        <v>646.99</v>
      </c>
      <c r="E4" s="5">
        <v>647.1</v>
      </c>
      <c r="F4" s="5">
        <v>647.22</v>
      </c>
      <c r="G4" s="5">
        <v>647.1</v>
      </c>
      <c r="H4" s="5">
        <v>646.99</v>
      </c>
      <c r="I4" s="5">
        <v>646.87</v>
      </c>
      <c r="J4" s="5">
        <v>646.76</v>
      </c>
      <c r="K4" s="5">
        <v>640.29999999999995</v>
      </c>
      <c r="L4" s="1" t="s">
        <v>22</v>
      </c>
      <c r="M4" s="3"/>
      <c r="N4" s="13"/>
      <c r="O4" t="s">
        <v>3</v>
      </c>
      <c r="P4" s="35" t="s">
        <v>4</v>
      </c>
      <c r="Q4" s="35"/>
      <c r="R4" t="s">
        <v>5</v>
      </c>
      <c r="S4" s="37">
        <v>44964</v>
      </c>
      <c r="T4" s="37"/>
    </row>
    <row r="5" spans="1:20" x14ac:dyDescent="0.3">
      <c r="A5" t="s">
        <v>11</v>
      </c>
      <c r="B5" s="5">
        <v>646.55999999999995</v>
      </c>
      <c r="C5" s="5">
        <v>646.66999999999996</v>
      </c>
      <c r="D5" s="5">
        <v>646.78</v>
      </c>
      <c r="E5" s="5">
        <v>646.89</v>
      </c>
      <c r="F5" s="5">
        <v>647</v>
      </c>
      <c r="G5" s="5">
        <v>646.88</v>
      </c>
      <c r="H5" s="5">
        <v>646.77</v>
      </c>
      <c r="I5" s="5">
        <v>646.65</v>
      </c>
      <c r="J5" s="5">
        <v>646.54</v>
      </c>
      <c r="K5" s="5">
        <v>640.1</v>
      </c>
      <c r="L5" s="1" t="s">
        <v>22</v>
      </c>
      <c r="M5" s="3"/>
      <c r="N5" s="13"/>
      <c r="O5" t="s">
        <v>6</v>
      </c>
      <c r="P5" s="35"/>
      <c r="Q5" s="35"/>
      <c r="R5" t="s">
        <v>5</v>
      </c>
      <c r="S5" s="35"/>
      <c r="T5" s="35"/>
    </row>
    <row r="6" spans="1:20" x14ac:dyDescent="0.3">
      <c r="M6" s="3"/>
      <c r="N6" s="13"/>
    </row>
    <row r="7" spans="1:20" x14ac:dyDescent="0.3">
      <c r="A7" t="s">
        <v>162</v>
      </c>
      <c r="B7">
        <f>'Existing Sub'!F8+24+10/12</f>
        <v>90.9375</v>
      </c>
    </row>
    <row r="8" spans="1:20" x14ac:dyDescent="0.3">
      <c r="B8">
        <v>90.9375</v>
      </c>
    </row>
    <row r="13" spans="1:20" x14ac:dyDescent="0.3">
      <c r="A13" t="s">
        <v>111</v>
      </c>
      <c r="M13" s="3"/>
      <c r="N13" s="13"/>
    </row>
    <row r="14" spans="1:20" x14ac:dyDescent="0.3">
      <c r="A14" t="s">
        <v>9</v>
      </c>
      <c r="B14" s="1" t="s">
        <v>12</v>
      </c>
      <c r="C14" s="1" t="s">
        <v>13</v>
      </c>
      <c r="D14" s="1" t="s">
        <v>14</v>
      </c>
      <c r="E14" s="1" t="s">
        <v>15</v>
      </c>
      <c r="F14" s="1" t="s">
        <v>16</v>
      </c>
      <c r="G14" s="1" t="s">
        <v>17</v>
      </c>
      <c r="H14" s="1" t="s">
        <v>18</v>
      </c>
      <c r="I14" s="1" t="s">
        <v>19</v>
      </c>
      <c r="J14" s="1" t="s">
        <v>20</v>
      </c>
      <c r="K14" s="1" t="s">
        <v>21</v>
      </c>
      <c r="L14" s="1" t="s">
        <v>85</v>
      </c>
      <c r="M14" s="1" t="s">
        <v>86</v>
      </c>
      <c r="N14" s="1" t="s">
        <v>87</v>
      </c>
      <c r="O14" s="1" t="s">
        <v>88</v>
      </c>
    </row>
    <row r="15" spans="1:20" x14ac:dyDescent="0.3">
      <c r="A15" t="s">
        <v>10</v>
      </c>
      <c r="B15" s="5">
        <v>646.71</v>
      </c>
      <c r="C15" s="5">
        <v>646.83000000000004</v>
      </c>
      <c r="D15" s="5">
        <v>646.95000000000005</v>
      </c>
      <c r="E15" s="5">
        <v>647.07000000000005</v>
      </c>
      <c r="F15" s="5">
        <v>647.19000000000005</v>
      </c>
      <c r="G15" s="11">
        <f>647.25</f>
        <v>647.25</v>
      </c>
      <c r="H15" s="11">
        <v>647.35</v>
      </c>
      <c r="I15" s="11">
        <v>647.24</v>
      </c>
      <c r="J15" s="11">
        <v>647.12</v>
      </c>
      <c r="K15" s="11">
        <v>647.01</v>
      </c>
      <c r="L15" s="11">
        <f>646.91</f>
        <v>646.91</v>
      </c>
      <c r="M15" s="11">
        <f>646.82</f>
        <v>646.82000000000005</v>
      </c>
      <c r="N15" s="11">
        <f>646.72</f>
        <v>646.72</v>
      </c>
      <c r="O15" s="11">
        <f>H15-6.92</f>
        <v>640.43000000000006</v>
      </c>
      <c r="P15" s="1" t="s">
        <v>22</v>
      </c>
    </row>
    <row r="16" spans="1:20" x14ac:dyDescent="0.3">
      <c r="A16" t="s">
        <v>11</v>
      </c>
      <c r="B16" s="5">
        <v>646.82000000000005</v>
      </c>
      <c r="C16" s="5">
        <v>646.92999999999995</v>
      </c>
      <c r="D16" s="5">
        <v>647.04999999999995</v>
      </c>
      <c r="E16" s="5">
        <v>647.16</v>
      </c>
      <c r="F16" s="5">
        <v>647.27</v>
      </c>
      <c r="G16" s="11">
        <f>647.34</f>
        <v>647.34</v>
      </c>
      <c r="H16" s="11">
        <v>647.44000000000005</v>
      </c>
      <c r="I16" s="11">
        <v>647.32000000000005</v>
      </c>
      <c r="J16" s="11">
        <v>647.20000000000005</v>
      </c>
      <c r="K16" s="11">
        <v>647.08000000000004</v>
      </c>
      <c r="L16" s="11">
        <v>646.98</v>
      </c>
      <c r="M16" s="11">
        <f>L16-0.1</f>
        <v>646.88</v>
      </c>
      <c r="N16" s="11">
        <f>646.79</f>
        <v>646.79</v>
      </c>
      <c r="O16" s="11">
        <f>H16-6.92</f>
        <v>640.5200000000001</v>
      </c>
      <c r="P16" s="1" t="s">
        <v>22</v>
      </c>
    </row>
    <row r="17" spans="1:16" x14ac:dyDescent="0.3">
      <c r="A17" t="s">
        <v>161</v>
      </c>
      <c r="B17" s="6">
        <f>3+4+(6+1/16)/12+(3+1/8)/12</f>
        <v>7.765625</v>
      </c>
      <c r="C17" s="6">
        <f>3+4+(3+1/8)/12</f>
        <v>7.260416666666667</v>
      </c>
      <c r="D17" s="6">
        <f>3+4+(3+1/8)/12</f>
        <v>7.260416666666667</v>
      </c>
      <c r="E17" s="6">
        <f>3+4+(3+1/8)/12</f>
        <v>7.260416666666667</v>
      </c>
      <c r="F17" s="6">
        <f>2*(3+(6+1/16)/12)</f>
        <v>7.010416666666667</v>
      </c>
      <c r="G17" s="6">
        <f>3+4+(3+1/8)/12</f>
        <v>7.260416666666667</v>
      </c>
      <c r="H17" s="6">
        <f>3+4+(3+1/8)/12</f>
        <v>7.260416666666667</v>
      </c>
      <c r="I17" s="6">
        <f>3+4+(3+1/8)/12</f>
        <v>7.260416666666667</v>
      </c>
      <c r="J17" s="6">
        <f>3+4+(6+1/16)/12+(3+1/8)/12</f>
        <v>7.765625</v>
      </c>
      <c r="K17" s="6">
        <v>6.0086000000000004</v>
      </c>
      <c r="L17" s="6">
        <v>6.0086000000000004</v>
      </c>
      <c r="M17" s="6">
        <v>6.0086000000000004</v>
      </c>
      <c r="N17" s="6">
        <f>B7-SUM(B17:M17)</f>
        <v>6.807533333333339</v>
      </c>
      <c r="P17" t="s">
        <v>22</v>
      </c>
    </row>
    <row r="18" spans="1:16" x14ac:dyDescent="0.3">
      <c r="D18" t="s">
        <v>90</v>
      </c>
      <c r="K18" t="s">
        <v>92</v>
      </c>
    </row>
    <row r="19" spans="1:16" x14ac:dyDescent="0.3">
      <c r="A19" s="2" t="s">
        <v>23</v>
      </c>
      <c r="J19" s="3" t="s">
        <v>113</v>
      </c>
      <c r="K19">
        <v>0.01</v>
      </c>
      <c r="L19" t="s">
        <v>91</v>
      </c>
    </row>
    <row r="20" spans="1:16" x14ac:dyDescent="0.3">
      <c r="A20" t="s">
        <v>25</v>
      </c>
      <c r="E20" s="3" t="s">
        <v>29</v>
      </c>
      <c r="F20" s="6">
        <f>B7</f>
        <v>90.9375</v>
      </c>
      <c r="G20" t="s">
        <v>22</v>
      </c>
      <c r="J20" s="3" t="s">
        <v>113</v>
      </c>
      <c r="K20">
        <v>1.6E-2</v>
      </c>
      <c r="L20" t="s">
        <v>91</v>
      </c>
    </row>
    <row r="21" spans="1:16" x14ac:dyDescent="0.3">
      <c r="A21" t="s">
        <v>26</v>
      </c>
      <c r="E21" s="3" t="s">
        <v>30</v>
      </c>
      <c r="F21" s="6">
        <f>2+1+9/12</f>
        <v>3.75</v>
      </c>
      <c r="G21" t="s">
        <v>22</v>
      </c>
    </row>
    <row r="22" spans="1:16" x14ac:dyDescent="0.3">
      <c r="A22" t="s">
        <v>27</v>
      </c>
      <c r="B22" t="s">
        <v>213</v>
      </c>
      <c r="E22" s="3" t="s">
        <v>31</v>
      </c>
      <c r="F22" s="6">
        <f>O15 + 3+3/12</f>
        <v>643.68000000000006</v>
      </c>
      <c r="G22" t="s">
        <v>22</v>
      </c>
    </row>
    <row r="23" spans="1:16" x14ac:dyDescent="0.3">
      <c r="A23" t="s">
        <v>28</v>
      </c>
      <c r="B23" t="s">
        <v>214</v>
      </c>
      <c r="E23" s="3" t="s">
        <v>34</v>
      </c>
      <c r="F23">
        <f>($B$15*$B$17+$C$15*$C$17+$D$15*$D$17+$E$15*$E$17+$F$15*$F$17+$G$15*$G$17+$H$15*$H$17+$I$15*$I$17+$J$15*$J$17+$K$15*$K$17+$L$15*$L$17+$M$15*$M$17+$N$15*$N$17)/$F$20</f>
        <v>647.01707947857972</v>
      </c>
      <c r="G23" t="s">
        <v>22</v>
      </c>
    </row>
    <row r="24" spans="1:16" x14ac:dyDescent="0.3">
      <c r="E24" s="3"/>
    </row>
    <row r="25" spans="1:16" x14ac:dyDescent="0.3">
      <c r="A25" t="s">
        <v>35</v>
      </c>
      <c r="E25" s="3" t="s">
        <v>36</v>
      </c>
      <c r="F25">
        <f>F20*F21*(F23-F22)</f>
        <v>1137.9962440625145</v>
      </c>
      <c r="G25" t="s">
        <v>37</v>
      </c>
    </row>
    <row r="26" spans="1:16" x14ac:dyDescent="0.3">
      <c r="A26" t="s">
        <v>39</v>
      </c>
      <c r="E26" s="3" t="s">
        <v>40</v>
      </c>
      <c r="F26" s="6">
        <v>150</v>
      </c>
      <c r="G26" t="s">
        <v>41</v>
      </c>
      <c r="H26" t="s">
        <v>42</v>
      </c>
    </row>
    <row r="27" spans="1:16" x14ac:dyDescent="0.3">
      <c r="A27" t="s">
        <v>48</v>
      </c>
      <c r="E27" s="4" t="s">
        <v>59</v>
      </c>
      <c r="F27" s="10">
        <f>F25*F26</f>
        <v>170699.43660937718</v>
      </c>
      <c r="G27" t="s">
        <v>38</v>
      </c>
    </row>
    <row r="28" spans="1:16" x14ac:dyDescent="0.3">
      <c r="F28" s="10">
        <f>F27/1000</f>
        <v>170.69943660937719</v>
      </c>
      <c r="G28" t="s">
        <v>43</v>
      </c>
    </row>
    <row r="32" spans="1:16" x14ac:dyDescent="0.3">
      <c r="A32" s="2" t="s">
        <v>44</v>
      </c>
    </row>
    <row r="33" spans="1:8" x14ac:dyDescent="0.3">
      <c r="A33" t="s">
        <v>49</v>
      </c>
      <c r="E33" s="3" t="s">
        <v>53</v>
      </c>
      <c r="F33" s="6">
        <f>F20</f>
        <v>90.9375</v>
      </c>
      <c r="G33" t="s">
        <v>22</v>
      </c>
    </row>
    <row r="34" spans="1:8" x14ac:dyDescent="0.3">
      <c r="A34" t="s">
        <v>50</v>
      </c>
      <c r="E34" s="3" t="s">
        <v>54</v>
      </c>
      <c r="F34" s="6">
        <f>2+1+9/12</f>
        <v>3.75</v>
      </c>
      <c r="G34" t="s">
        <v>22</v>
      </c>
    </row>
    <row r="35" spans="1:8" x14ac:dyDescent="0.3">
      <c r="A35" t="s">
        <v>51</v>
      </c>
      <c r="B35" t="s">
        <v>213</v>
      </c>
      <c r="E35" s="3" t="s">
        <v>55</v>
      </c>
      <c r="F35" s="6">
        <f>O16 + 3+3/12</f>
        <v>643.7700000000001</v>
      </c>
      <c r="G35" t="s">
        <v>22</v>
      </c>
    </row>
    <row r="36" spans="1:8" x14ac:dyDescent="0.3">
      <c r="A36" t="s">
        <v>52</v>
      </c>
      <c r="B36" t="s">
        <v>214</v>
      </c>
      <c r="E36" s="3" t="s">
        <v>56</v>
      </c>
      <c r="F36">
        <f>($B$15*$B$17+$C$15*$C$17+$D$15*$D$17+$E$15*$E$17+$F$15*$F$17+$G$15*$G$17+$H$15*$H$17+$I$15*$I$17+$J$15*$J$17+$K$15*$K$17+$L$15*$L$17+$M$15*$M$17+$N$15*$N$17)/$F$20</f>
        <v>647.01707947857972</v>
      </c>
      <c r="G36" t="s">
        <v>22</v>
      </c>
    </row>
    <row r="37" spans="1:8" x14ac:dyDescent="0.3">
      <c r="E37" s="3"/>
    </row>
    <row r="38" spans="1:8" x14ac:dyDescent="0.3">
      <c r="A38" t="s">
        <v>57</v>
      </c>
      <c r="E38" s="3" t="s">
        <v>58</v>
      </c>
      <c r="F38">
        <f>F33*F34*(F36-F35)</f>
        <v>1107.3048378125038</v>
      </c>
      <c r="G38" t="s">
        <v>37</v>
      </c>
    </row>
    <row r="39" spans="1:8" x14ac:dyDescent="0.3">
      <c r="A39" t="s">
        <v>39</v>
      </c>
      <c r="E39" s="3" t="s">
        <v>40</v>
      </c>
      <c r="F39" s="6">
        <v>150</v>
      </c>
      <c r="G39" t="s">
        <v>41</v>
      </c>
      <c r="H39" t="s">
        <v>42</v>
      </c>
    </row>
    <row r="40" spans="1:8" x14ac:dyDescent="0.3">
      <c r="A40" t="s">
        <v>47</v>
      </c>
      <c r="E40" s="4" t="s">
        <v>60</v>
      </c>
      <c r="F40" s="10">
        <f>F38*F39</f>
        <v>166095.72567187558</v>
      </c>
      <c r="G40" t="s">
        <v>38</v>
      </c>
    </row>
    <row r="41" spans="1:8" x14ac:dyDescent="0.3">
      <c r="E41" s="3"/>
      <c r="F41" s="10">
        <f>F40/1000</f>
        <v>166.09572567187558</v>
      </c>
      <c r="G41" t="s">
        <v>43</v>
      </c>
    </row>
    <row r="42" spans="1:8" x14ac:dyDescent="0.3">
      <c r="E42" s="3"/>
    </row>
    <row r="43" spans="1:8" x14ac:dyDescent="0.3">
      <c r="A43" s="2" t="s">
        <v>75</v>
      </c>
      <c r="E43" s="3"/>
    </row>
    <row r="44" spans="1:8" x14ac:dyDescent="0.3">
      <c r="A44" t="s">
        <v>63</v>
      </c>
      <c r="E44" s="3" t="s">
        <v>64</v>
      </c>
      <c r="F44" s="6">
        <v>1</v>
      </c>
    </row>
    <row r="45" spans="1:8" x14ac:dyDescent="0.3">
      <c r="E45" s="3"/>
    </row>
    <row r="46" spans="1:8" x14ac:dyDescent="0.3">
      <c r="A46" t="s">
        <v>65</v>
      </c>
      <c r="E46" s="3" t="s">
        <v>68</v>
      </c>
      <c r="F46" s="6">
        <f>3+3/12</f>
        <v>3.25</v>
      </c>
      <c r="G46" t="s">
        <v>22</v>
      </c>
    </row>
    <row r="47" spans="1:8" x14ac:dyDescent="0.3">
      <c r="A47" t="s">
        <v>66</v>
      </c>
      <c r="E47" s="3" t="s">
        <v>70</v>
      </c>
      <c r="F47" s="6">
        <v>6</v>
      </c>
      <c r="G47" t="s">
        <v>22</v>
      </c>
    </row>
    <row r="48" spans="1:8" x14ac:dyDescent="0.3">
      <c r="A48" t="s">
        <v>67</v>
      </c>
      <c r="E48" s="3" t="s">
        <v>69</v>
      </c>
      <c r="F48" s="6">
        <f>F20+(70+11.25/12-66.104167)</f>
        <v>95.770832999999996</v>
      </c>
      <c r="G48" t="s">
        <v>22</v>
      </c>
    </row>
    <row r="49" spans="1:8" x14ac:dyDescent="0.3">
      <c r="A49" t="s">
        <v>39</v>
      </c>
      <c r="E49" s="3" t="s">
        <v>40</v>
      </c>
      <c r="F49" s="6">
        <v>150</v>
      </c>
      <c r="G49" t="s">
        <v>41</v>
      </c>
      <c r="H49" t="s">
        <v>42</v>
      </c>
    </row>
    <row r="50" spans="1:8" x14ac:dyDescent="0.3">
      <c r="A50" t="s">
        <v>71</v>
      </c>
      <c r="E50" s="3" t="s">
        <v>72</v>
      </c>
      <c r="F50">
        <f>F46*F47*F48*F44</f>
        <v>1867.5312434999998</v>
      </c>
      <c r="G50" t="s">
        <v>37</v>
      </c>
    </row>
    <row r="51" spans="1:8" x14ac:dyDescent="0.3">
      <c r="A51" t="s">
        <v>73</v>
      </c>
      <c r="E51" s="3" t="s">
        <v>74</v>
      </c>
      <c r="F51" s="10">
        <f>F50*F49</f>
        <v>280129.68652499997</v>
      </c>
      <c r="G51" t="s">
        <v>38</v>
      </c>
    </row>
    <row r="52" spans="1:8" x14ac:dyDescent="0.3">
      <c r="E52" s="3"/>
      <c r="F52" s="10">
        <f>F51/1000</f>
        <v>280.12968652499995</v>
      </c>
      <c r="G52" t="s">
        <v>43</v>
      </c>
    </row>
    <row r="53" spans="1:8" x14ac:dyDescent="0.3">
      <c r="A53" s="9" t="s">
        <v>190</v>
      </c>
      <c r="E53" s="3"/>
    </row>
    <row r="54" spans="1:8" x14ac:dyDescent="0.3">
      <c r="A54" s="2" t="s">
        <v>171</v>
      </c>
      <c r="E54" s="3"/>
    </row>
    <row r="55" spans="1:8" x14ac:dyDescent="0.3">
      <c r="A55" s="8" t="s">
        <v>178</v>
      </c>
      <c r="E55" s="3"/>
    </row>
    <row r="56" spans="1:8" x14ac:dyDescent="0.3">
      <c r="A56" s="9" t="s">
        <v>189</v>
      </c>
    </row>
    <row r="66" spans="1:8" x14ac:dyDescent="0.3">
      <c r="A66" t="s">
        <v>173</v>
      </c>
      <c r="E66" s="3" t="s">
        <v>81</v>
      </c>
      <c r="F66" s="6">
        <f>F20</f>
        <v>90.9375</v>
      </c>
      <c r="G66" t="s">
        <v>22</v>
      </c>
    </row>
    <row r="67" spans="1:8" x14ac:dyDescent="0.3">
      <c r="A67" t="s">
        <v>39</v>
      </c>
      <c r="E67" s="3" t="s">
        <v>40</v>
      </c>
      <c r="F67" s="6">
        <v>150</v>
      </c>
      <c r="G67" t="s">
        <v>41</v>
      </c>
      <c r="H67" t="s">
        <v>42</v>
      </c>
    </row>
    <row r="68" spans="1:8" x14ac:dyDescent="0.3">
      <c r="A68" t="s">
        <v>82</v>
      </c>
      <c r="E68" s="3" t="s">
        <v>83</v>
      </c>
      <c r="F68">
        <f>F66*F75*F74</f>
        <v>1527.4658203124998</v>
      </c>
      <c r="G68" t="s">
        <v>37</v>
      </c>
    </row>
    <row r="69" spans="1:8" x14ac:dyDescent="0.3">
      <c r="A69" t="s">
        <v>73</v>
      </c>
      <c r="E69" s="3" t="s">
        <v>74</v>
      </c>
      <c r="F69" s="10">
        <f>F68*F67</f>
        <v>229119.87304687497</v>
      </c>
      <c r="G69" t="s">
        <v>38</v>
      </c>
    </row>
    <row r="70" spans="1:8" x14ac:dyDescent="0.3">
      <c r="E70" s="3"/>
      <c r="F70" s="10">
        <f>F69/1000</f>
        <v>229.11987304687497</v>
      </c>
      <c r="G70" t="s">
        <v>43</v>
      </c>
    </row>
    <row r="71" spans="1:8" x14ac:dyDescent="0.3">
      <c r="E71" s="3"/>
    </row>
    <row r="72" spans="1:8" x14ac:dyDescent="0.3">
      <c r="E72" s="3"/>
    </row>
    <row r="73" spans="1:8" x14ac:dyDescent="0.3">
      <c r="A73" s="8" t="s">
        <v>179</v>
      </c>
      <c r="E73" s="3"/>
    </row>
    <row r="74" spans="1:8" x14ac:dyDescent="0.3">
      <c r="E74" s="3" t="s">
        <v>181</v>
      </c>
      <c r="F74" s="14">
        <f>B107</f>
        <v>4.4791666666666661</v>
      </c>
      <c r="G74" t="s">
        <v>22</v>
      </c>
    </row>
    <row r="75" spans="1:8" x14ac:dyDescent="0.3">
      <c r="E75" s="3" t="s">
        <v>182</v>
      </c>
      <c r="F75" s="6">
        <f>3+9/12</f>
        <v>3.75</v>
      </c>
      <c r="G75" t="s">
        <v>22</v>
      </c>
    </row>
    <row r="76" spans="1:8" x14ac:dyDescent="0.3">
      <c r="E76" s="3"/>
    </row>
    <row r="77" spans="1:8" x14ac:dyDescent="0.3">
      <c r="E77" s="3"/>
    </row>
    <row r="78" spans="1:8" x14ac:dyDescent="0.3">
      <c r="E78" s="3"/>
    </row>
    <row r="79" spans="1:8" x14ac:dyDescent="0.3">
      <c r="E79" s="3"/>
    </row>
    <row r="80" spans="1:8" x14ac:dyDescent="0.3">
      <c r="A80" s="9"/>
      <c r="E80" s="3"/>
    </row>
    <row r="81" spans="1:15" x14ac:dyDescent="0.3">
      <c r="E81" s="3"/>
    </row>
    <row r="82" spans="1:15" x14ac:dyDescent="0.3">
      <c r="E82" s="3"/>
    </row>
    <row r="83" spans="1:15" x14ac:dyDescent="0.3">
      <c r="E83" s="3"/>
    </row>
    <row r="84" spans="1:15" x14ac:dyDescent="0.3">
      <c r="A84" t="s">
        <v>173</v>
      </c>
      <c r="E84" s="3" t="s">
        <v>81</v>
      </c>
      <c r="F84" s="6">
        <f>F66</f>
        <v>90.9375</v>
      </c>
      <c r="G84" t="s">
        <v>22</v>
      </c>
    </row>
    <row r="85" spans="1:15" x14ac:dyDescent="0.3">
      <c r="A85" t="s">
        <v>39</v>
      </c>
      <c r="E85" s="3" t="s">
        <v>40</v>
      </c>
      <c r="F85" s="6">
        <v>150</v>
      </c>
      <c r="G85" t="s">
        <v>41</v>
      </c>
      <c r="H85" t="s">
        <v>42</v>
      </c>
    </row>
    <row r="86" spans="1:15" x14ac:dyDescent="0.3">
      <c r="A86" t="s">
        <v>82</v>
      </c>
      <c r="E86" s="3" t="s">
        <v>83</v>
      </c>
      <c r="F86">
        <f>F84*F75*F74</f>
        <v>1527.4658203124998</v>
      </c>
      <c r="G86" t="s">
        <v>37</v>
      </c>
    </row>
    <row r="87" spans="1:15" x14ac:dyDescent="0.3">
      <c r="A87" t="s">
        <v>215</v>
      </c>
      <c r="E87" s="3" t="s">
        <v>74</v>
      </c>
      <c r="F87" s="10">
        <f>F86*F85</f>
        <v>229119.87304687497</v>
      </c>
      <c r="G87" t="s">
        <v>38</v>
      </c>
    </row>
    <row r="88" spans="1:15" x14ac:dyDescent="0.3">
      <c r="E88" s="3"/>
      <c r="F88" s="10">
        <f>F87/1000</f>
        <v>229.11987304687497</v>
      </c>
      <c r="G88" t="s">
        <v>43</v>
      </c>
    </row>
    <row r="89" spans="1:15" x14ac:dyDescent="0.3">
      <c r="E89" s="3"/>
    </row>
    <row r="90" spans="1:15" x14ac:dyDescent="0.3">
      <c r="E90" s="3"/>
    </row>
    <row r="91" spans="1:15" x14ac:dyDescent="0.3">
      <c r="A91" t="s">
        <v>192</v>
      </c>
      <c r="B91" s="5">
        <v>1</v>
      </c>
      <c r="C91" s="5">
        <v>2</v>
      </c>
      <c r="D91" s="5">
        <v>3</v>
      </c>
      <c r="E91" s="5">
        <v>4</v>
      </c>
      <c r="F91" s="5">
        <v>5</v>
      </c>
      <c r="G91" s="5">
        <v>6</v>
      </c>
      <c r="H91" s="5">
        <v>7</v>
      </c>
      <c r="I91" s="5">
        <v>8</v>
      </c>
      <c r="J91" s="5">
        <v>9</v>
      </c>
      <c r="K91" s="5">
        <v>10</v>
      </c>
      <c r="L91" s="5">
        <v>11</v>
      </c>
      <c r="M91" s="5">
        <v>12</v>
      </c>
      <c r="N91" s="5">
        <v>13</v>
      </c>
      <c r="O91" s="5">
        <v>14</v>
      </c>
    </row>
    <row r="92" spans="1:15" x14ac:dyDescent="0.3">
      <c r="A92" s="24" t="s">
        <v>166</v>
      </c>
      <c r="B92" s="13">
        <f>$F$28*B17/$F$20</f>
        <v>14.57691065203788</v>
      </c>
      <c r="C92" s="13">
        <f>$F$28*((C17+B17)/2)/$F$20</f>
        <v>14.102745550345166</v>
      </c>
      <c r="D92" s="13">
        <f t="shared" ref="D92:K92" si="0">$F$28*((D17+C17)/2)/$F$20</f>
        <v>13.628580448652452</v>
      </c>
      <c r="E92" s="13">
        <f t="shared" si="0"/>
        <v>13.628580448652452</v>
      </c>
      <c r="F92" s="13">
        <f t="shared" si="0"/>
        <v>13.393942047814821</v>
      </c>
      <c r="G92" s="13">
        <f t="shared" si="0"/>
        <v>13.393942047814821</v>
      </c>
      <c r="H92" s="13">
        <f t="shared" si="0"/>
        <v>13.628580448652452</v>
      </c>
      <c r="I92" s="13">
        <f t="shared" si="0"/>
        <v>13.628580448652452</v>
      </c>
      <c r="J92" s="13">
        <f t="shared" si="0"/>
        <v>14.102745550345166</v>
      </c>
      <c r="K92" s="13">
        <f t="shared" si="0"/>
        <v>12.927848507110921</v>
      </c>
      <c r="L92" s="13">
        <f>$F$28*((L17+K17)/2)/$F$20</f>
        <v>11.278786362183958</v>
      </c>
      <c r="M92" s="13">
        <f>$F$28*((M17+L17)/2)/$F$20</f>
        <v>11.278786362183958</v>
      </c>
      <c r="N92" s="13">
        <f>$F$28*((N17+M17)/2)/$F$20</f>
        <v>12.028628121020814</v>
      </c>
      <c r="O92" s="13">
        <f>$F$28*(N17)/$F$20</f>
        <v>12.778469879857665</v>
      </c>
    </row>
    <row r="93" spans="1:15" x14ac:dyDescent="0.3">
      <c r="A93" s="24" t="s">
        <v>167</v>
      </c>
      <c r="B93" s="13">
        <f>B92</f>
        <v>14.57691065203788</v>
      </c>
      <c r="C93" s="13">
        <f t="shared" ref="C93:K93" si="1">C92</f>
        <v>14.102745550345166</v>
      </c>
      <c r="D93" s="13">
        <f t="shared" si="1"/>
        <v>13.628580448652452</v>
      </c>
      <c r="E93" s="13">
        <f t="shared" si="1"/>
        <v>13.628580448652452</v>
      </c>
      <c r="F93" s="13">
        <f t="shared" si="1"/>
        <v>13.393942047814821</v>
      </c>
      <c r="G93" s="13">
        <f t="shared" si="1"/>
        <v>13.393942047814821</v>
      </c>
      <c r="H93" s="13">
        <f t="shared" si="1"/>
        <v>13.628580448652452</v>
      </c>
      <c r="I93" s="13">
        <f t="shared" si="1"/>
        <v>13.628580448652452</v>
      </c>
      <c r="J93" s="13">
        <f t="shared" si="1"/>
        <v>14.102745550345166</v>
      </c>
      <c r="K93" s="13">
        <f t="shared" si="1"/>
        <v>12.927848507110921</v>
      </c>
      <c r="L93" s="13">
        <f t="shared" ref="L93" si="2">L92</f>
        <v>11.278786362183958</v>
      </c>
      <c r="M93" s="13">
        <f t="shared" ref="M93" si="3">M92</f>
        <v>11.278786362183958</v>
      </c>
      <c r="N93" s="13">
        <f t="shared" ref="N93" si="4">N92</f>
        <v>12.028628121020814</v>
      </c>
      <c r="O93" s="13">
        <f t="shared" ref="O93" si="5">O92</f>
        <v>12.778469879857665</v>
      </c>
    </row>
    <row r="94" spans="1:15" x14ac:dyDescent="0.3">
      <c r="A94" s="24" t="s">
        <v>168</v>
      </c>
      <c r="B94" s="13">
        <f>$F$52*B17/$F$20</f>
        <v>23.921727526275767</v>
      </c>
      <c r="C94" s="13">
        <f>$F$52*((C17+B17)/2)/$F$20</f>
        <v>23.143589508150772</v>
      </c>
      <c r="D94" s="13">
        <f t="shared" ref="D94:K94" si="6">$F$52*((D17+C17)/2)/$F$20</f>
        <v>22.365451490025773</v>
      </c>
      <c r="E94" s="13">
        <f t="shared" si="6"/>
        <v>22.365451490025773</v>
      </c>
      <c r="F94" s="13">
        <f t="shared" si="6"/>
        <v>21.980393501675255</v>
      </c>
      <c r="G94" s="13">
        <f t="shared" si="6"/>
        <v>21.980393501675255</v>
      </c>
      <c r="H94" s="13">
        <f t="shared" si="6"/>
        <v>22.365451490025773</v>
      </c>
      <c r="I94" s="13">
        <f t="shared" si="6"/>
        <v>22.365451490025773</v>
      </c>
      <c r="J94" s="13">
        <f t="shared" si="6"/>
        <v>23.143589508150772</v>
      </c>
      <c r="K94" s="13">
        <f t="shared" si="6"/>
        <v>21.215501478349513</v>
      </c>
      <c r="L94" s="13">
        <f>$F$52*((L17+K17)/2)/$F$20</f>
        <v>18.509275430423255</v>
      </c>
      <c r="M94" s="13">
        <f>$F$52*((M17+L17)/2)/$F$20</f>
        <v>18.509275430423255</v>
      </c>
      <c r="N94" s="13">
        <f>$F$52*((N17+M17)/2)/$F$20</f>
        <v>19.739818079061287</v>
      </c>
      <c r="O94" s="13">
        <f>$F$52*N17/$F$20</f>
        <v>20.970360727699312</v>
      </c>
    </row>
    <row r="95" spans="1:15" x14ac:dyDescent="0.3">
      <c r="A95" s="24" t="s">
        <v>174</v>
      </c>
      <c r="B95" s="13">
        <f>$F$88*B17/$F$20</f>
        <v>19.565734863281246</v>
      </c>
      <c r="C95" s="13">
        <f>$F$88*((C17+B17)/2)/$F$20</f>
        <v>18.929290771484375</v>
      </c>
      <c r="D95" s="13">
        <f t="shared" ref="D95:K95" si="7">$F$88*((D17+C17)/2)/$F$20</f>
        <v>18.292846679687496</v>
      </c>
      <c r="E95" s="13">
        <f t="shared" si="7"/>
        <v>18.292846679687496</v>
      </c>
      <c r="F95" s="13">
        <f t="shared" si="7"/>
        <v>17.977905273437496</v>
      </c>
      <c r="G95" s="13">
        <f t="shared" si="7"/>
        <v>17.977905273437496</v>
      </c>
      <c r="H95" s="13">
        <f t="shared" si="7"/>
        <v>18.292846679687496</v>
      </c>
      <c r="I95" s="13">
        <f t="shared" si="7"/>
        <v>18.292846679687496</v>
      </c>
      <c r="J95" s="13">
        <f t="shared" si="7"/>
        <v>18.929290771484375</v>
      </c>
      <c r="K95" s="13">
        <f t="shared" si="7"/>
        <v>17.352295166015626</v>
      </c>
      <c r="L95" s="13">
        <f>$F$88*((L17+K17)/2)/$F$20</f>
        <v>15.13885546875</v>
      </c>
      <c r="M95" s="13">
        <f>$F$88*((M17+L17)/2)/$F$20</f>
        <v>15.13885546875</v>
      </c>
      <c r="N95" s="13">
        <f>$F$88*((N17+M17)/2)/$F$20</f>
        <v>16.145324218750005</v>
      </c>
      <c r="O95" s="13">
        <f>$F$88*N17/$F$20</f>
        <v>17.151792968750012</v>
      </c>
    </row>
    <row r="97" spans="1:15" x14ac:dyDescent="0.3">
      <c r="A97" s="24" t="s">
        <v>196</v>
      </c>
      <c r="B97" s="13">
        <f>MAX(B92+B94+B95,B93+B94+B95)</f>
        <v>58.064373041594891</v>
      </c>
      <c r="C97" s="13">
        <f t="shared" ref="C97:O97" si="8">MAX(C92+C94+C95,C93+C94+C95)</f>
        <v>56.175625829980312</v>
      </c>
      <c r="D97" s="13">
        <f t="shared" si="8"/>
        <v>54.286878618365719</v>
      </c>
      <c r="E97" s="13">
        <f t="shared" si="8"/>
        <v>54.286878618365719</v>
      </c>
      <c r="F97" s="13">
        <f t="shared" si="8"/>
        <v>53.35224082292757</v>
      </c>
      <c r="G97" s="13">
        <f t="shared" si="8"/>
        <v>53.35224082292757</v>
      </c>
      <c r="H97" s="13">
        <f t="shared" si="8"/>
        <v>54.286878618365719</v>
      </c>
      <c r="I97" s="13">
        <f t="shared" si="8"/>
        <v>54.286878618365719</v>
      </c>
      <c r="J97" s="13">
        <f t="shared" si="8"/>
        <v>56.175625829980312</v>
      </c>
      <c r="K97" s="13">
        <f t="shared" si="8"/>
        <v>51.495645151476054</v>
      </c>
      <c r="L97" s="13">
        <f t="shared" si="8"/>
        <v>44.926917261357211</v>
      </c>
      <c r="M97" s="13">
        <f t="shared" si="8"/>
        <v>44.926917261357211</v>
      </c>
      <c r="N97" s="13">
        <f t="shared" si="8"/>
        <v>47.913770418832108</v>
      </c>
      <c r="O97" s="13">
        <f t="shared" si="8"/>
        <v>50.900623576306984</v>
      </c>
    </row>
    <row r="98" spans="1:15" x14ac:dyDescent="0.3">
      <c r="A98" s="24" t="s">
        <v>198</v>
      </c>
      <c r="B98" s="13">
        <f>MAX(B97:O97)</f>
        <v>58.064373041594891</v>
      </c>
    </row>
    <row r="99" spans="1:15" x14ac:dyDescent="0.3">
      <c r="A99" s="24" t="s">
        <v>197</v>
      </c>
      <c r="B99">
        <f>B98/2</f>
        <v>29.032186520797445</v>
      </c>
    </row>
    <row r="100" spans="1:15" x14ac:dyDescent="0.3">
      <c r="F100" t="s">
        <v>193</v>
      </c>
    </row>
    <row r="101" spans="1:15" x14ac:dyDescent="0.3">
      <c r="F101" t="s">
        <v>194</v>
      </c>
    </row>
    <row r="102" spans="1:15" x14ac:dyDescent="0.3">
      <c r="B102" s="3" t="s">
        <v>105</v>
      </c>
      <c r="C102" s="14">
        <f>8.25/12</f>
        <v>0.6875</v>
      </c>
      <c r="D102" t="s">
        <v>22</v>
      </c>
    </row>
    <row r="103" spans="1:15" x14ac:dyDescent="0.3">
      <c r="B103" s="3" t="s">
        <v>106</v>
      </c>
      <c r="C103" s="14">
        <f>2/12</f>
        <v>0.16666666666666666</v>
      </c>
      <c r="D103" t="s">
        <v>22</v>
      </c>
      <c r="F103" t="s">
        <v>195</v>
      </c>
    </row>
    <row r="104" spans="1:15" x14ac:dyDescent="0.3">
      <c r="B104" s="3" t="s">
        <v>107</v>
      </c>
      <c r="C104" s="14">
        <v>3</v>
      </c>
      <c r="D104" t="s">
        <v>22</v>
      </c>
    </row>
    <row r="105" spans="1:15" x14ac:dyDescent="0.3">
      <c r="B105" s="3" t="s">
        <v>108</v>
      </c>
      <c r="C105" s="14">
        <f>6/12</f>
        <v>0.5</v>
      </c>
      <c r="D105" t="s">
        <v>22</v>
      </c>
    </row>
    <row r="106" spans="1:15" x14ac:dyDescent="0.3">
      <c r="B106" s="3" t="s">
        <v>109</v>
      </c>
      <c r="C106" s="14">
        <f>1.5/12</f>
        <v>0.125</v>
      </c>
      <c r="D106" t="s">
        <v>22</v>
      </c>
    </row>
    <row r="107" spans="1:15" x14ac:dyDescent="0.3">
      <c r="A107" t="s">
        <v>112</v>
      </c>
      <c r="B107" s="13">
        <f>SUM(C102:C106)</f>
        <v>4.4791666666666661</v>
      </c>
      <c r="C107" t="s">
        <v>22</v>
      </c>
    </row>
    <row r="114" spans="1:6" x14ac:dyDescent="0.3">
      <c r="A114" s="2" t="s">
        <v>202</v>
      </c>
      <c r="C114" s="23" t="s">
        <v>203</v>
      </c>
      <c r="D114" s="1"/>
      <c r="E114" s="23" t="s">
        <v>204</v>
      </c>
    </row>
    <row r="115" spans="1:6" x14ac:dyDescent="0.3">
      <c r="A115" s="2"/>
      <c r="C115" s="32">
        <f>'Existing Sup'!B129+'Existing Sub'!B87</f>
        <v>66.900709486467804</v>
      </c>
      <c r="D115" t="s">
        <v>43</v>
      </c>
      <c r="E115" s="32">
        <f>'Proposed Sup'!B129+'Add''l Sub Exist'!B99</f>
        <v>67.947186520797445</v>
      </c>
      <c r="F115" t="s">
        <v>43</v>
      </c>
    </row>
    <row r="118" spans="1:6" x14ac:dyDescent="0.3">
      <c r="A118" s="3" t="s">
        <v>205</v>
      </c>
      <c r="C118" s="33">
        <f>(C115-E115)/C115</f>
        <v>-1.5642241201362966E-2</v>
      </c>
    </row>
    <row r="120" spans="1:6" x14ac:dyDescent="0.3">
      <c r="A120" t="s">
        <v>206</v>
      </c>
      <c r="B120" s="34">
        <v>0.1</v>
      </c>
    </row>
  </sheetData>
  <mergeCells count="7">
    <mergeCell ref="P5:Q5"/>
    <mergeCell ref="S5:T5"/>
    <mergeCell ref="P1:T1"/>
    <mergeCell ref="P2:T2"/>
    <mergeCell ref="P3:T3"/>
    <mergeCell ref="P4:Q4"/>
    <mergeCell ref="S4:T4"/>
  </mergeCells>
  <conditionalFormatting sqref="C118">
    <cfRule type="cellIs" dxfId="1" priority="1" operator="lessThan">
      <formula>0.1</formula>
    </cfRule>
    <cfRule type="cellIs" dxfId="0" priority="2" operator="greaterThan">
      <formula>0.1</formula>
    </cfRule>
  </conditionalFormatting>
  <pageMargins left="0.7" right="0.7" top="0.75" bottom="0.75" header="0.3" footer="0.3"/>
  <pageSetup scale="59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ab2bdaf-f3ac-4c35-92c6-5c9fa6f459f4" xsi:nil="true"/>
    <lcf76f155ced4ddcb4097134ff3c332f xmlns="fb9d9a52-04eb-434a-b846-71d05b76f5a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0E6C87637D7D4391E0B2DDEDAB2FB1" ma:contentTypeVersion="12" ma:contentTypeDescription="Create a new document." ma:contentTypeScope="" ma:versionID="4d14eee613e36d1eb3be819dade54999">
  <xsd:schema xmlns:xsd="http://www.w3.org/2001/XMLSchema" xmlns:xs="http://www.w3.org/2001/XMLSchema" xmlns:p="http://schemas.microsoft.com/office/2006/metadata/properties" xmlns:ns2="fb9d9a52-04eb-434a-b846-71d05b76f5a9" xmlns:ns3="3ab2bdaf-f3ac-4c35-92c6-5c9fa6f459f4" targetNamespace="http://schemas.microsoft.com/office/2006/metadata/properties" ma:root="true" ma:fieldsID="594be22eb9dc1b56fb95337fe58f2e64" ns2:_="" ns3:_="">
    <xsd:import namespace="fb9d9a52-04eb-434a-b846-71d05b76f5a9"/>
    <xsd:import namespace="3ab2bdaf-f3ac-4c35-92c6-5c9fa6f459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9d9a52-04eb-434a-b846-71d05b76f5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b2bdaf-f3ac-4c35-92c6-5c9fa6f459f4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c3eb4985-47b0-4469-9bb4-fa4234df133b}" ma:internalName="TaxCatchAll" ma:showField="CatchAllData" ma:web="3ab2bdaf-f3ac-4c35-92c6-5c9fa6f459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B70C42-AA58-48C1-8BEE-4D3E4B018C2E}">
  <ds:schemaRefs>
    <ds:schemaRef ds:uri="fb9d9a52-04eb-434a-b846-71d05b76f5a9"/>
    <ds:schemaRef ds:uri="http://purl.org/dc/terms/"/>
    <ds:schemaRef ds:uri="3ab2bdaf-f3ac-4c35-92c6-5c9fa6f459f4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492783E-A0B4-4678-8841-6C1E8F06D6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9d9a52-04eb-434a-b846-71d05b76f5a9"/>
    <ds:schemaRef ds:uri="3ab2bdaf-f3ac-4c35-92c6-5c9fa6f459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6783E9-0913-483F-90A1-EF04A79615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Existing Sup</vt:lpstr>
      <vt:lpstr>Existing Sub</vt:lpstr>
      <vt:lpstr>Proposed Sup</vt:lpstr>
      <vt:lpstr>Add'l Sub Exist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McGraw, Conner</dc:creator>
  <cp:lastModifiedBy>McGraw, Conner</cp:lastModifiedBy>
  <cp:lastPrinted>2023-02-20T20:13:47Z</cp:lastPrinted>
  <dcterms:created xsi:type="dcterms:W3CDTF">2023-02-07T19:59:03Z</dcterms:created>
  <dcterms:modified xsi:type="dcterms:W3CDTF">2023-03-16T18:32:03Z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0x010100390E6C87637D7D4391E0B2DDEDAB2FB1</vt:lpwstr>
  </property>
  <property fmtid="{D5CDD505-2E9C-101B-9397-08002B2CF9AE}" pid="3" name="MediaServiceImageTags">
    <vt:lpwstr/>
  </property>
</Properties>
</file>