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w_work\arcadispw01\julia.hart\d0108279\"/>
    </mc:Choice>
  </mc:AlternateContent>
  <xr:revisionPtr revIDLastSave="0" documentId="13_ncr:1_{E405B76B-12C1-474F-8D60-49A436AFEB09}" xr6:coauthVersionLast="47" xr6:coauthVersionMax="47" xr10:uidLastSave="{00000000-0000-0000-0000-000000000000}"/>
  <bookViews>
    <workbookView xWindow="29700" yWindow="4005" windowWidth="23730" windowHeight="10530" xr2:uid="{EB77EC53-AB4B-4BF1-9935-8C5F47C52782}"/>
  </bookViews>
  <sheets>
    <sheet name="Data" sheetId="1" r:id="rId1"/>
  </sheets>
  <definedNames>
    <definedName name="_xlnm.Print_Area" localSheetId="0">Data!$A$1:$R$95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F38" i="1"/>
  <c r="G38" i="1"/>
  <c r="H38" i="1"/>
  <c r="K38" i="1" s="1"/>
  <c r="I38" i="1"/>
  <c r="E39" i="1"/>
  <c r="F39" i="1"/>
  <c r="G39" i="1"/>
  <c r="H39" i="1"/>
  <c r="K39" i="1" s="1"/>
  <c r="I39" i="1"/>
  <c r="I37" i="1"/>
  <c r="G37" i="1"/>
  <c r="F37" i="1"/>
  <c r="H37" i="1"/>
  <c r="E36" i="1"/>
  <c r="F36" i="1"/>
  <c r="G36" i="1"/>
  <c r="I36" i="1"/>
  <c r="F58" i="1"/>
  <c r="F54" i="1"/>
  <c r="F53" i="1"/>
  <c r="F52" i="1"/>
  <c r="F51" i="1"/>
  <c r="F50" i="1"/>
  <c r="B59" i="1"/>
  <c r="H59" i="1" s="1"/>
  <c r="I59" i="1"/>
  <c r="G59" i="1"/>
  <c r="F59" i="1"/>
  <c r="E58" i="1"/>
  <c r="H58" i="1"/>
  <c r="I58" i="1"/>
  <c r="B66" i="1"/>
  <c r="C66" i="1"/>
  <c r="I66" i="1" s="1"/>
  <c r="D66" i="1"/>
  <c r="F66" i="1" s="1"/>
  <c r="E67" i="1"/>
  <c r="F67" i="1"/>
  <c r="H67" i="1"/>
  <c r="I67" i="1"/>
  <c r="J67" i="1"/>
  <c r="B54" i="1"/>
  <c r="E54" i="1" s="1"/>
  <c r="B53" i="1"/>
  <c r="H53" i="1" s="1"/>
  <c r="E52" i="1"/>
  <c r="G52" i="1"/>
  <c r="H52" i="1"/>
  <c r="I52" i="1"/>
  <c r="G53" i="1"/>
  <c r="I53" i="1"/>
  <c r="G54" i="1"/>
  <c r="I54" i="1"/>
  <c r="B51" i="1"/>
  <c r="Q51" i="1" s="1"/>
  <c r="C68" i="1"/>
  <c r="I68" i="1" s="1"/>
  <c r="H68" i="1"/>
  <c r="F68" i="1"/>
  <c r="B24" i="1"/>
  <c r="E24" i="1" s="1"/>
  <c r="B22" i="1"/>
  <c r="E22" i="1" s="1"/>
  <c r="D23" i="1"/>
  <c r="E23" i="1"/>
  <c r="D22" i="1"/>
  <c r="F22" i="1" s="1"/>
  <c r="D17" i="1"/>
  <c r="J17" i="1" s="1"/>
  <c r="I22" i="1"/>
  <c r="F23" i="1"/>
  <c r="I23" i="1"/>
  <c r="J23" i="1"/>
  <c r="F24" i="1"/>
  <c r="I24" i="1"/>
  <c r="J24" i="1"/>
  <c r="E21" i="1"/>
  <c r="F21" i="1"/>
  <c r="H21" i="1"/>
  <c r="I21" i="1"/>
  <c r="J21" i="1"/>
  <c r="J20" i="1"/>
  <c r="J19" i="1"/>
  <c r="J16" i="1"/>
  <c r="H79" i="1"/>
  <c r="I79" i="1"/>
  <c r="H80" i="1"/>
  <c r="I80" i="1"/>
  <c r="H81" i="1"/>
  <c r="I81" i="1"/>
  <c r="H82" i="1"/>
  <c r="I82" i="1"/>
  <c r="H83" i="1"/>
  <c r="I83" i="1"/>
  <c r="K83" i="1" s="1"/>
  <c r="H84" i="1"/>
  <c r="I84" i="1"/>
  <c r="H85" i="1"/>
  <c r="I85" i="1"/>
  <c r="H86" i="1"/>
  <c r="I86" i="1"/>
  <c r="H87" i="1"/>
  <c r="I87" i="1"/>
  <c r="H88" i="1"/>
  <c r="I88" i="1"/>
  <c r="H89" i="1"/>
  <c r="I89" i="1"/>
  <c r="K89" i="1" s="1"/>
  <c r="H90" i="1"/>
  <c r="I90" i="1"/>
  <c r="H78" i="1"/>
  <c r="E79" i="1"/>
  <c r="E80" i="1"/>
  <c r="E81" i="1"/>
  <c r="E82" i="1"/>
  <c r="E83" i="1"/>
  <c r="E84" i="1"/>
  <c r="E85" i="1"/>
  <c r="E86" i="1"/>
  <c r="E87" i="1"/>
  <c r="E88" i="1"/>
  <c r="E89" i="1"/>
  <c r="E90" i="1"/>
  <c r="E78" i="1"/>
  <c r="K59" i="1" l="1"/>
  <c r="E66" i="1"/>
  <c r="K67" i="1"/>
  <c r="E37" i="1"/>
  <c r="K82" i="1"/>
  <c r="H66" i="1"/>
  <c r="K66" i="1"/>
  <c r="J66" i="1"/>
  <c r="E59" i="1"/>
  <c r="K37" i="1"/>
  <c r="K53" i="1"/>
  <c r="H36" i="1"/>
  <c r="K36" i="1" s="1"/>
  <c r="K85" i="1"/>
  <c r="K81" i="1"/>
  <c r="H54" i="1"/>
  <c r="K54" i="1" s="1"/>
  <c r="K79" i="1"/>
  <c r="K52" i="1"/>
  <c r="K58" i="1"/>
  <c r="E53" i="1"/>
  <c r="E68" i="1"/>
  <c r="K68" i="1"/>
  <c r="J68" i="1"/>
  <c r="K86" i="1"/>
  <c r="K87" i="1"/>
  <c r="K80" i="1"/>
  <c r="K90" i="1"/>
  <c r="K84" i="1"/>
  <c r="K88" i="1"/>
  <c r="H24" i="1"/>
  <c r="K24" i="1" s="1"/>
  <c r="H23" i="1"/>
  <c r="K23" i="1" s="1"/>
  <c r="J22" i="1"/>
  <c r="H22" i="1"/>
  <c r="K22" i="1" s="1"/>
  <c r="K21" i="1"/>
  <c r="Q69" i="1" l="1"/>
  <c r="Q52" i="1"/>
  <c r="I78" i="1"/>
  <c r="K78" i="1" s="1"/>
  <c r="Q94" i="1" s="1"/>
  <c r="J45" i="1"/>
  <c r="I45" i="1"/>
  <c r="H45" i="1"/>
  <c r="F45" i="1"/>
  <c r="E45" i="1"/>
  <c r="I44" i="1"/>
  <c r="F44" i="1"/>
  <c r="E44" i="1"/>
  <c r="I43" i="1"/>
  <c r="F43" i="1"/>
  <c r="E43" i="1"/>
  <c r="H43" i="1"/>
  <c r="K45" i="1" l="1"/>
  <c r="K43" i="1"/>
  <c r="J78" i="1"/>
  <c r="H44" i="1"/>
  <c r="K44" i="1" s="1"/>
  <c r="B34" i="1"/>
  <c r="E34" i="1" s="1"/>
  <c r="F34" i="1"/>
  <c r="G34" i="1"/>
  <c r="I34" i="1"/>
  <c r="B35" i="1"/>
  <c r="H35" i="1" s="1"/>
  <c r="F35" i="1"/>
  <c r="G35" i="1"/>
  <c r="I35" i="1"/>
  <c r="B33" i="1"/>
  <c r="I51" i="1"/>
  <c r="G51" i="1"/>
  <c r="G50" i="1"/>
  <c r="E50" i="1"/>
  <c r="G33" i="1"/>
  <c r="I50" i="1"/>
  <c r="F16" i="1"/>
  <c r="F17" i="1"/>
  <c r="F33" i="1"/>
  <c r="I33" i="1"/>
  <c r="F20" i="1"/>
  <c r="I20" i="1"/>
  <c r="I17" i="1"/>
  <c r="E20" i="1"/>
  <c r="I19" i="1"/>
  <c r="F18" i="1"/>
  <c r="I18" i="1"/>
  <c r="H17" i="1"/>
  <c r="C16" i="1"/>
  <c r="I16" i="1" s="1"/>
  <c r="H16" i="1"/>
  <c r="Q34" i="1" l="1"/>
  <c r="Q35" i="1"/>
  <c r="H33" i="1"/>
  <c r="K33" i="1" s="1"/>
  <c r="E51" i="1"/>
  <c r="K17" i="1"/>
  <c r="K35" i="1"/>
  <c r="E35" i="1"/>
  <c r="H34" i="1"/>
  <c r="K34" i="1" s="1"/>
  <c r="H20" i="1"/>
  <c r="K20" i="1" s="1"/>
  <c r="K16" i="1"/>
  <c r="E16" i="1"/>
  <c r="H51" i="1"/>
  <c r="K51" i="1" s="1"/>
  <c r="E19" i="1"/>
  <c r="J18" i="1"/>
  <c r="E18" i="1"/>
  <c r="E17" i="1"/>
  <c r="H50" i="1"/>
  <c r="K50" i="1" s="1"/>
  <c r="F19" i="1"/>
  <c r="H18" i="1"/>
  <c r="K18" i="1" s="1"/>
  <c r="H19" i="1"/>
  <c r="K19" i="1" s="1"/>
  <c r="E33" i="1"/>
  <c r="Q28" i="1" l="1"/>
</calcChain>
</file>

<file path=xl/sharedStrings.xml><?xml version="1.0" encoding="utf-8"?>
<sst xmlns="http://schemas.openxmlformats.org/spreadsheetml/2006/main" count="159" uniqueCount="75">
  <si>
    <t>PIER 1</t>
  </si>
  <si>
    <t>PIER 2</t>
  </si>
  <si>
    <t>ORIGINAL</t>
  </si>
  <si>
    <t>AREA (SF)</t>
  </si>
  <si>
    <t>25% INCREASE</t>
  </si>
  <si>
    <t>NOTES</t>
  </si>
  <si>
    <t>DELAM, P. 428</t>
  </si>
  <si>
    <t>DELAM, P. 429</t>
  </si>
  <si>
    <t>FORWARD ABUTMENT (north abut.)</t>
  </si>
  <si>
    <t>REAR ABUTMENT (south abut.)</t>
  </si>
  <si>
    <t>NORTH FACE, CRACK, P. 451, LENGTH WAS ASSUMED</t>
  </si>
  <si>
    <t>NORTH FACE, CRACK, P. 436, LENGTH ASSUMED</t>
  </si>
  <si>
    <t>NORTH FACE, CRACK, P. 437, LENGTH ASSUMED</t>
  </si>
  <si>
    <t>ITEM 519 - PATCHING CONCRETE STRUCTURE</t>
  </si>
  <si>
    <t>(INCLUDES INCREASE OF 25%)</t>
  </si>
  <si>
    <t>REPAIR QUANTITIES - PIER 2</t>
  </si>
  <si>
    <t>REPAIR QUANTITIES - PIER 1</t>
  </si>
  <si>
    <t>REPAIR QUANTITIES - FORWARD ABUTMENT</t>
  </si>
  <si>
    <t>REPAIR QUANTITIES - REAR ABUTMENT</t>
  </si>
  <si>
    <t>ITEM 512 - CONCRETE REPAIR BY EPOXY INJECTION</t>
  </si>
  <si>
    <t>DECK UNDERSIDE AND EDGE (south ML US23)</t>
  </si>
  <si>
    <t>ITEM 520</t>
  </si>
  <si>
    <t>REPAIR QUANTITIES - DECK SLAB</t>
  </si>
  <si>
    <t>EXPOSED REBAR</t>
  </si>
  <si>
    <t>FT</t>
  </si>
  <si>
    <t>DEPTH (FT)</t>
  </si>
  <si>
    <t>ITEM 521</t>
  </si>
  <si>
    <t>ITEM 522</t>
  </si>
  <si>
    <t>ITEM 523</t>
  </si>
  <si>
    <t>ITEM 524</t>
  </si>
  <si>
    <t>ITEM 525</t>
  </si>
  <si>
    <t>ITEM 526</t>
  </si>
  <si>
    <t>ITEM 527</t>
  </si>
  <si>
    <t>ITEM 528</t>
  </si>
  <si>
    <t>ITEM 529</t>
  </si>
  <si>
    <t>ITEM 530</t>
  </si>
  <si>
    <t>ITEM 531</t>
  </si>
  <si>
    <t>ITEM 532</t>
  </si>
  <si>
    <t>2LMN, Inc.</t>
  </si>
  <si>
    <t>Calculated:</t>
  </si>
  <si>
    <t>RFS</t>
  </si>
  <si>
    <t>Date:</t>
  </si>
  <si>
    <t>Stage Review Submission:</t>
  </si>
  <si>
    <t>Checked:</t>
  </si>
  <si>
    <t>PID/Job No.:</t>
  </si>
  <si>
    <t>Concurred:</t>
  </si>
  <si>
    <t>Bridge No.:</t>
  </si>
  <si>
    <t>LUC-23-11.75</t>
  </si>
  <si>
    <t>Back Checked:</t>
  </si>
  <si>
    <t>SFN:</t>
  </si>
  <si>
    <t>Released:</t>
  </si>
  <si>
    <t>Project:</t>
  </si>
  <si>
    <t>ARCA_105889_LUC-23-11.75</t>
  </si>
  <si>
    <t>Estimated Quantities- Left Bridge</t>
  </si>
  <si>
    <t>DELAM, P. 426</t>
  </si>
  <si>
    <t>DELAM, P. 425</t>
  </si>
  <si>
    <t>DELAM, P. 427</t>
  </si>
  <si>
    <t>SPALL, EXPOSED REBAR, P. 424</t>
  </si>
  <si>
    <t>SPALL, EXPOSED REBAR, P. 431</t>
  </si>
  <si>
    <t>DELAM, P. 432</t>
  </si>
  <si>
    <t>SPALL, EXPOSED REBAR, P. 433</t>
  </si>
  <si>
    <t>SPALL, EXPOSED REBAR, P. 469</t>
  </si>
  <si>
    <t>DELAM W/ EFFLOR, P. 468</t>
  </si>
  <si>
    <t>DELAMW/ EFFLOR, P. 467</t>
  </si>
  <si>
    <t>SOUTH FACE, CRACK, P. 458, LENGTH ASSUMED</t>
  </si>
  <si>
    <t>SOUTH FACE, CRACK, P. 459, LENGTH ASSUMED</t>
  </si>
  <si>
    <t>NORTH FACE, CRACK, P. 438, LENGTH ASSUMED</t>
  </si>
  <si>
    <t>NORTH FACE, DELAM, P. 435</t>
  </si>
  <si>
    <t>NORTH FACE, DELAM, P. 434</t>
  </si>
  <si>
    <r>
      <rPr>
        <sz val="11"/>
        <color theme="1"/>
        <rFont val="Calibri"/>
        <family val="2"/>
      </rPr>
      <t>Δ</t>
    </r>
    <r>
      <rPr>
        <i/>
        <sz val="11"/>
        <color theme="1"/>
        <rFont val="Arial"/>
        <family val="2"/>
      </rPr>
      <t xml:space="preserve"> ITEM 519 - PATCHING CONCRETE STRUCTURE</t>
    </r>
  </si>
  <si>
    <t>(Δ - INCLUDES INCREASE OF 25%)</t>
  </si>
  <si>
    <t>NORTH FACE, CRACK, P. 448, LENGTH WAS ASSUMED</t>
  </si>
  <si>
    <t>SOUTH FACE, CRACK, P. 473, LENGTH WAS ASSUMED</t>
  </si>
  <si>
    <t>SOUTH FACE, DELAM, P. 474</t>
  </si>
  <si>
    <t>NORTH FACE, DELAM, P. 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</si>
</sst>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#0&quot; FT&quot;"/>
    <numFmt numFmtId="166" formatCode="##0&quot; SQ FT&quot;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i/>
      <sz val="22"/>
      <color indexed="18"/>
      <name val="BankGothic Md BT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sz val="11"/>
      <color rgb="FF000000"/>
      <name val="Cambria"/>
      <family val="1"/>
    </font>
    <font>
      <i/>
      <sz val="11"/>
      <color rgb="FF16365C"/>
      <name val="Calibri"/>
      <family val="2"/>
    </font>
    <font>
      <b/>
      <i/>
      <sz val="11"/>
      <color rgb="FF16365C"/>
      <name val="Calibri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rgb="FF000099"/>
        <bgColor rgb="FF000000"/>
      </patternFill>
    </fill>
    <fill>
      <patternFill patternType="solid">
        <fgColor rgb="FFC5D9F1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5" borderId="7" applyNumberFormat="0" applyAlignment="0" applyProtection="0"/>
    <xf numFmtId="0" fontId="6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5" borderId="7" xfId="1" applyAlignment="1">
      <alignment horizontal="center"/>
    </xf>
    <xf numFmtId="0" fontId="0" fillId="0" borderId="0" xfId="0" applyAlignment="1">
      <alignment vertical="center"/>
    </xf>
    <xf numFmtId="0" fontId="7" fillId="0" borderId="8" xfId="2" applyFont="1" applyBorder="1"/>
    <xf numFmtId="0" fontId="8" fillId="0" borderId="9" xfId="2" applyFont="1" applyBorder="1"/>
    <xf numFmtId="0" fontId="6" fillId="0" borderId="0" xfId="0" applyFont="1"/>
    <xf numFmtId="0" fontId="8" fillId="6" borderId="10" xfId="2" applyFont="1" applyFill="1" applyBorder="1"/>
    <xf numFmtId="0" fontId="8" fillId="6" borderId="0" xfId="2" applyFont="1" applyFill="1"/>
    <xf numFmtId="0" fontId="9" fillId="0" borderId="10" xfId="2" applyFont="1" applyBorder="1" applyAlignment="1">
      <alignment horizontal="left"/>
    </xf>
    <xf numFmtId="0" fontId="9" fillId="0" borderId="0" xfId="2" applyFont="1" applyAlignment="1">
      <alignment horizontal="centerContinuous"/>
    </xf>
    <xf numFmtId="0" fontId="9" fillId="0" borderId="0" xfId="2" applyFont="1" applyAlignment="1">
      <alignment horizontal="center"/>
    </xf>
    <xf numFmtId="0" fontId="10" fillId="0" borderId="11" xfId="2" applyFont="1" applyBorder="1" applyAlignment="1">
      <alignment horizontal="right"/>
    </xf>
    <xf numFmtId="0" fontId="11" fillId="7" borderId="12" xfId="2" applyFont="1" applyFill="1" applyBorder="1" applyAlignment="1">
      <alignment horizontal="center" vertical="center"/>
    </xf>
    <xf numFmtId="0" fontId="10" fillId="0" borderId="12" xfId="2" applyFont="1" applyBorder="1" applyAlignment="1">
      <alignment horizontal="right"/>
    </xf>
    <xf numFmtId="14" fontId="11" fillId="7" borderId="12" xfId="2" applyNumberFormat="1" applyFont="1" applyFill="1" applyBorder="1" applyAlignment="1">
      <alignment horizontal="center" vertical="center" shrinkToFit="1"/>
    </xf>
    <xf numFmtId="0" fontId="8" fillId="0" borderId="12" xfId="2" applyFont="1" applyBorder="1"/>
    <xf numFmtId="0" fontId="10" fillId="0" borderId="13" xfId="2" applyFont="1" applyBorder="1" applyAlignment="1">
      <alignment horizontal="right"/>
    </xf>
    <xf numFmtId="0" fontId="11" fillId="7" borderId="14" xfId="2" applyFont="1" applyFill="1" applyBorder="1" applyAlignment="1">
      <alignment horizontal="center" vertical="center"/>
    </xf>
    <xf numFmtId="0" fontId="10" fillId="0" borderId="14" xfId="2" applyFont="1" applyBorder="1" applyAlignment="1">
      <alignment horizontal="right"/>
    </xf>
    <xf numFmtId="14" fontId="11" fillId="7" borderId="14" xfId="2" applyNumberFormat="1" applyFont="1" applyFill="1" applyBorder="1" applyAlignment="1">
      <alignment horizontal="center" vertical="center"/>
    </xf>
    <xf numFmtId="0" fontId="8" fillId="0" borderId="14" xfId="2" applyFont="1" applyBorder="1"/>
    <xf numFmtId="0" fontId="11" fillId="0" borderId="14" xfId="2" applyFont="1" applyBorder="1" applyAlignment="1">
      <alignment horizontal="left" indent="2"/>
    </xf>
    <xf numFmtId="0" fontId="11" fillId="7" borderId="14" xfId="2" applyFont="1" applyFill="1" applyBorder="1" applyAlignment="1">
      <alignment horizontal="left" indent="2"/>
    </xf>
    <xf numFmtId="0" fontId="8" fillId="7" borderId="14" xfId="2" applyFont="1" applyFill="1" applyBorder="1"/>
    <xf numFmtId="0" fontId="10" fillId="0" borderId="15" xfId="2" applyFont="1" applyBorder="1" applyAlignment="1">
      <alignment horizontal="right"/>
    </xf>
    <xf numFmtId="0" fontId="12" fillId="7" borderId="16" xfId="2" applyFont="1" applyFill="1" applyBorder="1" applyAlignment="1">
      <alignment horizontal="left" indent="2"/>
    </xf>
    <xf numFmtId="0" fontId="8" fillId="7" borderId="16" xfId="2" applyFont="1" applyFill="1" applyBorder="1"/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1" fillId="7" borderId="12" xfId="2" applyFont="1" applyFill="1" applyBorder="1" applyAlignment="1">
      <alignment horizontal="center"/>
    </xf>
    <xf numFmtId="0" fontId="11" fillId="7" borderId="14" xfId="2" applyFont="1" applyFill="1" applyBorder="1" applyAlignment="1">
      <alignment horizontal="center"/>
    </xf>
  </cellXfs>
  <cellStyles count="3">
    <cellStyle name="Input" xfId="1" builtinId="20"/>
    <cellStyle name="Normal" xfId="0" builtinId="0"/>
    <cellStyle name="Normal 4" xfId="2" xr:uid="{DD04D295-6563-4C6C-8FF5-6FB42016F2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6BB07-6DF4-4EDF-8181-830B627133DF}">
  <sheetPr>
    <pageSetUpPr fitToPage="1"/>
  </sheetPr>
  <dimension ref="A1:T94"/>
  <sheetViews>
    <sheetView tabSelected="1" view="pageBreakPreview" topLeftCell="L55" zoomScaleNormal="100" zoomScaleSheetLayoutView="100" workbookViewId="0">
      <selection activeCell="P67" sqref="P67:Q69"/>
    </sheetView>
  </sheetViews>
  <sheetFormatPr defaultRowHeight="15" x14ac:dyDescent="0.25"/>
  <cols>
    <col min="1" max="1" width="9.140625" style="1"/>
    <col min="2" max="4" width="9.5703125" style="1" bestFit="1" customWidth="1"/>
    <col min="5" max="5" width="10.5703125" style="1" bestFit="1" customWidth="1"/>
    <col min="6" max="11" width="9.140625" style="1"/>
    <col min="12" max="12" width="5.85546875" style="1" customWidth="1"/>
    <col min="13" max="13" width="29.85546875" style="1" customWidth="1"/>
    <col min="14" max="14" width="16.5703125" style="1" customWidth="1"/>
    <col min="15" max="15" width="9.140625" style="1"/>
    <col min="16" max="16" width="33.7109375" style="1" bestFit="1" customWidth="1"/>
    <col min="17" max="17" width="16.140625" style="1" customWidth="1"/>
    <col min="18" max="16384" width="9.140625" style="1"/>
  </cols>
  <sheetData>
    <row r="1" spans="1:20" s="20" customFormat="1" ht="27.75" x14ac:dyDescent="0.4">
      <c r="A1" s="18" t="s">
        <v>38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20" s="20" customFormat="1" ht="4.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20" s="20" customFormat="1" ht="4.5" customHeight="1" x14ac:dyDescent="0.3">
      <c r="A3" s="23"/>
      <c r="B3" s="24"/>
      <c r="C3" s="24"/>
      <c r="D3" s="25"/>
      <c r="E3" s="24"/>
      <c r="F3" s="24"/>
    </row>
    <row r="4" spans="1:20" s="20" customFormat="1" x14ac:dyDescent="0.25">
      <c r="A4" s="26" t="s">
        <v>39</v>
      </c>
      <c r="B4" s="27" t="s">
        <v>40</v>
      </c>
      <c r="C4" s="28" t="s">
        <v>41</v>
      </c>
      <c r="D4" s="29">
        <v>45061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28" t="s">
        <v>42</v>
      </c>
      <c r="Q4" s="46">
        <v>2</v>
      </c>
      <c r="R4" s="46"/>
    </row>
    <row r="5" spans="1:20" s="20" customFormat="1" x14ac:dyDescent="0.25">
      <c r="A5" s="31" t="s">
        <v>43</v>
      </c>
      <c r="B5" s="32"/>
      <c r="C5" s="33" t="s">
        <v>41</v>
      </c>
      <c r="D5" s="34"/>
      <c r="E5" s="35"/>
      <c r="F5" s="30"/>
      <c r="G5" s="30"/>
      <c r="H5" s="30"/>
      <c r="I5" s="30"/>
      <c r="J5" s="30"/>
      <c r="K5" s="30"/>
      <c r="L5" s="30"/>
      <c r="M5" s="30"/>
      <c r="N5" s="30"/>
      <c r="O5" s="30"/>
      <c r="P5" s="33" t="s">
        <v>44</v>
      </c>
      <c r="Q5" s="47">
        <v>1059889</v>
      </c>
      <c r="R5" s="47"/>
    </row>
    <row r="6" spans="1:20" s="20" customFormat="1" x14ac:dyDescent="0.25">
      <c r="A6" s="31" t="s">
        <v>45</v>
      </c>
      <c r="B6" s="32"/>
      <c r="C6" s="33" t="s">
        <v>41</v>
      </c>
      <c r="D6" s="34"/>
      <c r="E6" s="35"/>
      <c r="F6" s="30"/>
      <c r="G6" s="30"/>
      <c r="H6" s="30"/>
      <c r="I6" s="30"/>
      <c r="J6" s="30"/>
      <c r="K6" s="30"/>
      <c r="L6" s="30"/>
      <c r="M6" s="30"/>
      <c r="N6" s="30"/>
      <c r="O6" s="30"/>
      <c r="P6" s="33" t="s">
        <v>46</v>
      </c>
      <c r="Q6" s="47" t="s">
        <v>47</v>
      </c>
      <c r="R6" s="47"/>
    </row>
    <row r="7" spans="1:20" s="20" customFormat="1" x14ac:dyDescent="0.25">
      <c r="A7" s="31" t="s">
        <v>48</v>
      </c>
      <c r="B7" s="32"/>
      <c r="C7" s="33" t="s">
        <v>41</v>
      </c>
      <c r="D7" s="34"/>
      <c r="E7" s="35"/>
      <c r="F7" s="30"/>
      <c r="G7" s="30"/>
      <c r="H7" s="30"/>
      <c r="I7" s="30"/>
      <c r="J7" s="30"/>
      <c r="K7" s="30"/>
      <c r="L7" s="30"/>
      <c r="M7" s="30"/>
      <c r="N7" s="30"/>
      <c r="O7" s="30"/>
      <c r="P7" s="33" t="s">
        <v>49</v>
      </c>
      <c r="Q7" s="47">
        <v>4801261</v>
      </c>
      <c r="R7" s="47"/>
    </row>
    <row r="8" spans="1:20" s="20" customFormat="1" x14ac:dyDescent="0.25">
      <c r="A8" s="31" t="s">
        <v>50</v>
      </c>
      <c r="B8" s="32"/>
      <c r="C8" s="33" t="s">
        <v>41</v>
      </c>
      <c r="D8" s="34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3"/>
      <c r="Q8" s="36"/>
      <c r="R8" s="36"/>
    </row>
    <row r="9" spans="1:20" s="20" customFormat="1" x14ac:dyDescent="0.25">
      <c r="A9" s="31" t="s">
        <v>51</v>
      </c>
      <c r="B9" s="37" t="s">
        <v>52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pans="1:20" s="20" customFormat="1" ht="15.75" thickBot="1" x14ac:dyDescent="0.3">
      <c r="A10" s="39"/>
      <c r="B10" s="40" t="s">
        <v>53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3" spans="1:20" s="6" customFormat="1" x14ac:dyDescent="0.25">
      <c r="B13" s="5" t="s">
        <v>8</v>
      </c>
    </row>
    <row r="14" spans="1:20" x14ac:dyDescent="0.25">
      <c r="B14" s="1" t="s">
        <v>2</v>
      </c>
      <c r="H14" s="2" t="s">
        <v>4</v>
      </c>
      <c r="M14" s="1" t="s">
        <v>5</v>
      </c>
    </row>
    <row r="15" spans="1:20" x14ac:dyDescent="0.25">
      <c r="B15" s="1" t="s">
        <v>24</v>
      </c>
      <c r="C15" s="1" t="s">
        <v>24</v>
      </c>
      <c r="D15" s="1" t="s">
        <v>25</v>
      </c>
      <c r="E15" s="1" t="s">
        <v>3</v>
      </c>
      <c r="H15" s="1" t="s">
        <v>24</v>
      </c>
      <c r="I15" s="1" t="s">
        <v>24</v>
      </c>
      <c r="J15" s="1" t="s">
        <v>25</v>
      </c>
      <c r="K15" s="1" t="s">
        <v>3</v>
      </c>
    </row>
    <row r="16" spans="1:20" x14ac:dyDescent="0.25">
      <c r="B16" s="3">
        <v>3</v>
      </c>
      <c r="C16" s="3">
        <f>24/12</f>
        <v>2</v>
      </c>
      <c r="D16" s="3">
        <v>0.25</v>
      </c>
      <c r="E16" s="7">
        <f>B16*C16</f>
        <v>6</v>
      </c>
      <c r="F16" s="1" t="str">
        <f t="shared" ref="F16:F17" si="0">IF(D16&gt;(4/12),"ITEM 844", "ITEM 519")</f>
        <v>ITEM 519</v>
      </c>
      <c r="H16" s="3">
        <f>B16+(B16*0.25)</f>
        <v>3.75</v>
      </c>
      <c r="I16" s="3">
        <f>C16+(C16*0.25)</f>
        <v>2.5</v>
      </c>
      <c r="J16" s="3">
        <f t="shared" ref="I16:J20" si="1">D16+(D16*0.25)</f>
        <v>0.3125</v>
      </c>
      <c r="K16" s="8">
        <f t="shared" ref="K16:K21" si="2">H16*I16</f>
        <v>9.375</v>
      </c>
      <c r="M16" s="17" t="s">
        <v>57</v>
      </c>
      <c r="O16" s="4"/>
      <c r="P16" s="4"/>
      <c r="Q16" s="4"/>
      <c r="R16" s="4"/>
      <c r="S16" s="4"/>
      <c r="T16" s="4"/>
    </row>
    <row r="17" spans="2:20" x14ac:dyDescent="0.25">
      <c r="B17" s="3">
        <v>16</v>
      </c>
      <c r="C17" s="3">
        <v>0.75</v>
      </c>
      <c r="D17" s="3">
        <f>1/12</f>
        <v>8.3333333333333329E-2</v>
      </c>
      <c r="E17" s="7">
        <f t="shared" ref="E17:E20" si="3">B17*C17</f>
        <v>12</v>
      </c>
      <c r="F17" s="1" t="str">
        <f t="shared" si="0"/>
        <v>ITEM 519</v>
      </c>
      <c r="H17" s="3">
        <f t="shared" ref="H17:H20" si="4">B17+(B17*0.25)</f>
        <v>20</v>
      </c>
      <c r="I17" s="3">
        <f t="shared" si="1"/>
        <v>0.9375</v>
      </c>
      <c r="J17" s="3">
        <f t="shared" si="1"/>
        <v>0.10416666666666666</v>
      </c>
      <c r="K17" s="8">
        <f t="shared" si="2"/>
        <v>18.75</v>
      </c>
      <c r="M17" s="17" t="s">
        <v>54</v>
      </c>
      <c r="O17" s="4"/>
      <c r="P17" s="4"/>
      <c r="Q17" s="4"/>
      <c r="R17" s="4"/>
      <c r="S17" s="4"/>
      <c r="T17" s="4"/>
    </row>
    <row r="18" spans="2:20" x14ac:dyDescent="0.25">
      <c r="B18" s="3">
        <v>2</v>
      </c>
      <c r="C18" s="3">
        <v>1</v>
      </c>
      <c r="D18" s="3"/>
      <c r="E18" s="7">
        <f t="shared" si="3"/>
        <v>2</v>
      </c>
      <c r="F18" s="1" t="str">
        <f>IF(D18&gt;(4/12),"ITEM 844", "ITEM 519")</f>
        <v>ITEM 519</v>
      </c>
      <c r="H18" s="3">
        <f t="shared" si="4"/>
        <v>2.5</v>
      </c>
      <c r="I18" s="3">
        <f t="shared" si="1"/>
        <v>1.25</v>
      </c>
      <c r="J18" s="3">
        <f t="shared" si="1"/>
        <v>0</v>
      </c>
      <c r="K18" s="8">
        <f t="shared" si="2"/>
        <v>3.125</v>
      </c>
      <c r="M18" s="17" t="s">
        <v>55</v>
      </c>
      <c r="O18" s="4"/>
      <c r="P18" s="4"/>
      <c r="Q18" s="4"/>
      <c r="R18" s="4"/>
      <c r="S18" s="4"/>
      <c r="T18" s="4"/>
    </row>
    <row r="19" spans="2:20" x14ac:dyDescent="0.25">
      <c r="B19" s="3">
        <v>1</v>
      </c>
      <c r="C19" s="3">
        <v>1</v>
      </c>
      <c r="D19" s="3"/>
      <c r="E19" s="7">
        <f t="shared" si="3"/>
        <v>1</v>
      </c>
      <c r="F19" s="1" t="str">
        <f t="shared" ref="F19:F20" si="5">IF(D19&gt;(4/12),"ITEM 844", "ITEM 519")</f>
        <v>ITEM 519</v>
      </c>
      <c r="H19" s="3">
        <f t="shared" si="4"/>
        <v>1.25</v>
      </c>
      <c r="I19" s="3">
        <f t="shared" ref="I19:I20" si="6">C19+(C19*0.25)</f>
        <v>1.25</v>
      </c>
      <c r="J19" s="3">
        <f t="shared" si="1"/>
        <v>0</v>
      </c>
      <c r="K19" s="8">
        <f t="shared" si="2"/>
        <v>1.5625</v>
      </c>
      <c r="M19" s="17" t="s">
        <v>56</v>
      </c>
      <c r="O19" s="4"/>
      <c r="P19" s="4"/>
      <c r="Q19" s="4"/>
      <c r="R19" s="4"/>
      <c r="S19" s="4"/>
      <c r="T19" s="4"/>
    </row>
    <row r="20" spans="2:20" x14ac:dyDescent="0.25">
      <c r="B20" s="3">
        <v>3</v>
      </c>
      <c r="C20" s="3">
        <v>2</v>
      </c>
      <c r="D20" s="3"/>
      <c r="E20" s="7">
        <f t="shared" si="3"/>
        <v>6</v>
      </c>
      <c r="F20" s="1" t="str">
        <f t="shared" si="5"/>
        <v>ITEM 519</v>
      </c>
      <c r="H20" s="3">
        <f t="shared" si="4"/>
        <v>3.75</v>
      </c>
      <c r="I20" s="3">
        <f t="shared" si="6"/>
        <v>2.5</v>
      </c>
      <c r="J20" s="3">
        <f t="shared" si="1"/>
        <v>0</v>
      </c>
      <c r="K20" s="8">
        <f t="shared" si="2"/>
        <v>9.375</v>
      </c>
      <c r="M20" s="17" t="s">
        <v>6</v>
      </c>
      <c r="O20" s="4"/>
      <c r="P20" s="4"/>
      <c r="Q20" s="4"/>
      <c r="R20" s="4"/>
      <c r="S20" s="4"/>
      <c r="T20" s="4"/>
    </row>
    <row r="21" spans="2:20" ht="17.25" customHeight="1" x14ac:dyDescent="0.25">
      <c r="B21" s="3">
        <v>2</v>
      </c>
      <c r="C21" s="3">
        <v>1</v>
      </c>
      <c r="D21" s="3"/>
      <c r="E21" s="7">
        <f t="shared" ref="E21" si="7">B21*C21</f>
        <v>2</v>
      </c>
      <c r="F21" s="1" t="str">
        <f t="shared" ref="F21" si="8">IF(D21&gt;(4/12),"ITEM 844", "ITEM 519")</f>
        <v>ITEM 519</v>
      </c>
      <c r="H21" s="3">
        <f t="shared" ref="H21" si="9">B21+(B21*0.25)</f>
        <v>2.5</v>
      </c>
      <c r="I21" s="3">
        <f t="shared" ref="I21" si="10">C21+(C21*0.25)</f>
        <v>1.25</v>
      </c>
      <c r="J21" s="3">
        <f t="shared" ref="J21" si="11">D21+(D21*0.25)</f>
        <v>0</v>
      </c>
      <c r="K21" s="8">
        <f t="shared" si="2"/>
        <v>3.125</v>
      </c>
      <c r="M21" s="17" t="s">
        <v>7</v>
      </c>
      <c r="O21" s="4"/>
      <c r="P21" s="4"/>
      <c r="Q21" s="4"/>
      <c r="R21" s="4"/>
      <c r="S21" s="4"/>
      <c r="T21" s="4"/>
    </row>
    <row r="22" spans="2:20" ht="17.25" customHeight="1" x14ac:dyDescent="0.25">
      <c r="B22" s="3">
        <f>2+8/12</f>
        <v>2.6666666666666665</v>
      </c>
      <c r="C22" s="3">
        <v>0.75</v>
      </c>
      <c r="D22" s="3">
        <f>1/12</f>
        <v>8.3333333333333329E-2</v>
      </c>
      <c r="E22" s="7">
        <f t="shared" ref="E22:E24" si="12">B22*C22</f>
        <v>2</v>
      </c>
      <c r="F22" s="1" t="str">
        <f t="shared" ref="F22:F24" si="13">IF(D22&gt;(4/12),"ITEM 844", "ITEM 519")</f>
        <v>ITEM 519</v>
      </c>
      <c r="H22" s="3">
        <f t="shared" ref="H22:H24" si="14">B22+(B22*0.25)</f>
        <v>3.333333333333333</v>
      </c>
      <c r="I22" s="3">
        <f t="shared" ref="I22:I24" si="15">C22+(C22*0.25)</f>
        <v>0.9375</v>
      </c>
      <c r="J22" s="3">
        <f t="shared" ref="J22:J24" si="16">D22+(D22*0.25)</f>
        <v>0.10416666666666666</v>
      </c>
      <c r="K22" s="8">
        <f t="shared" ref="K22:K24" si="17">H22*I22</f>
        <v>3.1249999999999996</v>
      </c>
      <c r="M22" s="17" t="s">
        <v>59</v>
      </c>
      <c r="O22" s="4"/>
      <c r="P22" s="4"/>
      <c r="Q22" s="4"/>
      <c r="R22" s="4"/>
      <c r="S22" s="4"/>
      <c r="T22" s="4"/>
    </row>
    <row r="23" spans="2:20" x14ac:dyDescent="0.25">
      <c r="B23" s="3">
        <v>2.5</v>
      </c>
      <c r="C23" s="3">
        <v>7</v>
      </c>
      <c r="D23" s="3">
        <f>4/12</f>
        <v>0.33333333333333331</v>
      </c>
      <c r="E23" s="7">
        <f t="shared" si="12"/>
        <v>17.5</v>
      </c>
      <c r="F23" s="1" t="str">
        <f t="shared" si="13"/>
        <v>ITEM 519</v>
      </c>
      <c r="H23" s="3">
        <f t="shared" si="14"/>
        <v>3.125</v>
      </c>
      <c r="I23" s="3">
        <f t="shared" si="15"/>
        <v>8.75</v>
      </c>
      <c r="J23" s="3">
        <f t="shared" si="16"/>
        <v>0.41666666666666663</v>
      </c>
      <c r="K23" s="8">
        <f t="shared" si="17"/>
        <v>27.34375</v>
      </c>
      <c r="M23" s="17" t="s">
        <v>58</v>
      </c>
      <c r="O23" s="11"/>
    </row>
    <row r="24" spans="2:20" x14ac:dyDescent="0.25">
      <c r="B24" s="3">
        <f>4+2/12</f>
        <v>4.166666666666667</v>
      </c>
      <c r="C24" s="3">
        <v>1</v>
      </c>
      <c r="D24" s="3"/>
      <c r="E24" s="7">
        <f t="shared" si="12"/>
        <v>4.166666666666667</v>
      </c>
      <c r="F24" s="1" t="str">
        <f t="shared" si="13"/>
        <v>ITEM 519</v>
      </c>
      <c r="H24" s="3">
        <f t="shared" si="14"/>
        <v>5.2083333333333339</v>
      </c>
      <c r="I24" s="3">
        <f t="shared" si="15"/>
        <v>1.25</v>
      </c>
      <c r="J24" s="3">
        <f t="shared" si="16"/>
        <v>0</v>
      </c>
      <c r="K24" s="8">
        <f t="shared" si="17"/>
        <v>6.5104166666666679</v>
      </c>
      <c r="M24" s="17" t="s">
        <v>60</v>
      </c>
    </row>
    <row r="26" spans="2:20" x14ac:dyDescent="0.25">
      <c r="P26" s="42" t="s">
        <v>17</v>
      </c>
      <c r="Q26" s="43"/>
    </row>
    <row r="27" spans="2:20" x14ac:dyDescent="0.25">
      <c r="P27" s="44" t="s">
        <v>14</v>
      </c>
      <c r="Q27" s="45"/>
    </row>
    <row r="28" spans="2:20" ht="28.5" x14ac:dyDescent="0.25">
      <c r="P28" s="12" t="s">
        <v>13</v>
      </c>
      <c r="Q28" s="13">
        <f>ROUNDUP(SUM(K16:K25),0)</f>
        <v>83</v>
      </c>
    </row>
    <row r="30" spans="2:20" s="6" customFormat="1" x14ac:dyDescent="0.25">
      <c r="B30" s="6" t="s">
        <v>0</v>
      </c>
    </row>
    <row r="31" spans="2:20" x14ac:dyDescent="0.25">
      <c r="B31" s="1" t="s">
        <v>2</v>
      </c>
      <c r="H31" s="2" t="s">
        <v>4</v>
      </c>
      <c r="M31" s="1" t="s">
        <v>5</v>
      </c>
    </row>
    <row r="32" spans="2:20" x14ac:dyDescent="0.25">
      <c r="B32" s="1" t="s">
        <v>24</v>
      </c>
      <c r="C32" s="1" t="s">
        <v>24</v>
      </c>
      <c r="D32" s="1" t="s">
        <v>25</v>
      </c>
      <c r="E32" s="1" t="s">
        <v>3</v>
      </c>
      <c r="H32" s="1" t="s">
        <v>24</v>
      </c>
      <c r="I32" s="1" t="s">
        <v>24</v>
      </c>
      <c r="J32" s="1" t="s">
        <v>25</v>
      </c>
      <c r="K32" s="1" t="s">
        <v>3</v>
      </c>
      <c r="P32" s="42" t="s">
        <v>16</v>
      </c>
      <c r="Q32" s="43"/>
    </row>
    <row r="33" spans="2:20" x14ac:dyDescent="0.25">
      <c r="B33" s="3">
        <f>13.5</f>
        <v>13.5</v>
      </c>
      <c r="C33" s="3">
        <v>0</v>
      </c>
      <c r="D33" s="3"/>
      <c r="E33" s="7">
        <f t="shared" ref="E33" si="18">B33*C33</f>
        <v>0</v>
      </c>
      <c r="F33" s="1" t="str">
        <f>IF(C33=0, "ITEM 512", " ")</f>
        <v>ITEM 512</v>
      </c>
      <c r="G33" s="1" t="str">
        <f>IF(C33=0, "CRACK", " ")</f>
        <v>CRACK</v>
      </c>
      <c r="H33" s="3">
        <f t="shared" ref="H33" si="19">B33+(B33*0.25)</f>
        <v>16.875</v>
      </c>
      <c r="I33" s="3">
        <f t="shared" ref="I33" si="20">C33+(C33*0.25)</f>
        <v>0</v>
      </c>
      <c r="J33" s="3"/>
      <c r="K33" s="8">
        <f>H33*I33</f>
        <v>0</v>
      </c>
      <c r="M33" s="17" t="s">
        <v>10</v>
      </c>
      <c r="O33" s="4"/>
      <c r="P33" s="44" t="s">
        <v>70</v>
      </c>
      <c r="Q33" s="45"/>
      <c r="R33" s="4"/>
      <c r="S33" s="4"/>
      <c r="T33" s="4"/>
    </row>
    <row r="34" spans="2:20" ht="28.5" x14ac:dyDescent="0.25">
      <c r="B34" s="3">
        <f t="shared" ref="B34:B35" si="21">13.5</f>
        <v>13.5</v>
      </c>
      <c r="C34" s="3">
        <v>0</v>
      </c>
      <c r="D34" s="3"/>
      <c r="E34" s="7">
        <f t="shared" ref="E34:E35" si="22">B34*C34</f>
        <v>0</v>
      </c>
      <c r="F34" s="1" t="str">
        <f t="shared" ref="F34:F35" si="23">IF(C34=0, "ITEM 512", " ")</f>
        <v>ITEM 512</v>
      </c>
      <c r="G34" s="1" t="str">
        <f t="shared" ref="G34:G35" si="24">IF(C34=0, "CRACK", " ")</f>
        <v>CRACK</v>
      </c>
      <c r="H34" s="3">
        <f t="shared" ref="H34:H35" si="25">B34+(B34*0.25)</f>
        <v>16.875</v>
      </c>
      <c r="I34" s="3">
        <f t="shared" ref="I34:I35" si="26">C34+(C34*0.25)</f>
        <v>0</v>
      </c>
      <c r="J34" s="3"/>
      <c r="K34" s="8">
        <f t="shared" ref="K34:K35" si="27">H34*I34</f>
        <v>0</v>
      </c>
      <c r="M34" s="17" t="s">
        <v>10</v>
      </c>
      <c r="O34" s="4"/>
      <c r="P34" s="12" t="s">
        <v>19</v>
      </c>
      <c r="Q34" s="10">
        <f>ROUNDUP(SUM(B33:B39),0)</f>
        <v>57</v>
      </c>
      <c r="R34" s="4"/>
      <c r="S34" s="4"/>
      <c r="T34" s="4"/>
    </row>
    <row r="35" spans="2:20" ht="29.25" x14ac:dyDescent="0.25">
      <c r="B35" s="3">
        <f t="shared" si="21"/>
        <v>13.5</v>
      </c>
      <c r="C35" s="3">
        <v>0</v>
      </c>
      <c r="D35" s="3"/>
      <c r="E35" s="7">
        <f t="shared" si="22"/>
        <v>0</v>
      </c>
      <c r="F35" s="1" t="str">
        <f t="shared" si="23"/>
        <v>ITEM 512</v>
      </c>
      <c r="G35" s="1" t="str">
        <f t="shared" si="24"/>
        <v>CRACK</v>
      </c>
      <c r="H35" s="3">
        <f t="shared" si="25"/>
        <v>16.875</v>
      </c>
      <c r="I35" s="3">
        <f t="shared" si="26"/>
        <v>0</v>
      </c>
      <c r="J35" s="3"/>
      <c r="K35" s="8">
        <f t="shared" si="27"/>
        <v>0</v>
      </c>
      <c r="M35" s="17" t="s">
        <v>10</v>
      </c>
      <c r="O35" s="4"/>
      <c r="P35" s="12" t="s">
        <v>69</v>
      </c>
      <c r="Q35" s="13">
        <f>ROUNDUP(SUM(K43:K45),0)</f>
        <v>15</v>
      </c>
      <c r="R35" s="4"/>
      <c r="S35" s="4"/>
      <c r="T35" s="4"/>
    </row>
    <row r="36" spans="2:20" ht="17.25" customHeight="1" x14ac:dyDescent="0.25">
      <c r="B36" s="3">
        <v>4</v>
      </c>
      <c r="C36" s="3">
        <v>0</v>
      </c>
      <c r="D36" s="3"/>
      <c r="E36" s="7">
        <f t="shared" ref="E36" si="28">B36*C36</f>
        <v>0</v>
      </c>
      <c r="F36" s="1" t="str">
        <f t="shared" ref="F36" si="29">IF(C36=0, "ITEM 512", " ")</f>
        <v>ITEM 512</v>
      </c>
      <c r="G36" s="1" t="str">
        <f t="shared" ref="G36" si="30">IF(C36=0, "CRACK", " ")</f>
        <v>CRACK</v>
      </c>
      <c r="H36" s="3">
        <f t="shared" ref="H36" si="31">B36+(B36*0.25)</f>
        <v>5</v>
      </c>
      <c r="I36" s="3">
        <f t="shared" ref="I36" si="32">C36+(C36*0.25)</f>
        <v>0</v>
      </c>
      <c r="J36" s="3"/>
      <c r="K36" s="8">
        <f t="shared" ref="K36" si="33">H36*I36</f>
        <v>0</v>
      </c>
      <c r="M36" s="17" t="s">
        <v>71</v>
      </c>
      <c r="O36" s="4"/>
      <c r="R36" s="4"/>
      <c r="S36" s="4"/>
      <c r="T36" s="4"/>
    </row>
    <row r="37" spans="2:20" ht="17.25" customHeight="1" x14ac:dyDescent="0.25">
      <c r="B37" s="3">
        <v>5</v>
      </c>
      <c r="C37" s="3">
        <v>0</v>
      </c>
      <c r="D37" s="3"/>
      <c r="E37" s="7">
        <f t="shared" ref="E37" si="34">B37*C37</f>
        <v>0</v>
      </c>
      <c r="F37" s="1" t="str">
        <f t="shared" ref="F37" si="35">IF(C37=0, "ITEM 512", " ")</f>
        <v>ITEM 512</v>
      </c>
      <c r="G37" s="1" t="str">
        <f t="shared" ref="G37" si="36">IF(C37=0, "CRACK", " ")</f>
        <v>CRACK</v>
      </c>
      <c r="H37" s="3">
        <f t="shared" ref="H37" si="37">B37+(B37*0.25)</f>
        <v>6.25</v>
      </c>
      <c r="I37" s="3">
        <f t="shared" ref="I37" si="38">C37+(C37*0.25)</f>
        <v>0</v>
      </c>
      <c r="J37" s="3"/>
      <c r="K37" s="8">
        <f t="shared" ref="K37" si="39">H37*I37</f>
        <v>0</v>
      </c>
      <c r="M37" s="17" t="s">
        <v>72</v>
      </c>
      <c r="O37" s="4"/>
      <c r="R37" s="4"/>
      <c r="S37" s="4"/>
      <c r="T37" s="4"/>
    </row>
    <row r="38" spans="2:20" ht="17.25" customHeight="1" x14ac:dyDescent="0.25">
      <c r="B38" s="3">
        <v>4</v>
      </c>
      <c r="C38" s="3">
        <v>0</v>
      </c>
      <c r="D38" s="3"/>
      <c r="E38" s="7">
        <f t="shared" ref="E38:E39" si="40">B38*C38</f>
        <v>0</v>
      </c>
      <c r="F38" s="1" t="str">
        <f t="shared" ref="F38:F39" si="41">IF(C38=0, "ITEM 512", " ")</f>
        <v>ITEM 512</v>
      </c>
      <c r="G38" s="1" t="str">
        <f t="shared" ref="G38:G39" si="42">IF(C38=0, "CRACK", " ")</f>
        <v>CRACK</v>
      </c>
      <c r="H38" s="3">
        <f t="shared" ref="H38:H39" si="43">B38+(B38*0.25)</f>
        <v>5</v>
      </c>
      <c r="I38" s="3">
        <f t="shared" ref="I38:I39" si="44">C38+(C38*0.25)</f>
        <v>0</v>
      </c>
      <c r="J38" s="3"/>
      <c r="K38" s="8">
        <f t="shared" ref="K38:K39" si="45">H38*I38</f>
        <v>0</v>
      </c>
      <c r="M38" s="17" t="s">
        <v>72</v>
      </c>
      <c r="O38" s="4"/>
      <c r="R38" s="4"/>
      <c r="S38" s="4"/>
      <c r="T38" s="4"/>
    </row>
    <row r="39" spans="2:20" ht="17.25" customHeight="1" x14ac:dyDescent="0.25">
      <c r="B39" s="3">
        <v>3</v>
      </c>
      <c r="C39" s="3">
        <v>0</v>
      </c>
      <c r="D39" s="3"/>
      <c r="E39" s="7">
        <f t="shared" si="40"/>
        <v>0</v>
      </c>
      <c r="F39" s="1" t="str">
        <f t="shared" si="41"/>
        <v>ITEM 512</v>
      </c>
      <c r="G39" s="1" t="str">
        <f t="shared" si="42"/>
        <v>CRACK</v>
      </c>
      <c r="H39" s="3">
        <f t="shared" si="43"/>
        <v>3.75</v>
      </c>
      <c r="I39" s="3">
        <f t="shared" si="44"/>
        <v>0</v>
      </c>
      <c r="J39" s="3"/>
      <c r="K39" s="8">
        <f t="shared" si="45"/>
        <v>0</v>
      </c>
      <c r="M39" s="17" t="s">
        <v>72</v>
      </c>
      <c r="O39" s="4"/>
      <c r="R39" s="4"/>
      <c r="S39" s="4"/>
      <c r="T39" s="4"/>
    </row>
    <row r="40" spans="2:20" ht="17.25" customHeight="1" x14ac:dyDescent="0.25">
      <c r="B40" s="9"/>
      <c r="C40" s="9"/>
      <c r="D40" s="9"/>
      <c r="E40" s="9"/>
      <c r="H40" s="9"/>
      <c r="I40" s="9"/>
      <c r="J40" s="9"/>
      <c r="O40" s="4"/>
      <c r="R40" s="4"/>
      <c r="S40" s="4"/>
      <c r="T40" s="4"/>
    </row>
    <row r="41" spans="2:20" x14ac:dyDescent="0.25">
      <c r="B41" s="14" t="s">
        <v>2</v>
      </c>
      <c r="C41" s="14"/>
      <c r="D41" s="14"/>
      <c r="E41" s="14"/>
      <c r="F41" s="14"/>
      <c r="G41" s="14"/>
      <c r="H41" s="15" t="s">
        <v>4</v>
      </c>
      <c r="I41" s="14"/>
      <c r="J41" s="14"/>
      <c r="K41" s="14"/>
      <c r="O41" s="11"/>
    </row>
    <row r="42" spans="2:20" x14ac:dyDescent="0.25">
      <c r="B42" s="1" t="s">
        <v>24</v>
      </c>
      <c r="C42" s="1" t="s">
        <v>24</v>
      </c>
      <c r="D42" s="1" t="s">
        <v>25</v>
      </c>
      <c r="E42" s="1" t="s">
        <v>3</v>
      </c>
      <c r="H42" s="1" t="s">
        <v>24</v>
      </c>
      <c r="I42" s="1" t="s">
        <v>24</v>
      </c>
      <c r="J42" s="1" t="s">
        <v>25</v>
      </c>
      <c r="K42" s="1" t="s">
        <v>3</v>
      </c>
      <c r="O42" s="4"/>
      <c r="R42" s="4"/>
      <c r="S42" s="4"/>
      <c r="T42" s="4"/>
    </row>
    <row r="43" spans="2:20" x14ac:dyDescent="0.25">
      <c r="B43" s="3">
        <v>3</v>
      </c>
      <c r="C43" s="3">
        <v>1</v>
      </c>
      <c r="D43" s="3"/>
      <c r="E43" s="7">
        <f>B43*C43</f>
        <v>3</v>
      </c>
      <c r="F43" s="1" t="str">
        <f t="shared" ref="F43:F44" si="46">IF(D43&gt;(4/12),"ITEM 844", "ITEM 519")</f>
        <v>ITEM 519</v>
      </c>
      <c r="H43" s="3">
        <f>B43+(B43*0.25)</f>
        <v>3.75</v>
      </c>
      <c r="I43" s="3">
        <f>C43+(C43*0.25)</f>
        <v>1.25</v>
      </c>
      <c r="J43" s="3"/>
      <c r="K43" s="8">
        <f>H43*I43</f>
        <v>4.6875</v>
      </c>
      <c r="M43" s="1" t="s">
        <v>73</v>
      </c>
      <c r="N43" s="4"/>
      <c r="O43" s="4"/>
      <c r="P43" s="4"/>
      <c r="Q43" s="4"/>
      <c r="R43" s="4"/>
      <c r="T43" s="4"/>
    </row>
    <row r="44" spans="2:20" x14ac:dyDescent="0.25">
      <c r="B44" s="3">
        <v>4</v>
      </c>
      <c r="C44" s="3">
        <v>1.5</v>
      </c>
      <c r="D44" s="3"/>
      <c r="E44" s="7">
        <f t="shared" ref="E44:E45" si="47">B44*C44</f>
        <v>6</v>
      </c>
      <c r="F44" s="1" t="str">
        <f t="shared" si="46"/>
        <v>ITEM 519</v>
      </c>
      <c r="H44" s="3">
        <f t="shared" ref="H44:H45" si="48">B44+(B44*0.25)</f>
        <v>5</v>
      </c>
      <c r="I44" s="3">
        <f t="shared" ref="I44:I45" si="49">C44+(C44*0.25)</f>
        <v>1.875</v>
      </c>
      <c r="J44" s="3"/>
      <c r="K44" s="8">
        <f>H44*I44</f>
        <v>9.375</v>
      </c>
      <c r="M44" s="1" t="s">
        <v>74</v>
      </c>
    </row>
    <row r="45" spans="2:20" x14ac:dyDescent="0.25">
      <c r="B45" s="3"/>
      <c r="C45" s="3"/>
      <c r="D45" s="3"/>
      <c r="E45" s="7">
        <f t="shared" si="47"/>
        <v>0</v>
      </c>
      <c r="F45" s="1" t="str">
        <f>IF(D45&gt;(4/12),"ITEM 844", "ITEM 519")</f>
        <v>ITEM 519</v>
      </c>
      <c r="H45" s="3">
        <f t="shared" si="48"/>
        <v>0</v>
      </c>
      <c r="I45" s="3">
        <f t="shared" si="49"/>
        <v>0</v>
      </c>
      <c r="J45" s="3">
        <f t="shared" ref="J45" si="50">D45+(D45*0.25)</f>
        <v>0</v>
      </c>
      <c r="K45" s="8">
        <f>H45*I45</f>
        <v>0</v>
      </c>
    </row>
    <row r="47" spans="2:20" s="6" customFormat="1" x14ac:dyDescent="0.25">
      <c r="B47" s="6" t="s">
        <v>1</v>
      </c>
    </row>
    <row r="48" spans="2:20" x14ac:dyDescent="0.25">
      <c r="B48" s="1" t="s">
        <v>2</v>
      </c>
      <c r="H48" s="2" t="s">
        <v>4</v>
      </c>
      <c r="M48" s="1" t="s">
        <v>5</v>
      </c>
    </row>
    <row r="49" spans="2:20" x14ac:dyDescent="0.25">
      <c r="B49" s="1" t="s">
        <v>24</v>
      </c>
      <c r="C49" s="1" t="s">
        <v>24</v>
      </c>
      <c r="D49" s="1" t="s">
        <v>25</v>
      </c>
      <c r="E49" s="1" t="s">
        <v>3</v>
      </c>
      <c r="H49" s="1" t="s">
        <v>24</v>
      </c>
      <c r="I49" s="1" t="s">
        <v>24</v>
      </c>
      <c r="J49" s="1" t="s">
        <v>25</v>
      </c>
      <c r="K49" s="1" t="s">
        <v>3</v>
      </c>
      <c r="P49" s="42" t="s">
        <v>15</v>
      </c>
      <c r="Q49" s="43"/>
    </row>
    <row r="50" spans="2:20" x14ac:dyDescent="0.25">
      <c r="B50" s="3">
        <v>4</v>
      </c>
      <c r="C50" s="3">
        <v>0</v>
      </c>
      <c r="D50" s="3"/>
      <c r="E50" s="7">
        <f>B50*C50</f>
        <v>0</v>
      </c>
      <c r="F50" s="1" t="str">
        <f>IF(C50=0, "ITEM 512", " ")</f>
        <v>ITEM 512</v>
      </c>
      <c r="G50" s="1" t="str">
        <f t="shared" ref="G50" si="51">IF(C50=0, "CRACK", " ")</f>
        <v>CRACK</v>
      </c>
      <c r="H50" s="3">
        <f>B50+(B50*0.25)</f>
        <v>5</v>
      </c>
      <c r="I50" s="3">
        <f>C50+(C50*0.25)</f>
        <v>0</v>
      </c>
      <c r="J50" s="3"/>
      <c r="K50" s="8">
        <f>H50*I50</f>
        <v>0</v>
      </c>
      <c r="M50" s="17" t="s">
        <v>64</v>
      </c>
      <c r="O50" s="4"/>
      <c r="P50" s="44" t="s">
        <v>70</v>
      </c>
      <c r="Q50" s="45"/>
      <c r="R50" s="4"/>
      <c r="S50" s="4"/>
      <c r="T50" s="4"/>
    </row>
    <row r="51" spans="2:20" ht="28.5" x14ac:dyDescent="0.25">
      <c r="B51" s="3">
        <f>(16+7/12)*0.5</f>
        <v>8.2916666666666661</v>
      </c>
      <c r="C51" s="3">
        <v>0</v>
      </c>
      <c r="D51" s="3"/>
      <c r="E51" s="7">
        <f>B51*C51</f>
        <v>0</v>
      </c>
      <c r="F51" s="1" t="str">
        <f t="shared" ref="F51:F52" si="52">IF(C51=0, "ITEM 512", " ")</f>
        <v>ITEM 512</v>
      </c>
      <c r="G51" s="1" t="str">
        <f t="shared" ref="G51" si="53">IF(C51=0, "CRACK", " ")</f>
        <v>CRACK</v>
      </c>
      <c r="H51" s="3">
        <f>B51+(B51*0.25)</f>
        <v>10.364583333333332</v>
      </c>
      <c r="I51" s="3">
        <f>C51+(C51*0.25)</f>
        <v>0</v>
      </c>
      <c r="J51" s="3"/>
      <c r="K51" s="8">
        <f>H51*I51</f>
        <v>0</v>
      </c>
      <c r="M51" s="17" t="s">
        <v>65</v>
      </c>
      <c r="O51" s="4"/>
      <c r="P51" s="12" t="s">
        <v>19</v>
      </c>
      <c r="Q51" s="10">
        <f>ROUNDUP(SUM(B50:B54),0)</f>
        <v>54</v>
      </c>
      <c r="R51" s="4"/>
      <c r="S51" s="4"/>
      <c r="T51" s="4"/>
    </row>
    <row r="52" spans="2:20" ht="29.25" x14ac:dyDescent="0.25">
      <c r="B52" s="3">
        <v>8</v>
      </c>
      <c r="C52" s="3">
        <v>0</v>
      </c>
      <c r="D52" s="3"/>
      <c r="E52" s="7">
        <f t="shared" ref="E52:E54" si="54">B52*C52</f>
        <v>0</v>
      </c>
      <c r="F52" s="1" t="str">
        <f t="shared" si="52"/>
        <v>ITEM 512</v>
      </c>
      <c r="G52" s="1" t="str">
        <f t="shared" ref="G52:G54" si="55">IF(C52=0, "CRACK", " ")</f>
        <v>CRACK</v>
      </c>
      <c r="H52" s="3">
        <f t="shared" ref="H52:H54" si="56">B52+(B52*0.25)</f>
        <v>10</v>
      </c>
      <c r="I52" s="3">
        <f t="shared" ref="I52:I54" si="57">C52+(C52*0.25)</f>
        <v>0</v>
      </c>
      <c r="J52" s="3"/>
      <c r="K52" s="8">
        <f t="shared" ref="K52:K54" si="58">H52*I52</f>
        <v>0</v>
      </c>
      <c r="M52" s="17" t="s">
        <v>11</v>
      </c>
      <c r="O52" s="4"/>
      <c r="P52" s="12" t="s">
        <v>69</v>
      </c>
      <c r="Q52" s="13">
        <f>ROUNDUP(SUM(K58:K59),0)</f>
        <v>12</v>
      </c>
      <c r="R52" s="4"/>
      <c r="S52" s="4"/>
      <c r="T52" s="4"/>
    </row>
    <row r="53" spans="2:20" x14ac:dyDescent="0.25">
      <c r="B53" s="3">
        <f>16+10/12</f>
        <v>16.833333333333332</v>
      </c>
      <c r="C53" s="3">
        <v>0</v>
      </c>
      <c r="D53" s="3"/>
      <c r="E53" s="7">
        <f t="shared" si="54"/>
        <v>0</v>
      </c>
      <c r="F53" s="1" t="str">
        <f>IF(C53=0, "ITEM 512", " ")</f>
        <v>ITEM 512</v>
      </c>
      <c r="G53" s="1" t="str">
        <f t="shared" si="55"/>
        <v>CRACK</v>
      </c>
      <c r="H53" s="3">
        <f t="shared" si="56"/>
        <v>21.041666666666664</v>
      </c>
      <c r="I53" s="3">
        <f t="shared" si="57"/>
        <v>0</v>
      </c>
      <c r="J53" s="3"/>
      <c r="K53" s="8">
        <f t="shared" si="58"/>
        <v>0</v>
      </c>
      <c r="M53" s="17" t="s">
        <v>12</v>
      </c>
      <c r="O53" s="4"/>
      <c r="R53" s="4"/>
      <c r="S53" s="4"/>
      <c r="T53" s="4"/>
    </row>
    <row r="54" spans="2:20" x14ac:dyDescent="0.25">
      <c r="B54" s="3">
        <f>16+3/12</f>
        <v>16.25</v>
      </c>
      <c r="C54" s="3">
        <v>0</v>
      </c>
      <c r="D54" s="3"/>
      <c r="E54" s="7">
        <f t="shared" si="54"/>
        <v>0</v>
      </c>
      <c r="F54" s="1" t="str">
        <f t="shared" ref="F54" si="59">IF(C54=0, "ITEM 512", " ")</f>
        <v>ITEM 512</v>
      </c>
      <c r="G54" s="1" t="str">
        <f t="shared" si="55"/>
        <v>CRACK</v>
      </c>
      <c r="H54" s="3">
        <f t="shared" si="56"/>
        <v>20.3125</v>
      </c>
      <c r="I54" s="3">
        <f t="shared" si="57"/>
        <v>0</v>
      </c>
      <c r="J54" s="3"/>
      <c r="K54" s="8">
        <f t="shared" si="58"/>
        <v>0</v>
      </c>
      <c r="M54" s="17" t="s">
        <v>66</v>
      </c>
      <c r="O54" s="11"/>
    </row>
    <row r="55" spans="2:20" ht="17.25" customHeight="1" x14ac:dyDescent="0.25">
      <c r="B55" s="9"/>
      <c r="C55" s="9"/>
      <c r="D55" s="9"/>
      <c r="E55" s="9"/>
      <c r="H55" s="9"/>
      <c r="I55" s="9"/>
      <c r="J55" s="9"/>
      <c r="O55" s="4"/>
      <c r="R55" s="4"/>
      <c r="S55" s="4"/>
      <c r="T55" s="4"/>
    </row>
    <row r="56" spans="2:20" x14ac:dyDescent="0.25">
      <c r="B56" s="14" t="s">
        <v>2</v>
      </c>
      <c r="C56" s="14"/>
      <c r="D56" s="14"/>
      <c r="E56" s="14"/>
      <c r="F56" s="14"/>
      <c r="G56" s="14"/>
      <c r="H56" s="15" t="s">
        <v>4</v>
      </c>
      <c r="I56" s="14"/>
      <c r="J56" s="14"/>
      <c r="K56" s="14"/>
      <c r="O56" s="11"/>
    </row>
    <row r="57" spans="2:20" x14ac:dyDescent="0.25">
      <c r="B57" s="1" t="s">
        <v>24</v>
      </c>
      <c r="C57" s="1" t="s">
        <v>24</v>
      </c>
      <c r="D57" s="1" t="s">
        <v>25</v>
      </c>
      <c r="E57" s="1" t="s">
        <v>3</v>
      </c>
      <c r="H57" s="1" t="s">
        <v>24</v>
      </c>
      <c r="I57" s="1" t="s">
        <v>24</v>
      </c>
      <c r="J57" s="1" t="s">
        <v>25</v>
      </c>
      <c r="K57" s="1" t="s">
        <v>3</v>
      </c>
      <c r="O57" s="4"/>
      <c r="R57" s="4"/>
      <c r="S57" s="4"/>
      <c r="T57" s="4"/>
    </row>
    <row r="58" spans="2:20" x14ac:dyDescent="0.25">
      <c r="B58" s="3">
        <v>3.75</v>
      </c>
      <c r="C58" s="3">
        <v>1</v>
      </c>
      <c r="D58" s="3"/>
      <c r="E58" s="7">
        <f t="shared" ref="E58" si="60">B58*C58</f>
        <v>3.75</v>
      </c>
      <c r="F58" s="1" t="str">
        <f t="shared" ref="F58:F59" si="61">IF(D58&gt;(4/12),"ITEM 844", "ITEM 519")</f>
        <v>ITEM 519</v>
      </c>
      <c r="H58" s="3">
        <f t="shared" ref="H58" si="62">B58+(B58*0.25)</f>
        <v>4.6875</v>
      </c>
      <c r="I58" s="3">
        <f t="shared" ref="I58" si="63">C58+(C58*0.25)</f>
        <v>1.25</v>
      </c>
      <c r="J58" s="3"/>
      <c r="K58" s="8">
        <f t="shared" ref="K58" si="64">H58*I58</f>
        <v>5.859375</v>
      </c>
      <c r="M58" s="17" t="s">
        <v>67</v>
      </c>
      <c r="R58" s="4"/>
      <c r="S58" s="4"/>
      <c r="T58" s="4"/>
    </row>
    <row r="59" spans="2:20" x14ac:dyDescent="0.25">
      <c r="B59" s="3">
        <f>3+9/12</f>
        <v>3.75</v>
      </c>
      <c r="C59" s="3">
        <v>1</v>
      </c>
      <c r="D59" s="3"/>
      <c r="E59" s="7">
        <f t="shared" ref="E59" si="65">B59*C59</f>
        <v>3.75</v>
      </c>
      <c r="F59" s="1" t="str">
        <f t="shared" si="61"/>
        <v>ITEM 519</v>
      </c>
      <c r="G59" s="1" t="str">
        <f t="shared" ref="G59" si="66">IF(C59=0, "CRACK", " ")</f>
        <v xml:space="preserve"> </v>
      </c>
      <c r="H59" s="3">
        <f t="shared" ref="H59" si="67">B59+(B59*0.25)</f>
        <v>4.6875</v>
      </c>
      <c r="I59" s="3">
        <f t="shared" ref="I59" si="68">C59+(C59*0.25)</f>
        <v>1.25</v>
      </c>
      <c r="J59" s="3"/>
      <c r="K59" s="8">
        <f t="shared" ref="K59" si="69">H59*I59</f>
        <v>5.859375</v>
      </c>
      <c r="M59" s="17" t="s">
        <v>68</v>
      </c>
    </row>
    <row r="63" spans="2:20" s="6" customFormat="1" x14ac:dyDescent="0.25">
      <c r="B63" s="5" t="s">
        <v>9</v>
      </c>
    </row>
    <row r="64" spans="2:20" x14ac:dyDescent="0.25">
      <c r="B64" s="1" t="s">
        <v>2</v>
      </c>
      <c r="H64" s="2" t="s">
        <v>4</v>
      </c>
      <c r="M64" s="1" t="s">
        <v>5</v>
      </c>
    </row>
    <row r="65" spans="2:20" x14ac:dyDescent="0.25">
      <c r="B65" s="1" t="s">
        <v>24</v>
      </c>
      <c r="C65" s="1" t="s">
        <v>24</v>
      </c>
      <c r="D65" s="1" t="s">
        <v>25</v>
      </c>
      <c r="E65" s="1" t="s">
        <v>3</v>
      </c>
      <c r="H65" s="1" t="s">
        <v>24</v>
      </c>
      <c r="I65" s="1" t="s">
        <v>24</v>
      </c>
      <c r="J65" s="1" t="s">
        <v>25</v>
      </c>
      <c r="K65" s="1" t="s">
        <v>3</v>
      </c>
    </row>
    <row r="66" spans="2:20" x14ac:dyDescent="0.25">
      <c r="B66" s="3">
        <f>30/12</f>
        <v>2.5</v>
      </c>
      <c r="C66" s="3">
        <f>60/12</f>
        <v>5</v>
      </c>
      <c r="D66" s="3">
        <f>3/12</f>
        <v>0.25</v>
      </c>
      <c r="E66" s="7">
        <f>B66*C66</f>
        <v>12.5</v>
      </c>
      <c r="F66" s="1" t="str">
        <f>IF(D66&gt;(4/12),"ITEM 844", "ITEM 519")</f>
        <v>ITEM 519</v>
      </c>
      <c r="H66" s="3">
        <f>B66+(B66*0.25)</f>
        <v>3.125</v>
      </c>
      <c r="I66" s="3">
        <f>C66+(C66*0.25)</f>
        <v>6.25</v>
      </c>
      <c r="J66" s="3">
        <f t="shared" ref="J66" si="70">D66+(D66*0.25)</f>
        <v>0.3125</v>
      </c>
      <c r="K66" s="8">
        <f>H66*I66</f>
        <v>19.53125</v>
      </c>
      <c r="M66" s="17" t="s">
        <v>61</v>
      </c>
      <c r="O66" s="4"/>
      <c r="P66" s="4"/>
      <c r="Q66" s="4"/>
      <c r="R66" s="4"/>
      <c r="S66" s="4"/>
      <c r="T66" s="4"/>
    </row>
    <row r="67" spans="2:20" x14ac:dyDescent="0.25">
      <c r="B67" s="3">
        <v>2.25</v>
      </c>
      <c r="C67" s="3">
        <v>1</v>
      </c>
      <c r="D67" s="3"/>
      <c r="E67" s="7">
        <f t="shared" ref="E67:E68" si="71">B67*C67</f>
        <v>2.25</v>
      </c>
      <c r="F67" s="1" t="str">
        <f t="shared" ref="F67:F68" si="72">IF(D67&gt;(4/12),"ITEM 844", "ITEM 519")</f>
        <v>ITEM 519</v>
      </c>
      <c r="H67" s="3">
        <f t="shared" ref="H67:H68" si="73">B67+(B67*0.25)</f>
        <v>2.8125</v>
      </c>
      <c r="I67" s="3">
        <f t="shared" ref="I67:I68" si="74">C67+(C67*0.25)</f>
        <v>1.25</v>
      </c>
      <c r="J67" s="3">
        <f t="shared" ref="J67:J68" si="75">D67+(D67*0.25)</f>
        <v>0</v>
      </c>
      <c r="K67" s="8">
        <f t="shared" ref="K67:K68" si="76">H67*I67</f>
        <v>3.515625</v>
      </c>
      <c r="M67" s="17" t="s">
        <v>62</v>
      </c>
      <c r="O67" s="4"/>
      <c r="P67" s="42" t="s">
        <v>18</v>
      </c>
      <c r="Q67" s="43"/>
      <c r="R67" s="4"/>
      <c r="S67" s="4"/>
      <c r="T67" s="4"/>
    </row>
    <row r="68" spans="2:20" x14ac:dyDescent="0.25">
      <c r="B68" s="3">
        <v>2</v>
      </c>
      <c r="C68" s="3">
        <f>4+10/12</f>
        <v>4.833333333333333</v>
      </c>
      <c r="D68" s="3"/>
      <c r="E68" s="7">
        <f t="shared" si="71"/>
        <v>9.6666666666666661</v>
      </c>
      <c r="F68" s="1" t="str">
        <f t="shared" si="72"/>
        <v>ITEM 519</v>
      </c>
      <c r="H68" s="3">
        <f t="shared" si="73"/>
        <v>2.5</v>
      </c>
      <c r="I68" s="3">
        <f t="shared" si="74"/>
        <v>6.0416666666666661</v>
      </c>
      <c r="J68" s="3">
        <f t="shared" si="75"/>
        <v>0</v>
      </c>
      <c r="K68" s="8">
        <f t="shared" si="76"/>
        <v>15.104166666666664</v>
      </c>
      <c r="M68" s="17" t="s">
        <v>63</v>
      </c>
      <c r="O68" s="4"/>
      <c r="P68" s="44" t="s">
        <v>14</v>
      </c>
      <c r="Q68" s="45"/>
      <c r="R68" s="4"/>
      <c r="S68" s="4"/>
      <c r="T68" s="4"/>
    </row>
    <row r="69" spans="2:20" ht="28.5" x14ac:dyDescent="0.25">
      <c r="O69" s="11"/>
      <c r="P69" s="12" t="s">
        <v>13</v>
      </c>
      <c r="Q69" s="13">
        <f>ROUNDUP(SUM(K66:K69),0)</f>
        <v>39</v>
      </c>
    </row>
    <row r="70" spans="2:20" x14ac:dyDescent="0.25">
      <c r="B70" s="9"/>
      <c r="C70" s="9"/>
      <c r="D70" s="9"/>
      <c r="E70" s="9"/>
      <c r="H70" s="9"/>
      <c r="I70" s="9"/>
      <c r="J70" s="9"/>
      <c r="N70" s="4"/>
      <c r="O70" s="4"/>
      <c r="P70" s="4"/>
      <c r="Q70" s="4"/>
      <c r="R70" s="4"/>
      <c r="S70" s="4"/>
      <c r="T70" s="4"/>
    </row>
    <row r="75" spans="2:20" s="6" customFormat="1" x14ac:dyDescent="0.25">
      <c r="B75" s="5" t="s">
        <v>20</v>
      </c>
    </row>
    <row r="76" spans="2:20" x14ac:dyDescent="0.25">
      <c r="B76" s="1" t="s">
        <v>2</v>
      </c>
      <c r="H76" s="2" t="s">
        <v>4</v>
      </c>
      <c r="M76" s="1" t="s">
        <v>5</v>
      </c>
    </row>
    <row r="77" spans="2:20" x14ac:dyDescent="0.25">
      <c r="B77" s="1" t="s">
        <v>24</v>
      </c>
      <c r="C77" s="1" t="s">
        <v>24</v>
      </c>
      <c r="D77" s="1" t="s">
        <v>25</v>
      </c>
      <c r="E77" s="1" t="s">
        <v>3</v>
      </c>
      <c r="H77" s="1" t="s">
        <v>24</v>
      </c>
      <c r="I77" s="1" t="s">
        <v>24</v>
      </c>
      <c r="J77" s="1" t="s">
        <v>25</v>
      </c>
      <c r="K77" s="1" t="s">
        <v>3</v>
      </c>
    </row>
    <row r="78" spans="2:20" x14ac:dyDescent="0.25">
      <c r="B78" s="16">
        <v>8</v>
      </c>
      <c r="C78" s="16">
        <v>1</v>
      </c>
      <c r="D78" s="3"/>
      <c r="E78" s="7">
        <f>B78*C78</f>
        <v>8</v>
      </c>
      <c r="F78" s="1" t="s">
        <v>21</v>
      </c>
      <c r="H78" s="3">
        <f>B78+(B78*0.25)</f>
        <v>10</v>
      </c>
      <c r="I78" s="3">
        <f>C78+(C78*0.25)</f>
        <v>1.25</v>
      </c>
      <c r="J78" s="3">
        <f t="shared" ref="J78" si="77">D78+(D78*0.25)</f>
        <v>0</v>
      </c>
      <c r="K78" s="8">
        <f>H78*I78</f>
        <v>12.5</v>
      </c>
      <c r="M78" s="17" t="s">
        <v>23</v>
      </c>
      <c r="O78" s="4"/>
      <c r="P78" s="4"/>
      <c r="Q78" s="4"/>
      <c r="R78" s="4"/>
      <c r="S78" s="4"/>
      <c r="T78" s="4"/>
    </row>
    <row r="79" spans="2:20" ht="17.25" customHeight="1" x14ac:dyDescent="0.25">
      <c r="B79" s="16">
        <v>16</v>
      </c>
      <c r="C79" s="16">
        <v>1</v>
      </c>
      <c r="D79" s="9"/>
      <c r="E79" s="7">
        <f t="shared" ref="E79:E90" si="78">B79*C79</f>
        <v>16</v>
      </c>
      <c r="F79" s="1" t="s">
        <v>26</v>
      </c>
      <c r="H79" s="3">
        <f t="shared" ref="H79:H90" si="79">B79+(B79*0.25)</f>
        <v>20</v>
      </c>
      <c r="I79" s="3">
        <f t="shared" ref="I79:I90" si="80">C79+(C79*0.25)</f>
        <v>1.25</v>
      </c>
      <c r="J79" s="9"/>
      <c r="K79" s="8">
        <f t="shared" ref="K79:K90" si="81">H79*I79</f>
        <v>25</v>
      </c>
      <c r="O79" s="4"/>
      <c r="R79" s="4"/>
      <c r="S79" s="4"/>
      <c r="T79" s="4"/>
    </row>
    <row r="80" spans="2:20" ht="17.25" customHeight="1" x14ac:dyDescent="0.25">
      <c r="B80" s="16">
        <v>8</v>
      </c>
      <c r="C80" s="16">
        <v>1</v>
      </c>
      <c r="D80" s="9"/>
      <c r="E80" s="7">
        <f t="shared" si="78"/>
        <v>8</v>
      </c>
      <c r="F80" s="1" t="s">
        <v>27</v>
      </c>
      <c r="H80" s="3">
        <f t="shared" si="79"/>
        <v>10</v>
      </c>
      <c r="I80" s="3">
        <f t="shared" si="80"/>
        <v>1.25</v>
      </c>
      <c r="J80" s="9"/>
      <c r="K80" s="8">
        <f t="shared" si="81"/>
        <v>12.5</v>
      </c>
      <c r="O80" s="4"/>
      <c r="R80" s="4"/>
      <c r="S80" s="4"/>
      <c r="T80" s="4"/>
    </row>
    <row r="81" spans="2:17" ht="34.5" customHeight="1" x14ac:dyDescent="0.25">
      <c r="B81" s="16">
        <v>16</v>
      </c>
      <c r="C81" s="16">
        <v>1</v>
      </c>
      <c r="E81" s="7">
        <f t="shared" si="78"/>
        <v>16</v>
      </c>
      <c r="F81" s="1" t="s">
        <v>28</v>
      </c>
      <c r="H81" s="3">
        <f t="shared" si="79"/>
        <v>20</v>
      </c>
      <c r="I81" s="3">
        <f t="shared" si="80"/>
        <v>1.25</v>
      </c>
      <c r="K81" s="8">
        <f t="shared" si="81"/>
        <v>25</v>
      </c>
      <c r="O81" s="11"/>
    </row>
    <row r="82" spans="2:17" x14ac:dyDescent="0.25">
      <c r="B82" s="16">
        <v>8</v>
      </c>
      <c r="C82" s="16">
        <v>1</v>
      </c>
      <c r="E82" s="7">
        <f t="shared" si="78"/>
        <v>8</v>
      </c>
      <c r="F82" s="1" t="s">
        <v>29</v>
      </c>
      <c r="H82" s="3">
        <f t="shared" si="79"/>
        <v>10</v>
      </c>
      <c r="I82" s="3">
        <f t="shared" si="80"/>
        <v>1.25</v>
      </c>
      <c r="K82" s="8">
        <f t="shared" si="81"/>
        <v>12.5</v>
      </c>
    </row>
    <row r="83" spans="2:17" x14ac:dyDescent="0.25">
      <c r="B83" s="16">
        <v>2</v>
      </c>
      <c r="C83" s="16">
        <v>2</v>
      </c>
      <c r="E83" s="7">
        <f t="shared" si="78"/>
        <v>4</v>
      </c>
      <c r="F83" s="1" t="s">
        <v>30</v>
      </c>
      <c r="H83" s="3">
        <f t="shared" si="79"/>
        <v>2.5</v>
      </c>
      <c r="I83" s="3">
        <f t="shared" si="80"/>
        <v>2.5</v>
      </c>
      <c r="K83" s="8">
        <f t="shared" si="81"/>
        <v>6.25</v>
      </c>
    </row>
    <row r="84" spans="2:17" x14ac:dyDescent="0.25">
      <c r="B84" s="16">
        <v>2</v>
      </c>
      <c r="C84" s="16">
        <v>2</v>
      </c>
      <c r="E84" s="7">
        <f t="shared" si="78"/>
        <v>4</v>
      </c>
      <c r="F84" s="1" t="s">
        <v>31</v>
      </c>
      <c r="H84" s="3">
        <f t="shared" si="79"/>
        <v>2.5</v>
      </c>
      <c r="I84" s="3">
        <f t="shared" si="80"/>
        <v>2.5</v>
      </c>
      <c r="K84" s="8">
        <f t="shared" si="81"/>
        <v>6.25</v>
      </c>
    </row>
    <row r="85" spans="2:17" x14ac:dyDescent="0.25">
      <c r="B85" s="16">
        <v>8</v>
      </c>
      <c r="C85" s="16">
        <v>4</v>
      </c>
      <c r="E85" s="7">
        <f t="shared" si="78"/>
        <v>32</v>
      </c>
      <c r="F85" s="1" t="s">
        <v>32</v>
      </c>
      <c r="H85" s="3">
        <f t="shared" si="79"/>
        <v>10</v>
      </c>
      <c r="I85" s="3">
        <f t="shared" si="80"/>
        <v>5</v>
      </c>
      <c r="K85" s="8">
        <f t="shared" si="81"/>
        <v>50</v>
      </c>
    </row>
    <row r="86" spans="2:17" x14ac:dyDescent="0.25">
      <c r="B86" s="16">
        <v>2</v>
      </c>
      <c r="C86" s="16">
        <v>2</v>
      </c>
      <c r="E86" s="7">
        <f t="shared" si="78"/>
        <v>4</v>
      </c>
      <c r="F86" s="1" t="s">
        <v>33</v>
      </c>
      <c r="H86" s="3">
        <f t="shared" si="79"/>
        <v>2.5</v>
      </c>
      <c r="I86" s="3">
        <f t="shared" si="80"/>
        <v>2.5</v>
      </c>
      <c r="K86" s="8">
        <f t="shared" si="81"/>
        <v>6.25</v>
      </c>
    </row>
    <row r="87" spans="2:17" x14ac:dyDescent="0.25">
      <c r="B87" s="16">
        <v>3</v>
      </c>
      <c r="C87" s="16">
        <v>5</v>
      </c>
      <c r="E87" s="7">
        <f t="shared" si="78"/>
        <v>15</v>
      </c>
      <c r="F87" s="1" t="s">
        <v>34</v>
      </c>
      <c r="H87" s="3">
        <f t="shared" si="79"/>
        <v>3.75</v>
      </c>
      <c r="I87" s="3">
        <f t="shared" si="80"/>
        <v>6.25</v>
      </c>
      <c r="K87" s="8">
        <f t="shared" si="81"/>
        <v>23.4375</v>
      </c>
    </row>
    <row r="88" spans="2:17" x14ac:dyDescent="0.25">
      <c r="B88" s="16">
        <v>19</v>
      </c>
      <c r="C88" s="16">
        <v>2</v>
      </c>
      <c r="E88" s="7">
        <f t="shared" si="78"/>
        <v>38</v>
      </c>
      <c r="F88" s="1" t="s">
        <v>35</v>
      </c>
      <c r="H88" s="3">
        <f t="shared" si="79"/>
        <v>23.75</v>
      </c>
      <c r="I88" s="3">
        <f t="shared" si="80"/>
        <v>2.5</v>
      </c>
      <c r="K88" s="8">
        <f t="shared" si="81"/>
        <v>59.375</v>
      </c>
    </row>
    <row r="89" spans="2:17" x14ac:dyDescent="0.25">
      <c r="B89" s="16">
        <v>16</v>
      </c>
      <c r="C89" s="16">
        <v>1</v>
      </c>
      <c r="E89" s="7">
        <f t="shared" si="78"/>
        <v>16</v>
      </c>
      <c r="F89" s="1" t="s">
        <v>36</v>
      </c>
      <c r="H89" s="3">
        <f t="shared" si="79"/>
        <v>20</v>
      </c>
      <c r="I89" s="3">
        <f t="shared" si="80"/>
        <v>1.25</v>
      </c>
      <c r="K89" s="8">
        <f t="shared" si="81"/>
        <v>25</v>
      </c>
    </row>
    <row r="90" spans="2:17" x14ac:dyDescent="0.25">
      <c r="B90" s="16">
        <v>32</v>
      </c>
      <c r="C90" s="16">
        <v>12</v>
      </c>
      <c r="E90" s="7">
        <f t="shared" si="78"/>
        <v>384</v>
      </c>
      <c r="F90" s="1" t="s">
        <v>37</v>
      </c>
      <c r="H90" s="3">
        <f t="shared" si="79"/>
        <v>40</v>
      </c>
      <c r="I90" s="3">
        <f t="shared" si="80"/>
        <v>15</v>
      </c>
      <c r="K90" s="8">
        <f t="shared" si="81"/>
        <v>600</v>
      </c>
    </row>
    <row r="92" spans="2:17" x14ac:dyDescent="0.25">
      <c r="P92" s="42" t="s">
        <v>22</v>
      </c>
      <c r="Q92" s="43"/>
    </row>
    <row r="93" spans="2:17" x14ac:dyDescent="0.25">
      <c r="P93" s="44" t="s">
        <v>14</v>
      </c>
      <c r="Q93" s="45"/>
    </row>
    <row r="94" spans="2:17" ht="28.5" x14ac:dyDescent="0.25">
      <c r="P94" s="12" t="s">
        <v>13</v>
      </c>
      <c r="Q94" s="13">
        <f>ROUNDUP(SUM(K78:K90),0)</f>
        <v>865</v>
      </c>
    </row>
  </sheetData>
  <mergeCells count="14">
    <mergeCell ref="P92:Q92"/>
    <mergeCell ref="P93:Q93"/>
    <mergeCell ref="Q4:R4"/>
    <mergeCell ref="Q5:R5"/>
    <mergeCell ref="Q6:R6"/>
    <mergeCell ref="Q7:R7"/>
    <mergeCell ref="P26:Q26"/>
    <mergeCell ref="P33:Q33"/>
    <mergeCell ref="P68:Q68"/>
    <mergeCell ref="P27:Q27"/>
    <mergeCell ref="P32:Q32"/>
    <mergeCell ref="P49:Q49"/>
    <mergeCell ref="P67:Q67"/>
    <mergeCell ref="P50:Q50"/>
  </mergeCells>
  <phoneticPr fontId="1" type="noConversion"/>
  <pageMargins left="0.5" right="0.25" top="0.5" bottom="0.5" header="0.3" footer="0.3"/>
  <pageSetup scale="58" fitToHeight="0" orientation="landscape" r:id="rId1"/>
  <rowBreaks count="1" manualBreakCount="1">
    <brk id="5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 Mathias</dc:creator>
  <cp:lastModifiedBy>Julia Hart</cp:lastModifiedBy>
  <cp:lastPrinted>2024-03-27T13:38:44Z</cp:lastPrinted>
  <dcterms:created xsi:type="dcterms:W3CDTF">2023-06-12T16:58:55Z</dcterms:created>
  <dcterms:modified xsi:type="dcterms:W3CDTF">2024-03-28T01:47:49Z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