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julia.hart\d0108274\"/>
    </mc:Choice>
  </mc:AlternateContent>
  <xr:revisionPtr revIDLastSave="0" documentId="13_ncr:1_{6CFB6CAA-E840-4A44-8237-2C407F14F8A5}" xr6:coauthVersionLast="47" xr6:coauthVersionMax="47" xr10:uidLastSave="{00000000-0000-0000-0000-000000000000}"/>
  <bookViews>
    <workbookView xWindow="-120" yWindow="-120" windowWidth="29040" windowHeight="15840" tabRatio="572" xr2:uid="{00000000-000D-0000-FFFF-FFFF00000000}"/>
  </bookViews>
  <sheets>
    <sheet name="Stage 3" sheetId="33" r:id="rId1"/>
  </sheets>
  <externalReferences>
    <externalReference r:id="rId2"/>
  </externalReferences>
  <definedNames>
    <definedName name="_xlnm.Print_Area" localSheetId="0">'Stage 3'!$A$1:$N$587</definedName>
    <definedName name="_xlnm.Print_Titles" localSheetId="0">'Stage 3'!$1:$10</definedName>
    <definedName name="TABLE" localSheetId="0">'Stage 3'!#REF!</definedName>
  </definedNames>
  <calcPr calcId="191029"/>
  <fileRecoveryPr autoRecover="0"/>
</workbook>
</file>

<file path=xl/calcChain.xml><?xml version="1.0" encoding="utf-8"?>
<calcChain xmlns="http://schemas.openxmlformats.org/spreadsheetml/2006/main">
  <c r="P131" i="33" l="1"/>
  <c r="C131" i="33"/>
  <c r="C144" i="33"/>
  <c r="C138" i="33" l="1"/>
  <c r="L23" i="33"/>
  <c r="C23" i="33" s="1"/>
  <c r="C41" i="33"/>
  <c r="C26" i="33"/>
  <c r="C533" i="33"/>
  <c r="C530" i="33"/>
  <c r="C527" i="33"/>
  <c r="C524" i="33"/>
  <c r="C360" i="33"/>
  <c r="C359" i="33"/>
  <c r="C328" i="33"/>
  <c r="C329" i="33"/>
  <c r="C361" i="33"/>
  <c r="C274" i="33"/>
  <c r="C260" i="33"/>
  <c r="C236" i="33"/>
  <c r="C222" i="33"/>
  <c r="C174" i="33"/>
  <c r="C167" i="33"/>
  <c r="E65" i="33"/>
  <c r="D65" i="33"/>
  <c r="B65" i="33"/>
  <c r="A65" i="33"/>
  <c r="C122" i="33"/>
  <c r="C123" i="33" s="1"/>
  <c r="C124" i="33" s="1"/>
  <c r="C127" i="33" s="1"/>
  <c r="C119" i="33" s="1"/>
  <c r="E119" i="33"/>
  <c r="D119" i="33"/>
  <c r="B119" i="33"/>
  <c r="A119" i="33"/>
  <c r="C362" i="33" l="1"/>
  <c r="C331" i="33"/>
  <c r="C469" i="33" l="1"/>
  <c r="C468" i="33"/>
  <c r="C463" i="33"/>
  <c r="C462" i="33"/>
  <c r="C465" i="33"/>
  <c r="C471" i="33" s="1"/>
  <c r="C569" i="33" l="1"/>
  <c r="C573" i="33"/>
  <c r="C578" i="33" s="1"/>
  <c r="C559" i="33"/>
  <c r="C557" i="33"/>
  <c r="E556" i="33"/>
  <c r="D556" i="33"/>
  <c r="B556" i="33"/>
  <c r="A556" i="33"/>
  <c r="E572" i="33"/>
  <c r="D572" i="33"/>
  <c r="B572" i="33"/>
  <c r="A572" i="33"/>
  <c r="C479" i="33"/>
  <c r="C478" i="33"/>
  <c r="C547" i="33"/>
  <c r="L61" i="33"/>
  <c r="K61" i="33"/>
  <c r="J61" i="33"/>
  <c r="L60" i="33"/>
  <c r="L54" i="33"/>
  <c r="L52" i="33"/>
  <c r="L51" i="33"/>
  <c r="L50" i="33"/>
  <c r="L49" i="33"/>
  <c r="L48" i="33"/>
  <c r="L47" i="33"/>
  <c r="L46" i="33"/>
  <c r="K46" i="33"/>
  <c r="J46" i="33"/>
  <c r="L45" i="33"/>
  <c r="L44" i="33"/>
  <c r="L43" i="33"/>
  <c r="L42" i="33"/>
  <c r="J18" i="33"/>
  <c r="C57" i="33"/>
  <c r="C59" i="33"/>
  <c r="C579" i="33" l="1"/>
  <c r="C572" i="33" s="1"/>
  <c r="J55" i="33" s="1"/>
  <c r="C55" i="33" s="1"/>
  <c r="C562" i="33"/>
  <c r="C563" i="33" s="1"/>
  <c r="C556" i="33" s="1"/>
  <c r="J53" i="33" s="1"/>
  <c r="C53" i="33" s="1"/>
  <c r="C61" i="33"/>
  <c r="C46" i="33"/>
  <c r="C93" i="33" l="1"/>
  <c r="C86" i="33"/>
  <c r="C110" i="33"/>
  <c r="C111" i="33" s="1"/>
  <c r="C108" i="33" s="1"/>
  <c r="C103" i="33"/>
  <c r="C104" i="33" s="1"/>
  <c r="C101" i="33" s="1"/>
  <c r="C96" i="33"/>
  <c r="C89" i="33"/>
  <c r="C90" i="33" s="1"/>
  <c r="C105" i="33" l="1"/>
  <c r="C76" i="33" s="1"/>
  <c r="C112" i="33"/>
  <c r="C77" i="33" s="1"/>
  <c r="C87" i="33"/>
  <c r="C91" i="33" s="1"/>
  <c r="C66" i="33"/>
  <c r="C68" i="33" s="1"/>
  <c r="C97" i="33"/>
  <c r="C94" i="33" s="1"/>
  <c r="C98" i="33" s="1"/>
  <c r="C71" i="33"/>
  <c r="C73" i="33" s="1"/>
  <c r="K16" i="33" l="1"/>
  <c r="C114" i="33"/>
  <c r="C507" i="33"/>
  <c r="C508" i="33" s="1"/>
  <c r="C514" i="33"/>
  <c r="C515" i="33" s="1"/>
  <c r="C517" i="33" s="1"/>
  <c r="C500" i="33"/>
  <c r="C501" i="33" s="1"/>
  <c r="C503" i="33" s="1"/>
  <c r="C281" i="33"/>
  <c r="C267" i="33"/>
  <c r="C243" i="33"/>
  <c r="C229" i="33"/>
  <c r="C203" i="33"/>
  <c r="C204" i="33" s="1"/>
  <c r="C196" i="33"/>
  <c r="C197" i="33" s="1"/>
  <c r="C183" i="33"/>
  <c r="C182" i="33"/>
  <c r="C166" i="33"/>
  <c r="C157" i="33"/>
  <c r="C154" i="33"/>
  <c r="C153" i="33"/>
  <c r="C151" i="33"/>
  <c r="C278" i="33"/>
  <c r="C277" i="33"/>
  <c r="C275" i="33"/>
  <c r="C264" i="33"/>
  <c r="C263" i="33"/>
  <c r="C261" i="33"/>
  <c r="C240" i="33"/>
  <c r="C239" i="33"/>
  <c r="C237" i="33"/>
  <c r="C226" i="33"/>
  <c r="C225" i="33"/>
  <c r="C223" i="33"/>
  <c r="C510" i="33" l="1"/>
  <c r="K47" i="33" s="1"/>
  <c r="C539" i="33"/>
  <c r="K48" i="33" s="1"/>
  <c r="C284" i="33"/>
  <c r="C270" i="33"/>
  <c r="C232" i="33"/>
  <c r="C246" i="33"/>
  <c r="L22" i="33" l="1"/>
  <c r="J22" i="33"/>
  <c r="K22" i="33" l="1"/>
  <c r="C22" i="33" s="1"/>
  <c r="C493" i="33" l="1"/>
  <c r="C494" i="33" s="1"/>
  <c r="C538" i="33" s="1"/>
  <c r="C535" i="33"/>
  <c r="C587" i="33"/>
  <c r="C581" i="33" s="1"/>
  <c r="E581" i="33"/>
  <c r="D581" i="33"/>
  <c r="B581" i="33"/>
  <c r="A581" i="33"/>
  <c r="E537" i="33"/>
  <c r="D537" i="33"/>
  <c r="B537" i="33"/>
  <c r="A537" i="33"/>
  <c r="C541" i="33" l="1"/>
  <c r="C537" i="33" s="1"/>
  <c r="J48" i="33"/>
  <c r="C48" i="33" s="1"/>
  <c r="C521" i="33"/>
  <c r="E521" i="33"/>
  <c r="D521" i="33"/>
  <c r="B521" i="33"/>
  <c r="A521" i="33"/>
  <c r="C496" i="33"/>
  <c r="E489" i="33"/>
  <c r="D489" i="33"/>
  <c r="B489" i="33"/>
  <c r="A489" i="33"/>
  <c r="E565" i="33"/>
  <c r="D565" i="33"/>
  <c r="B565" i="33"/>
  <c r="A565" i="33"/>
  <c r="C554" i="33"/>
  <c r="C549" i="33" s="1"/>
  <c r="M51" i="33" s="1"/>
  <c r="C51" i="33" s="1"/>
  <c r="E549" i="33"/>
  <c r="D549" i="33"/>
  <c r="B549" i="33"/>
  <c r="A549" i="33"/>
  <c r="C543" i="33"/>
  <c r="M50" i="33" s="1"/>
  <c r="C50" i="33" s="1"/>
  <c r="E543" i="33"/>
  <c r="D543" i="33"/>
  <c r="B543" i="33"/>
  <c r="A543" i="33"/>
  <c r="C485" i="33"/>
  <c r="C484" i="33"/>
  <c r="E483" i="33"/>
  <c r="D483" i="33"/>
  <c r="B483" i="33"/>
  <c r="A483" i="33"/>
  <c r="E477" i="33"/>
  <c r="D477" i="33"/>
  <c r="B477" i="33"/>
  <c r="A477" i="33"/>
  <c r="C472" i="33"/>
  <c r="E461" i="33"/>
  <c r="D461" i="33"/>
  <c r="B461" i="33"/>
  <c r="A461" i="33"/>
  <c r="C456" i="33"/>
  <c r="C459" i="33" s="1"/>
  <c r="E454" i="33"/>
  <c r="D454" i="33"/>
  <c r="B454" i="33"/>
  <c r="A454" i="33"/>
  <c r="C449" i="33"/>
  <c r="C450" i="33" s="1"/>
  <c r="C445" i="33"/>
  <c r="C446" i="33" s="1"/>
  <c r="C437" i="33"/>
  <c r="C438" i="33" s="1"/>
  <c r="C434" i="33"/>
  <c r="E427" i="33"/>
  <c r="D427" i="33"/>
  <c r="B427" i="33"/>
  <c r="A427" i="33"/>
  <c r="C423" i="33"/>
  <c r="C415" i="33"/>
  <c r="E408" i="33"/>
  <c r="D408" i="33"/>
  <c r="B408" i="33"/>
  <c r="A408" i="33"/>
  <c r="E395" i="33"/>
  <c r="D395" i="33"/>
  <c r="B395" i="33"/>
  <c r="A395" i="33"/>
  <c r="E386" i="33"/>
  <c r="D386" i="33"/>
  <c r="B386" i="33"/>
  <c r="A386" i="33"/>
  <c r="C384" i="33"/>
  <c r="C379" i="33" s="1"/>
  <c r="M34" i="33" s="1"/>
  <c r="C34" i="33" s="1"/>
  <c r="E379" i="33"/>
  <c r="D379" i="33"/>
  <c r="B379" i="33"/>
  <c r="A379" i="33"/>
  <c r="C374" i="33"/>
  <c r="C368" i="33"/>
  <c r="C357" i="33"/>
  <c r="C350" i="33"/>
  <c r="C343" i="33"/>
  <c r="C337" i="33"/>
  <c r="C324" i="33"/>
  <c r="C319" i="33"/>
  <c r="C318" i="33"/>
  <c r="C317" i="33"/>
  <c r="E316" i="33"/>
  <c r="D316" i="33"/>
  <c r="B316" i="33"/>
  <c r="A316" i="33"/>
  <c r="C310" i="33"/>
  <c r="C305" i="33"/>
  <c r="C300" i="33"/>
  <c r="C294" i="33"/>
  <c r="E289" i="33"/>
  <c r="D289" i="33"/>
  <c r="B289" i="33"/>
  <c r="A289" i="33"/>
  <c r="C253" i="33"/>
  <c r="C256" i="33" s="1"/>
  <c r="C248" i="33"/>
  <c r="C217" i="33"/>
  <c r="C215" i="33"/>
  <c r="C429" i="33" s="1"/>
  <c r="C210" i="33"/>
  <c r="E209" i="33"/>
  <c r="D209" i="33"/>
  <c r="B209" i="33"/>
  <c r="A209" i="33"/>
  <c r="E191" i="33"/>
  <c r="D191" i="33"/>
  <c r="B191" i="33"/>
  <c r="A191" i="33"/>
  <c r="C185" i="33"/>
  <c r="C184" i="33"/>
  <c r="C181" i="33"/>
  <c r="E180" i="33"/>
  <c r="D180" i="33"/>
  <c r="B180" i="33"/>
  <c r="A180" i="33"/>
  <c r="C173" i="33"/>
  <c r="C149" i="33"/>
  <c r="E146" i="33"/>
  <c r="D146" i="33"/>
  <c r="B146" i="33"/>
  <c r="A146" i="33"/>
  <c r="E129" i="33"/>
  <c r="D129" i="33"/>
  <c r="B129" i="33"/>
  <c r="A129" i="33"/>
  <c r="E85" i="33"/>
  <c r="B85" i="33"/>
  <c r="A85" i="33"/>
  <c r="E82" i="33"/>
  <c r="C82" i="33"/>
  <c r="B82" i="33"/>
  <c r="A82" i="33"/>
  <c r="C430" i="33" l="1"/>
  <c r="C441" i="33"/>
  <c r="C188" i="33"/>
  <c r="C570" i="33"/>
  <c r="C565" i="33" s="1"/>
  <c r="C519" i="33"/>
  <c r="C489" i="33" s="1"/>
  <c r="J47" i="33"/>
  <c r="C47" i="33" s="1"/>
  <c r="C251" i="33"/>
  <c r="C72" i="33"/>
  <c r="C74" i="33" s="1"/>
  <c r="C213" i="33"/>
  <c r="C67" i="33"/>
  <c r="C69" i="33" s="1"/>
  <c r="J16" i="33" s="1"/>
  <c r="C16" i="33" s="1"/>
  <c r="C117" i="33"/>
  <c r="C85" i="33" s="1"/>
  <c r="P19" i="33" s="1"/>
  <c r="C396" i="33"/>
  <c r="C398" i="33" s="1"/>
  <c r="C161" i="33"/>
  <c r="C442" i="33"/>
  <c r="C218" i="33"/>
  <c r="C313" i="33"/>
  <c r="C314" i="33" s="1"/>
  <c r="C289" i="33" s="1"/>
  <c r="K30" i="33" s="1"/>
  <c r="C30" i="33" s="1"/>
  <c r="C325" i="33"/>
  <c r="C326" i="33" s="1"/>
  <c r="C466" i="33"/>
  <c r="C474" i="33" s="1"/>
  <c r="C475" i="33" s="1"/>
  <c r="C461" i="33" s="1"/>
  <c r="J42" i="33" s="1"/>
  <c r="C42" i="33" s="1"/>
  <c r="C487" i="33"/>
  <c r="C483" i="33" s="1"/>
  <c r="J44" i="33" s="1"/>
  <c r="C44" i="33" s="1"/>
  <c r="C425" i="33"/>
  <c r="C408" i="33" s="1"/>
  <c r="J37" i="33" s="1"/>
  <c r="C37" i="33" s="1"/>
  <c r="C175" i="33"/>
  <c r="C155" i="33"/>
  <c r="C388" i="33"/>
  <c r="C401" i="33" s="1"/>
  <c r="C322" i="33"/>
  <c r="C168" i="33"/>
  <c r="C454" i="33"/>
  <c r="J39" i="33" s="1"/>
  <c r="C39" i="33" s="1"/>
  <c r="C206" i="33"/>
  <c r="C481" i="33"/>
  <c r="C477" i="33" s="1"/>
  <c r="J43" i="33" s="1"/>
  <c r="C43" i="33" s="1"/>
  <c r="C376" i="33" l="1"/>
  <c r="C377" i="33" s="1"/>
  <c r="C452" i="33"/>
  <c r="C427" i="33" s="1"/>
  <c r="J38" i="33" s="1"/>
  <c r="C38" i="33" s="1"/>
  <c r="C391" i="33"/>
  <c r="J54" i="33"/>
  <c r="C54" i="33" s="1"/>
  <c r="C79" i="33"/>
  <c r="C80" i="33" s="1"/>
  <c r="C65" i="33" s="1"/>
  <c r="C286" i="33"/>
  <c r="C177" i="33"/>
  <c r="C178" i="33" s="1"/>
  <c r="C146" i="33" s="1"/>
  <c r="L25" i="33" s="1"/>
  <c r="C25" i="33" s="1"/>
  <c r="C316" i="33"/>
  <c r="L32" i="33" s="1"/>
  <c r="C32" i="33" s="1"/>
  <c r="C207" i="33"/>
  <c r="C191" i="33" s="1"/>
  <c r="K28" i="33" s="1"/>
  <c r="C28" i="33" s="1"/>
  <c r="C189" i="33"/>
  <c r="C180" i="33" s="1"/>
  <c r="L27" i="33" s="1"/>
  <c r="C27" i="33" s="1"/>
  <c r="C393" i="33" l="1"/>
  <c r="C386" i="33" s="1"/>
  <c r="J35" i="33" s="1"/>
  <c r="C35" i="33" s="1"/>
  <c r="C404" i="33"/>
  <c r="C406" i="33" s="1"/>
  <c r="C395" i="33" s="1"/>
  <c r="L36" i="33" s="1"/>
  <c r="C36" i="33" s="1"/>
  <c r="C287" i="33"/>
  <c r="C209" i="33" s="1"/>
  <c r="J29" i="33" s="1"/>
  <c r="C29" i="33" s="1"/>
  <c r="C129" i="33"/>
</calcChain>
</file>

<file path=xl/sharedStrings.xml><?xml version="1.0" encoding="utf-8"?>
<sst xmlns="http://schemas.openxmlformats.org/spreadsheetml/2006/main" count="974" uniqueCount="271">
  <si>
    <t>ITEM</t>
  </si>
  <si>
    <t>UNIT</t>
  </si>
  <si>
    <t>DESCRIPTION</t>
  </si>
  <si>
    <t>FT</t>
  </si>
  <si>
    <t>QUANTITY</t>
  </si>
  <si>
    <t>EXT.</t>
  </si>
  <si>
    <t>total</t>
  </si>
  <si>
    <t>ft</t>
  </si>
  <si>
    <t>sf</t>
  </si>
  <si>
    <t>sy</t>
  </si>
  <si>
    <t>cy</t>
  </si>
  <si>
    <t>cf</t>
  </si>
  <si>
    <t>ea</t>
  </si>
  <si>
    <t>Date:</t>
  </si>
  <si>
    <t>Project:</t>
  </si>
  <si>
    <t>Bridge No.:</t>
  </si>
  <si>
    <t>SFN:</t>
  </si>
  <si>
    <t>SY</t>
  </si>
  <si>
    <t>LS</t>
  </si>
  <si>
    <t>LB</t>
  </si>
  <si>
    <t>CY</t>
  </si>
  <si>
    <t>SEE SHT.</t>
  </si>
  <si>
    <t>$</t>
  </si>
  <si>
    <t>lb</t>
  </si>
  <si>
    <t>total area</t>
  </si>
  <si>
    <t>each</t>
  </si>
  <si>
    <t>length of footing</t>
  </si>
  <si>
    <t>width of footing</t>
  </si>
  <si>
    <t>height of footing</t>
  </si>
  <si>
    <t>POROUS BACKFILL WITH GEOTEXTILE FABRIC</t>
  </si>
  <si>
    <t>width of backfill</t>
  </si>
  <si>
    <t>length of stem</t>
  </si>
  <si>
    <t>UNCLASSIFIED EXCAVATION</t>
  </si>
  <si>
    <t>$/cy</t>
  </si>
  <si>
    <t>SF</t>
  </si>
  <si>
    <t>1" PREFORMED EXPANSION JOINT FILLER</t>
  </si>
  <si>
    <t>rear abutment</t>
  </si>
  <si>
    <t>forward abutment</t>
  </si>
  <si>
    <t>6" PERFORATED CORRUGATED PLASTIC PIPE</t>
  </si>
  <si>
    <t>abutments</t>
  </si>
  <si>
    <t>rear abutment footing</t>
  </si>
  <si>
    <t>volume of footing</t>
  </si>
  <si>
    <t>rear abutment stem</t>
  </si>
  <si>
    <t>volume of stem</t>
  </si>
  <si>
    <t>forward abutment footing</t>
  </si>
  <si>
    <t>forward abutment stem</t>
  </si>
  <si>
    <t>total length of pipe</t>
  </si>
  <si>
    <t>total volume of backfill</t>
  </si>
  <si>
    <t>subtotal sealing area</t>
  </si>
  <si>
    <t>total sealing area</t>
  </si>
  <si>
    <t>unclassified excavation unit cost</t>
  </si>
  <si>
    <t>total cost</t>
  </si>
  <si>
    <t>CLASS QC2 CONCRETE WITH QC/QA, SUPERSTRUCTURE</t>
  </si>
  <si>
    <t>1/2" PREFORMED EXPANSION JOINT FILLER</t>
  </si>
  <si>
    <t>6" NON-PERFORATED CORRUGATED PLASTIC PIPE, INCLUDING SPECIALS</t>
  </si>
  <si>
    <t>REINFORCED CONCRETE APPROACH SLABS WITH QC/QA (T=15"), AS PER PLAN</t>
  </si>
  <si>
    <t>subtotal weight</t>
  </si>
  <si>
    <t>thickness of deck</t>
  </si>
  <si>
    <t>bridge deck</t>
  </si>
  <si>
    <t>width of stem</t>
  </si>
  <si>
    <t>number of abutments</t>
  </si>
  <si>
    <t>width of joint filler</t>
  </si>
  <si>
    <t>length of joint filler</t>
  </si>
  <si>
    <t>area of joint filler for rear abutment</t>
  </si>
  <si>
    <t>height of bridge deck</t>
  </si>
  <si>
    <t>underside of bridge deck</t>
  </si>
  <si>
    <t>NYLON REINFORCED NEOPRENE SHEETING</t>
  </si>
  <si>
    <t>on proposed footing</t>
  </si>
  <si>
    <t xml:space="preserve">width of stem </t>
  </si>
  <si>
    <t>COFFERDAMS AND EXCAVATION BRACING</t>
  </si>
  <si>
    <t>superstructure</t>
  </si>
  <si>
    <t>pier</t>
  </si>
  <si>
    <t>railing</t>
  </si>
  <si>
    <t>width of abutment</t>
  </si>
  <si>
    <t>subtotal area</t>
  </si>
  <si>
    <t>2LMN, Inc.</t>
  </si>
  <si>
    <t>Calculated:</t>
  </si>
  <si>
    <t>Stage Review Submission:</t>
  </si>
  <si>
    <t>Checked:</t>
  </si>
  <si>
    <t>PID/Job No.:</t>
  </si>
  <si>
    <t>Concurred:</t>
  </si>
  <si>
    <t>Back Checked:</t>
  </si>
  <si>
    <t>Released:</t>
  </si>
  <si>
    <t>ABUT.</t>
  </si>
  <si>
    <t>PIERS</t>
  </si>
  <si>
    <t>SUPER.</t>
  </si>
  <si>
    <t>GENERAL</t>
  </si>
  <si>
    <t>length of approach slab</t>
  </si>
  <si>
    <t>length</t>
  </si>
  <si>
    <t>volume of portion above keyway</t>
  </si>
  <si>
    <t>2" PREFORMED EXPANSION JOINT FILLER</t>
  </si>
  <si>
    <t>approach slab thickness</t>
  </si>
  <si>
    <t>height of neoprene sheeting</t>
  </si>
  <si>
    <t>width centered on joints</t>
  </si>
  <si>
    <t>height from elevations</t>
  </si>
  <si>
    <t>width centered on joint</t>
  </si>
  <si>
    <t>area of waterproofing</t>
  </si>
  <si>
    <t>width of bearing</t>
  </si>
  <si>
    <t>average length of bearing</t>
  </si>
  <si>
    <t>number of ends</t>
  </si>
  <si>
    <t>area joint filler between bridge railing and abutment</t>
  </si>
  <si>
    <t>ARMORLESS PREFORMED JOINT SEAL</t>
  </si>
  <si>
    <t>width of approach slab</t>
  </si>
  <si>
    <t>TYPE C INSTALLATION</t>
  </si>
  <si>
    <t>ARCA_105889_LUC-23-11.75</t>
  </si>
  <si>
    <t>Rear Abutment</t>
  </si>
  <si>
    <t>max height</t>
  </si>
  <si>
    <t>min height</t>
  </si>
  <si>
    <t>total length</t>
  </si>
  <si>
    <t>Wall of Pier 1</t>
  </si>
  <si>
    <t>Wall of Pier 2</t>
  </si>
  <si>
    <t>volume of deck</t>
  </si>
  <si>
    <t>height of stem</t>
  </si>
  <si>
    <t>Pier 1</t>
  </si>
  <si>
    <t>Pier 2</t>
  </si>
  <si>
    <t>cross sectional area of SBR-1-20 parapet</t>
  </si>
  <si>
    <t>cross section of sections "C-C" and "D-D"</t>
  </si>
  <si>
    <t>Length of sections "C-C" and "D-D"</t>
  </si>
  <si>
    <t>Transition length</t>
  </si>
  <si>
    <t>bridge railing</t>
  </si>
  <si>
    <t>distance behind barrier</t>
  </si>
  <si>
    <t xml:space="preserve">rear abutment to </t>
  </si>
  <si>
    <t xml:space="preserve">forward abutment to </t>
  </si>
  <si>
    <t>EMBANKMENT</t>
  </si>
  <si>
    <t>max depth of fill</t>
  </si>
  <si>
    <t xml:space="preserve">volume of fill </t>
  </si>
  <si>
    <t>cu ft</t>
  </si>
  <si>
    <t>total fill volume</t>
  </si>
  <si>
    <t>Estimated Quantities- Northbound Ramp</t>
  </si>
  <si>
    <t>min height of stem</t>
  </si>
  <si>
    <t>max height of stem</t>
  </si>
  <si>
    <t>left wingwall</t>
  </si>
  <si>
    <t>right wingwall</t>
  </si>
  <si>
    <t>pier 1 footing</t>
  </si>
  <si>
    <t>pier 2 footing</t>
  </si>
  <si>
    <t>number of shafts</t>
  </si>
  <si>
    <t>volume</t>
  </si>
  <si>
    <t>length of rear abutment foundation</t>
  </si>
  <si>
    <t>pier 1</t>
  </si>
  <si>
    <t>pier 2</t>
  </si>
  <si>
    <t>foundation excavation volume</t>
  </si>
  <si>
    <t>length of forward abutment foundation</t>
  </si>
  <si>
    <t>length of pier 1 foundation</t>
  </si>
  <si>
    <t>length of pier 2 foundation</t>
  </si>
  <si>
    <t>total excavation</t>
  </si>
  <si>
    <t>Length of rectangular portion of stem</t>
  </si>
  <si>
    <t>min height of pier</t>
  </si>
  <si>
    <t>max height of pier</t>
  </si>
  <si>
    <t>plan area</t>
  </si>
  <si>
    <t>height of pier</t>
  </si>
  <si>
    <t>volume of pier</t>
  </si>
  <si>
    <t>width</t>
  </si>
  <si>
    <t>length of interior bridge deck edge</t>
  </si>
  <si>
    <t>length of exterior bridge deck edge</t>
  </si>
  <si>
    <t xml:space="preserve">   stem</t>
  </si>
  <si>
    <t>area</t>
  </si>
  <si>
    <t xml:space="preserve">   left wingwall</t>
  </si>
  <si>
    <t xml:space="preserve">   right wingwall</t>
  </si>
  <si>
    <t>Forward Abutment</t>
  </si>
  <si>
    <t>rectangular length</t>
  </si>
  <si>
    <t>radius of ends</t>
  </si>
  <si>
    <t>perimeter</t>
  </si>
  <si>
    <t>surface area</t>
  </si>
  <si>
    <t>rear abutment to</t>
  </si>
  <si>
    <t>to right wingwall</t>
  </si>
  <si>
    <t>height of joint filler between bridge abutment and left wingwall</t>
  </si>
  <si>
    <t>height of joint filler between bridge abutment and right wingwall</t>
  </si>
  <si>
    <t>length of joint filler at abutment</t>
  </si>
  <si>
    <t>length of sheeting</t>
  </si>
  <si>
    <t>left height of backfill</t>
  </si>
  <si>
    <t>right height of backfill</t>
  </si>
  <si>
    <t>length of abutment</t>
  </si>
  <si>
    <t>volume for rear abutment</t>
  </si>
  <si>
    <t>volume for forward abutment</t>
  </si>
  <si>
    <t>length of pipe at rear abutment</t>
  </si>
  <si>
    <t>length of pipe at forward abutment</t>
  </si>
  <si>
    <t>bottom of foundation (top of shaft)</t>
  </si>
  <si>
    <t>length per shaft</t>
  </si>
  <si>
    <t xml:space="preserve">DRILLED SHAFTS, MISC.: DEMONSTRATION DRILLED SHAFT </t>
  </si>
  <si>
    <t>Checker:</t>
  </si>
  <si>
    <t>Designer:</t>
  </si>
  <si>
    <t>CRUSHED AGGREGATE SLOPE PROTECTION</t>
  </si>
  <si>
    <t>EACH</t>
  </si>
  <si>
    <t>THERMAL INTEGRITY PROFILING (TIP) TEST</t>
  </si>
  <si>
    <t>deck area (from MicroStation)</t>
  </si>
  <si>
    <t>SBR-1-20 Railing</t>
  </si>
  <si>
    <t>perimeter of railing</t>
  </si>
  <si>
    <t>length of railing</t>
  </si>
  <si>
    <t>ROCK CHANNEL PROTECTION, TYPE C WITH FILTER</t>
  </si>
  <si>
    <t>JAH</t>
  </si>
  <si>
    <t>CLASS QC1 CONCRETE WITH QC/QA, PIER ABOVE FOOTINGS</t>
  </si>
  <si>
    <t>CLASS QC1 CONCRETE WITH QC/QA, ABUTMENT INCLUDING FOOTING, AS PER PLAN</t>
  </si>
  <si>
    <t>CLASS QC1 CONCRETE WITH QC/QA, FOOTING</t>
  </si>
  <si>
    <t>CLASS QC2 CONCRETE WITH QC/QA, BRIDGE DECK (PARAPET)</t>
  </si>
  <si>
    <t>SEALING OF CONCRETE SURFACES (EPOXY-URETHANE)</t>
  </si>
  <si>
    <t>DRILLED SHAFTS, 42" DIAMETER, ABOVE BEDROCK</t>
  </si>
  <si>
    <t>DRILLED SHAFTS, 36" DIAMETER, INTO BEDROCK</t>
  </si>
  <si>
    <t>Perform testing on one shaft at each substructure unit</t>
  </si>
  <si>
    <t>length, perform one demonstration shaft for shaft + rock socket at bridge at one abutment</t>
  </si>
  <si>
    <t>length, perform one demonstration shaft for shaft + rock socket at bridge at one pier</t>
  </si>
  <si>
    <t>Rock sockets</t>
  </si>
  <si>
    <t>length of rock socket</t>
  </si>
  <si>
    <t>RA</t>
  </si>
  <si>
    <t>FA</t>
  </si>
  <si>
    <t>P1</t>
  </si>
  <si>
    <t>P2</t>
  </si>
  <si>
    <t>NORTHBOUND</t>
  </si>
  <si>
    <t>tip elevation</t>
  </si>
  <si>
    <t>Lump Sum Cost</t>
  </si>
  <si>
    <t>diaphragm</t>
  </si>
  <si>
    <t>light pilaster</t>
  </si>
  <si>
    <t>drilled shafts</t>
  </si>
  <si>
    <t>rear abutment wingwalls</t>
  </si>
  <si>
    <t>forward abutment wingwalls</t>
  </si>
  <si>
    <t>upper length</t>
  </si>
  <si>
    <t>upper width</t>
  </si>
  <si>
    <t>upper avg height</t>
  </si>
  <si>
    <t>middle width</t>
  </si>
  <si>
    <t>bottom length</t>
  </si>
  <si>
    <t>bottom width</t>
  </si>
  <si>
    <t>middle height</t>
  </si>
  <si>
    <t>bottom height</t>
  </si>
  <si>
    <t>middle avg length</t>
  </si>
  <si>
    <t>STRUCTURE GROUNDING SYSTEM</t>
  </si>
  <si>
    <t>top</t>
  </si>
  <si>
    <t>lower</t>
  </si>
  <si>
    <t>footing width</t>
  </si>
  <si>
    <t>footing height</t>
  </si>
  <si>
    <t>footing length - width under stem</t>
  </si>
  <si>
    <r>
      <t xml:space="preserve">Estimated Quantities </t>
    </r>
    <r>
      <rPr>
        <b/>
        <i/>
        <u/>
        <sz val="20"/>
        <color rgb="FFFF0000"/>
        <rFont val="Verdana"/>
        <family val="2"/>
      </rPr>
      <t>LUC-23-11.75</t>
    </r>
    <r>
      <rPr>
        <b/>
        <i/>
        <u/>
        <sz val="20"/>
        <rFont val="Verdana"/>
        <family val="2"/>
      </rPr>
      <t xml:space="preserve"> - NORTHBOUND RAMP A</t>
    </r>
  </si>
  <si>
    <t>(MAJORITY OF THIS PICKED UP BY ROADWAY, ONLY ACCOUNT FOR MATERIAL IN FRONT OF ABUT AND WINGWALLS)</t>
  </si>
  <si>
    <t>excavation width (assume 1:1)</t>
  </si>
  <si>
    <t>existing ground elevation</t>
  </si>
  <si>
    <t>bottom of footing elevation</t>
  </si>
  <si>
    <t>UNCLASSIFIED EXCAVATION, INCLUDING ROCK</t>
  </si>
  <si>
    <t>PRECAST REINFORCED CONCRETE OUTLET</t>
  </si>
  <si>
    <t>(MAJORITY OF THIS PICKED UP BY ROADWAY, ONLY ACCOUNT FOR MATERIAL IN FRONT OF ABUT)</t>
  </si>
  <si>
    <t>foundation depth</t>
  </si>
  <si>
    <t>lengthof abutment</t>
  </si>
  <si>
    <t>width of fill (assume 1:1)</t>
  </si>
  <si>
    <t>volume of fill (same as excavation)</t>
  </si>
  <si>
    <t>rear</t>
  </si>
  <si>
    <t>measured in DGN</t>
  </si>
  <si>
    <t>forward</t>
  </si>
  <si>
    <t>depth</t>
  </si>
  <si>
    <t>measured in DGN - NONE AT REAR ABUTMENT, needs to have flower bed restored</t>
  </si>
  <si>
    <t>measured in DGN (extends 10' below path) - SC_Scratch2</t>
  </si>
  <si>
    <t>TIED CONCRETE BLOCK MAT WITH TYPE 1 UNDERLAYMENT</t>
  </si>
  <si>
    <t>tied mat area 4'x4'</t>
  </si>
  <si>
    <t>number</t>
  </si>
  <si>
    <t>area at rear abutment (only used on side with path, from abutment wall to path edge)</t>
  </si>
  <si>
    <t>replace flower bed area under new bridge</t>
  </si>
  <si>
    <t>area at forward abutment (only used on side with path, from abutment wall to path edge)</t>
  </si>
  <si>
    <t>length of SBR-1-20 on bridge</t>
  </si>
  <si>
    <t>JBM</t>
  </si>
  <si>
    <t>top of rock elevaion</t>
  </si>
  <si>
    <t>area of footing</t>
  </si>
  <si>
    <t>ELASTOMERIC BEARING PAD, MISC.: 1.5" THICK STRIP BEARING</t>
  </si>
  <si>
    <t>Total length</t>
  </si>
  <si>
    <t>CF</t>
  </si>
  <si>
    <t>SEMI-INTEGRAL DIAPHRAGM GUIDE</t>
  </si>
  <si>
    <t>SCUPPERS, INCLUDING SUPPORTS</t>
  </si>
  <si>
    <t>20 / 22</t>
  </si>
  <si>
    <t>ESTIMATED QUANTITIES (04/NHS/10)</t>
  </si>
  <si>
    <t>3 / 22</t>
  </si>
  <si>
    <t>NO. 4 DEFORMED GFRP REINFORCEMENT</t>
  </si>
  <si>
    <t>GFRP</t>
  </si>
  <si>
    <t>LUC-00184-00.200R (NB off RAMP)</t>
  </si>
  <si>
    <t>EPOXY COATED STEEL REINFORCEMENT</t>
  </si>
  <si>
    <t>a</t>
  </si>
  <si>
    <t>REV 9/6/2024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</si>
</sst>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0000"/>
    <numFmt numFmtId="167" formatCode="&quot;$&quot;#,##0.00"/>
    <numFmt numFmtId="168" formatCode="#,##0.00\'"/>
    <numFmt numFmtId="169" formatCode="#,##0.00\ &quot;cf&quot;"/>
    <numFmt numFmtId="170" formatCode="#,##0.00\ &quot;cy&quot;"/>
    <numFmt numFmtId="171" formatCode="#,##0.00\ &quot;ft&quot;"/>
    <numFmt numFmtId="172" formatCode="#,##0.00\ &quot;in&quot;"/>
    <numFmt numFmtId="173" formatCode="#,##0.00\ &quot;sf&quot;"/>
    <numFmt numFmtId="174" formatCode="#,##0.00\ &quot;sy&quot;"/>
    <numFmt numFmtId="175" formatCode="#,##0.00\&quot;&quot;&quot;"/>
    <numFmt numFmtId="176" formatCode="0.00&quot;:1&quot;"/>
    <numFmt numFmtId="177" formatCode="0.00\°"/>
    <numFmt numFmtId="178" formatCode="#,##0.00\'\ \R\t;#,##0.00\'\ \L\t"/>
    <numFmt numFmtId="179" formatCode="0&quot;:1&quot;"/>
    <numFmt numFmtId="180" formatCode="0\+00"/>
    <numFmt numFmtId="181" formatCode="0\+00.00"/>
    <numFmt numFmtId="182" formatCode="0\+00.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24"/>
      <name val="Verdana"/>
      <family val="2"/>
    </font>
    <font>
      <i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u/>
      <sz val="20"/>
      <name val="Verdana"/>
      <family val="2"/>
    </font>
    <font>
      <i/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  <font>
      <sz val="11"/>
      <color rgb="FF3F3F76"/>
      <name val="Calibri"/>
      <family val="2"/>
      <scheme val="minor"/>
    </font>
    <font>
      <b/>
      <i/>
      <u/>
      <sz val="20"/>
      <color rgb="FFFF0000"/>
      <name val="Verdana"/>
      <family val="2"/>
    </font>
    <font>
      <b/>
      <i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mbria"/>
      <family val="1"/>
    </font>
    <font>
      <i/>
      <sz val="11"/>
      <color rgb="FFFF0000"/>
      <name val="Calibri"/>
      <family val="2"/>
    </font>
    <font>
      <sz val="10"/>
      <color rgb="FF7030A0"/>
      <name val="Webdings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3" fillId="6" borderId="23" applyNumberFormat="0" applyProtection="0">
      <alignment horizont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8" fillId="0" borderId="26" applyNumberFormat="0" applyFill="0" applyAlignment="0" applyProtection="0"/>
  </cellStyleXfs>
  <cellXfs count="21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11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2" fontId="2" fillId="0" borderId="1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4" fontId="2" fillId="0" borderId="1" xfId="5" applyFont="1" applyBorder="1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7" fillId="0" borderId="6" xfId="6" applyFont="1" applyBorder="1"/>
    <xf numFmtId="0" fontId="18" fillId="0" borderId="7" xfId="6" applyFont="1" applyBorder="1"/>
    <xf numFmtId="0" fontId="18" fillId="4" borderId="16" xfId="6" applyFont="1" applyFill="1" applyBorder="1"/>
    <xf numFmtId="0" fontId="18" fillId="4" borderId="0" xfId="6" applyFont="1" applyFill="1"/>
    <xf numFmtId="0" fontId="19" fillId="0" borderId="16" xfId="6" applyFont="1" applyBorder="1" applyAlignment="1">
      <alignment horizontal="left"/>
    </xf>
    <xf numFmtId="0" fontId="19" fillId="0" borderId="0" xfId="6" applyFont="1" applyAlignment="1">
      <alignment horizontal="centerContinuous"/>
    </xf>
    <xf numFmtId="0" fontId="19" fillId="0" borderId="0" xfId="6" applyFont="1" applyAlignment="1">
      <alignment horizontal="center"/>
    </xf>
    <xf numFmtId="0" fontId="20" fillId="0" borderId="18" xfId="6" applyFont="1" applyBorder="1" applyAlignment="1">
      <alignment horizontal="right"/>
    </xf>
    <xf numFmtId="0" fontId="21" fillId="5" borderId="9" xfId="6" applyFont="1" applyFill="1" applyBorder="1" applyAlignment="1">
      <alignment horizontal="center" vertical="center"/>
    </xf>
    <xf numFmtId="0" fontId="20" fillId="0" borderId="9" xfId="6" applyFont="1" applyBorder="1" applyAlignment="1">
      <alignment horizontal="right"/>
    </xf>
    <xf numFmtId="14" fontId="21" fillId="5" borderId="9" xfId="6" applyNumberFormat="1" applyFont="1" applyFill="1" applyBorder="1" applyAlignment="1">
      <alignment horizontal="center" vertical="center" shrinkToFit="1"/>
    </xf>
    <xf numFmtId="0" fontId="18" fillId="0" borderId="9" xfId="6" applyFont="1" applyBorder="1"/>
    <xf numFmtId="0" fontId="20" fillId="0" borderId="5" xfId="6" applyFont="1" applyBorder="1" applyAlignment="1">
      <alignment horizontal="right"/>
    </xf>
    <xf numFmtId="0" fontId="21" fillId="5" borderId="10" xfId="6" applyFont="1" applyFill="1" applyBorder="1" applyAlignment="1">
      <alignment horizontal="center" vertical="center"/>
    </xf>
    <xf numFmtId="0" fontId="20" fillId="0" borderId="10" xfId="6" applyFont="1" applyBorder="1" applyAlignment="1">
      <alignment horizontal="right"/>
    </xf>
    <xf numFmtId="14" fontId="21" fillId="5" borderId="10" xfId="6" applyNumberFormat="1" applyFont="1" applyFill="1" applyBorder="1" applyAlignment="1">
      <alignment horizontal="center" vertical="center"/>
    </xf>
    <xf numFmtId="0" fontId="18" fillId="0" borderId="10" xfId="6" applyFont="1" applyBorder="1"/>
    <xf numFmtId="0" fontId="21" fillId="0" borderId="10" xfId="6" applyFont="1" applyBorder="1" applyAlignment="1">
      <alignment horizontal="left" indent="2"/>
    </xf>
    <xf numFmtId="0" fontId="21" fillId="5" borderId="10" xfId="6" applyFont="1" applyFill="1" applyBorder="1" applyAlignment="1">
      <alignment horizontal="left" indent="2"/>
    </xf>
    <xf numFmtId="0" fontId="18" fillId="5" borderId="10" xfId="6" applyFont="1" applyFill="1" applyBorder="1"/>
    <xf numFmtId="0" fontId="20" fillId="0" borderId="14" xfId="6" applyFont="1" applyBorder="1" applyAlignment="1">
      <alignment horizontal="right"/>
    </xf>
    <xf numFmtId="0" fontId="22" fillId="5" borderId="19" xfId="6" applyFont="1" applyFill="1" applyBorder="1" applyAlignment="1">
      <alignment horizontal="left" indent="2"/>
    </xf>
    <xf numFmtId="0" fontId="18" fillId="5" borderId="19" xfId="6" applyFont="1" applyFill="1" applyBorder="1"/>
    <xf numFmtId="0" fontId="12" fillId="0" borderId="1" xfId="0" applyFont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14" fontId="26" fillId="0" borderId="8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0" fontId="26" fillId="0" borderId="0" xfId="0" applyFont="1" applyAlignment="1">
      <alignment vertical="center"/>
    </xf>
    <xf numFmtId="165" fontId="3" fillId="2" borderId="10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7" borderId="0" xfId="0" applyNumberFormat="1" applyFont="1" applyFill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2" fontId="28" fillId="0" borderId="26" xfId="23" applyNumberFormat="1" applyAlignment="1">
      <alignment horizontal="center" vertical="center"/>
    </xf>
    <xf numFmtId="2" fontId="28" fillId="0" borderId="26" xfId="23" applyNumberForma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/>
    </xf>
    <xf numFmtId="1" fontId="4" fillId="2" borderId="12" xfId="0" applyNumberFormat="1" applyFont="1" applyFill="1" applyBorder="1" applyAlignment="1">
      <alignment horizontal="center" vertical="center"/>
    </xf>
    <xf numFmtId="1" fontId="4" fillId="2" borderId="13" xfId="1" applyNumberFormat="1" applyFont="1" applyFill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1" fontId="4" fillId="2" borderId="20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14" fontId="26" fillId="0" borderId="17" xfId="0" applyNumberFormat="1" applyFont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1" fontId="27" fillId="0" borderId="28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1" fontId="2" fillId="0" borderId="1" xfId="5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9" fillId="0" borderId="5" xfId="6" applyFont="1" applyBorder="1" applyAlignment="1">
      <alignment horizontal="right"/>
    </xf>
    <xf numFmtId="0" fontId="30" fillId="5" borderId="10" xfId="6" applyFont="1" applyFill="1" applyBorder="1" applyAlignment="1">
      <alignment horizontal="center" vertical="center"/>
    </xf>
    <xf numFmtId="0" fontId="29" fillId="0" borderId="10" xfId="6" applyFont="1" applyBorder="1" applyAlignment="1">
      <alignment horizontal="right"/>
    </xf>
    <xf numFmtId="14" fontId="30" fillId="5" borderId="10" xfId="6" applyNumberFormat="1" applyFont="1" applyFill="1" applyBorder="1" applyAlignment="1">
      <alignment horizontal="center" vertical="center"/>
    </xf>
    <xf numFmtId="1" fontId="4" fillId="2" borderId="4" xfId="0" quotePrefix="1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9" xfId="0" applyFont="1" applyBorder="1" applyAlignment="1">
      <alignment vertical="center"/>
    </xf>
    <xf numFmtId="0" fontId="2" fillId="0" borderId="0" xfId="6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5" borderId="9" xfId="6" applyFont="1" applyFill="1" applyBorder="1" applyAlignment="1">
      <alignment horizontal="center"/>
    </xf>
    <xf numFmtId="0" fontId="21" fillId="5" borderId="10" xfId="6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24">
    <cellStyle name="0.00'" xfId="8" xr:uid="{00000000-0005-0000-0000-000000000000}"/>
    <cellStyle name="0.00 cf" xfId="9" xr:uid="{00000000-0005-0000-0000-000001000000}"/>
    <cellStyle name="0.00 cy" xfId="10" xr:uid="{00000000-0005-0000-0000-000002000000}"/>
    <cellStyle name="0.00 ft" xfId="11" xr:uid="{00000000-0005-0000-0000-000003000000}"/>
    <cellStyle name="0.00 in" xfId="12" xr:uid="{00000000-0005-0000-0000-000004000000}"/>
    <cellStyle name="0.00 sf" xfId="13" xr:uid="{00000000-0005-0000-0000-000005000000}"/>
    <cellStyle name="0.00 sy" xfId="14" xr:uid="{00000000-0005-0000-0000-000006000000}"/>
    <cellStyle name="0.00&quot;" xfId="15" xr:uid="{00000000-0005-0000-0000-000007000000}"/>
    <cellStyle name="0.00:1" xfId="16" xr:uid="{00000000-0005-0000-0000-000008000000}"/>
    <cellStyle name="0.00°" xfId="17" xr:uid="{00000000-0005-0000-0000-000009000000}"/>
    <cellStyle name="0.00'Lt\Rt" xfId="18" xr:uid="{00000000-0005-0000-0000-00000A000000}"/>
    <cellStyle name="0:1" xfId="19" xr:uid="{00000000-0005-0000-0000-00000B000000}"/>
    <cellStyle name="0+00" xfId="20" xr:uid="{00000000-0005-0000-0000-00000C000000}"/>
    <cellStyle name="0+00.00" xfId="21" xr:uid="{00000000-0005-0000-0000-00000D000000}"/>
    <cellStyle name="0+00.0000" xfId="22" xr:uid="{00000000-0005-0000-0000-00000E000000}"/>
    <cellStyle name="Comma" xfId="1" builtinId="3"/>
    <cellStyle name="Comma 2" xfId="2" xr:uid="{00000000-0005-0000-0000-000011000000}"/>
    <cellStyle name="Comma 2 2" xfId="4" xr:uid="{00000000-0005-0000-0000-000012000000}"/>
    <cellStyle name="Currency" xfId="5" builtinId="4"/>
    <cellStyle name="Input" xfId="7" builtinId="20" customBuiltin="1"/>
    <cellStyle name="Linked Cell" xfId="23" builtinId="24"/>
    <cellStyle name="Normal" xfId="0" builtinId="0"/>
    <cellStyle name="Normal 2" xfId="3" xr:uid="{00000000-0005-0000-0000-000018000000}"/>
    <cellStyle name="Normal 4" xfId="6" xr:uid="{00000000-0005-0000-0000-000019000000}"/>
  </cellStyles>
  <dxfs count="0"/>
  <tableStyles count="0" defaultTableStyle="TableStyleMedium9" defaultPivotStyle="PivotStyleLight16"/>
  <colors>
    <mruColors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rojects\ARCA_105889_LUC-23-11.75\400-Engineering\Structures\SFN_4805137\Docs\Spreadsheet\SFN%204805137%20Estimated%20Quantities.xlsx" TargetMode="External"/><Relationship Id="rId1" Type="http://schemas.openxmlformats.org/officeDocument/2006/relationships/externalLinkPath" Target="file:///V:\Projects\ARCA_105889_LUC-23-11.75\400-Engineering\Structures\SFN_4805137\Docs\Spreadsheet\SFN%204805137%20Estimated%20Quant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ge 3"/>
      <sheetName val="Stage 2"/>
      <sheetName val="Stage 2 (BLANK)"/>
    </sheetNames>
    <sheetDataSet>
      <sheetData sheetId="0">
        <row r="33">
          <cell r="O3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13CF8-393D-467E-BC88-73D103399720}">
  <sheetPr>
    <pageSetUpPr fitToPage="1"/>
  </sheetPr>
  <dimension ref="A1:BX587"/>
  <sheetViews>
    <sheetView tabSelected="1" view="pageBreakPreview" topLeftCell="A9" zoomScaleNormal="80" zoomScaleSheetLayoutView="100" workbookViewId="0">
      <selection activeCell="M69" sqref="M69"/>
    </sheetView>
  </sheetViews>
  <sheetFormatPr defaultColWidth="9.140625" defaultRowHeight="12.75" x14ac:dyDescent="0.2"/>
  <cols>
    <col min="1" max="1" width="14.42578125" style="2" customWidth="1"/>
    <col min="2" max="2" width="10.7109375" style="2" customWidth="1"/>
    <col min="3" max="3" width="13.28515625" style="2" customWidth="1"/>
    <col min="4" max="4" width="12.28515625" style="2" bestFit="1" customWidth="1"/>
    <col min="5" max="8" width="12.7109375" style="2" customWidth="1"/>
    <col min="9" max="9" width="32.28515625" style="2" customWidth="1"/>
    <col min="10" max="12" width="10.42578125" style="2" customWidth="1"/>
    <col min="13" max="13" width="11.140625" style="2" customWidth="1"/>
    <col min="14" max="14" width="13" style="2" customWidth="1"/>
    <col min="15" max="15" width="16.5703125" style="2" bestFit="1" customWidth="1"/>
    <col min="16" max="16" width="17.28515625" style="2" bestFit="1" customWidth="1"/>
    <col min="17" max="16384" width="9.140625" style="2"/>
  </cols>
  <sheetData>
    <row r="1" spans="1:16" s="1" customFormat="1" ht="27.75" x14ac:dyDescent="0.4">
      <c r="A1" s="63" t="s">
        <v>75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6" s="1" customFormat="1" ht="4.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6" s="1" customFormat="1" ht="4.5" customHeight="1" x14ac:dyDescent="0.3">
      <c r="A3" s="67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6" s="1" customFormat="1" ht="15" x14ac:dyDescent="0.25">
      <c r="A4" s="70" t="s">
        <v>76</v>
      </c>
      <c r="B4" s="71" t="s">
        <v>189</v>
      </c>
      <c r="C4" s="72" t="s">
        <v>13</v>
      </c>
      <c r="D4" s="73">
        <v>45370</v>
      </c>
      <c r="E4" s="74" t="s">
        <v>270</v>
      </c>
      <c r="F4" s="74"/>
      <c r="G4" s="74"/>
      <c r="H4" s="74"/>
      <c r="I4" s="74"/>
      <c r="J4" s="74"/>
      <c r="K4" s="72" t="s">
        <v>77</v>
      </c>
      <c r="L4" s="209">
        <v>3</v>
      </c>
      <c r="M4" s="209"/>
      <c r="N4" s="209"/>
    </row>
    <row r="5" spans="1:16" s="1" customFormat="1" ht="15" x14ac:dyDescent="0.25">
      <c r="A5" s="75" t="s">
        <v>78</v>
      </c>
      <c r="B5" s="76" t="s">
        <v>254</v>
      </c>
      <c r="C5" s="77" t="s">
        <v>13</v>
      </c>
      <c r="D5" s="78">
        <v>45377</v>
      </c>
      <c r="E5" s="79"/>
      <c r="F5" s="74"/>
      <c r="G5" s="74"/>
      <c r="H5" s="74"/>
      <c r="I5" s="74"/>
      <c r="J5" s="74"/>
      <c r="K5" s="77" t="s">
        <v>79</v>
      </c>
      <c r="L5" s="209">
        <v>105889</v>
      </c>
      <c r="M5" s="209"/>
      <c r="N5" s="209"/>
    </row>
    <row r="6" spans="1:16" s="1" customFormat="1" ht="15" x14ac:dyDescent="0.25">
      <c r="A6" s="75" t="s">
        <v>80</v>
      </c>
      <c r="B6" s="76" t="s">
        <v>189</v>
      </c>
      <c r="C6" s="77" t="s">
        <v>13</v>
      </c>
      <c r="D6" s="78">
        <v>45378</v>
      </c>
      <c r="E6" s="79"/>
      <c r="F6" s="74"/>
      <c r="G6" s="74"/>
      <c r="H6" s="74"/>
      <c r="I6" s="74"/>
      <c r="J6" s="74"/>
      <c r="K6" s="77" t="s">
        <v>15</v>
      </c>
      <c r="L6" s="210" t="s">
        <v>267</v>
      </c>
      <c r="M6" s="210"/>
      <c r="N6" s="210"/>
    </row>
    <row r="7" spans="1:16" s="1" customFormat="1" ht="15" x14ac:dyDescent="0.25">
      <c r="A7" s="197" t="s">
        <v>81</v>
      </c>
      <c r="B7" s="198" t="s">
        <v>254</v>
      </c>
      <c r="C7" s="199" t="s">
        <v>13</v>
      </c>
      <c r="D7" s="200">
        <v>45378</v>
      </c>
      <c r="E7" s="74" t="s">
        <v>270</v>
      </c>
      <c r="F7" s="74"/>
      <c r="G7" s="74"/>
      <c r="H7" s="74"/>
      <c r="I7" s="74"/>
      <c r="J7" s="74"/>
      <c r="K7" s="77" t="s">
        <v>16</v>
      </c>
      <c r="L7" s="210">
        <v>4805136</v>
      </c>
      <c r="M7" s="210"/>
      <c r="N7" s="210"/>
    </row>
    <row r="8" spans="1:16" s="1" customFormat="1" ht="15" x14ac:dyDescent="0.25">
      <c r="A8" s="197" t="s">
        <v>82</v>
      </c>
      <c r="B8" s="198" t="s">
        <v>254</v>
      </c>
      <c r="C8" s="199" t="s">
        <v>13</v>
      </c>
      <c r="D8" s="200">
        <v>45378</v>
      </c>
      <c r="E8" s="74" t="s">
        <v>270</v>
      </c>
      <c r="F8" s="79"/>
      <c r="G8" s="79"/>
      <c r="H8" s="79"/>
      <c r="I8" s="79"/>
      <c r="J8" s="79"/>
      <c r="K8" s="79"/>
      <c r="L8" s="79"/>
      <c r="M8" s="77"/>
      <c r="N8" s="80"/>
    </row>
    <row r="9" spans="1:16" s="1" customFormat="1" ht="15" x14ac:dyDescent="0.25">
      <c r="A9" s="75" t="s">
        <v>14</v>
      </c>
      <c r="B9" s="81" t="s">
        <v>104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6" s="1" customFormat="1" ht="15.75" thickBot="1" x14ac:dyDescent="0.3">
      <c r="A10" s="83"/>
      <c r="B10" s="84" t="s">
        <v>128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6" ht="29.25" x14ac:dyDescent="0.2">
      <c r="A11" s="60" t="s">
        <v>229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6" ht="15.75" thickBot="1" x14ac:dyDescent="0.25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</row>
    <row r="13" spans="1:16" ht="18.75" customHeight="1" x14ac:dyDescent="0.2">
      <c r="A13" s="212" t="s">
        <v>263</v>
      </c>
      <c r="B13" s="213"/>
      <c r="C13" s="213"/>
      <c r="D13" s="213"/>
      <c r="E13" s="213"/>
      <c r="F13" s="213"/>
      <c r="G13" s="213"/>
      <c r="H13" s="213"/>
      <c r="I13" s="213"/>
      <c r="J13" s="141"/>
      <c r="K13" s="142" t="s">
        <v>180</v>
      </c>
      <c r="L13" s="142" t="s">
        <v>189</v>
      </c>
      <c r="M13" s="142" t="s">
        <v>13</v>
      </c>
      <c r="N13" s="143">
        <v>45541</v>
      </c>
    </row>
    <row r="14" spans="1:16" ht="12.75" customHeight="1" x14ac:dyDescent="0.2">
      <c r="A14" s="214"/>
      <c r="B14" s="215"/>
      <c r="C14" s="215"/>
      <c r="D14" s="215"/>
      <c r="E14" s="215"/>
      <c r="F14" s="215"/>
      <c r="G14" s="215"/>
      <c r="H14" s="215"/>
      <c r="I14" s="215"/>
      <c r="J14" s="146"/>
      <c r="K14" s="147" t="s">
        <v>179</v>
      </c>
      <c r="L14" s="147" t="s">
        <v>254</v>
      </c>
      <c r="M14" s="147" t="s">
        <v>13</v>
      </c>
      <c r="N14" s="177">
        <v>45541</v>
      </c>
    </row>
    <row r="15" spans="1:16" ht="15" x14ac:dyDescent="0.2">
      <c r="A15" s="104" t="s">
        <v>0</v>
      </c>
      <c r="B15" s="86" t="s">
        <v>5</v>
      </c>
      <c r="C15" s="86" t="s">
        <v>4</v>
      </c>
      <c r="D15" s="86" t="s">
        <v>1</v>
      </c>
      <c r="E15" s="207" t="s">
        <v>2</v>
      </c>
      <c r="F15" s="208"/>
      <c r="G15" s="208"/>
      <c r="H15" s="208"/>
      <c r="I15" s="208"/>
      <c r="J15" s="144" t="s">
        <v>83</v>
      </c>
      <c r="K15" s="144" t="s">
        <v>84</v>
      </c>
      <c r="L15" s="144" t="s">
        <v>85</v>
      </c>
      <c r="M15" s="144" t="s">
        <v>86</v>
      </c>
      <c r="N15" s="145" t="s">
        <v>21</v>
      </c>
      <c r="P15" s="153" t="s">
        <v>208</v>
      </c>
    </row>
    <row r="16" spans="1:16" s="28" customFormat="1" x14ac:dyDescent="0.2">
      <c r="A16" s="47">
        <v>203</v>
      </c>
      <c r="B16" s="89">
        <v>2000</v>
      </c>
      <c r="C16" s="29">
        <f>SUM(J16:M16)</f>
        <v>117</v>
      </c>
      <c r="D16" s="91" t="s">
        <v>20</v>
      </c>
      <c r="E16" s="191" t="s">
        <v>123</v>
      </c>
      <c r="F16" s="192"/>
      <c r="G16" s="192"/>
      <c r="H16" s="192"/>
      <c r="I16" s="193"/>
      <c r="J16" s="194">
        <f>ROUND((C69+C74)/27,0)</f>
        <v>26</v>
      </c>
      <c r="K16" s="160">
        <f>ROUND((C76+C77)/27,0)</f>
        <v>91</v>
      </c>
      <c r="L16" s="160"/>
      <c r="M16" s="160"/>
      <c r="N16" s="161"/>
      <c r="P16" s="185"/>
    </row>
    <row r="17" spans="1:76" ht="15" x14ac:dyDescent="0.2">
      <c r="A17" s="104"/>
      <c r="B17" s="86"/>
      <c r="C17" s="86"/>
      <c r="D17" s="174"/>
      <c r="E17" s="174"/>
      <c r="F17" s="175"/>
      <c r="G17" s="175"/>
      <c r="H17" s="175"/>
      <c r="I17" s="175"/>
      <c r="J17" s="183"/>
      <c r="K17" s="183"/>
      <c r="L17" s="183"/>
      <c r="M17" s="183"/>
      <c r="N17" s="184"/>
      <c r="P17" s="153"/>
    </row>
    <row r="18" spans="1:76" s="9" customFormat="1" x14ac:dyDescent="0.2">
      <c r="A18" s="4">
        <v>503</v>
      </c>
      <c r="B18" s="87">
        <v>11100</v>
      </c>
      <c r="C18" s="29" t="s">
        <v>18</v>
      </c>
      <c r="D18" s="91"/>
      <c r="E18" s="132" t="s">
        <v>69</v>
      </c>
      <c r="F18" s="133"/>
      <c r="G18" s="133"/>
      <c r="H18" s="133"/>
      <c r="I18" s="133"/>
      <c r="J18" s="160" t="str">
        <f>IF('[1]Stage 3'!O18="","",'[1]Stage 3'!O18)</f>
        <v/>
      </c>
      <c r="K18" s="160" t="s">
        <v>18</v>
      </c>
      <c r="L18" s="160"/>
      <c r="M18" s="160"/>
      <c r="N18" s="161"/>
      <c r="O18" s="7"/>
      <c r="P18" s="154">
        <v>30000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</row>
    <row r="19" spans="1:76" s="7" customFormat="1" x14ac:dyDescent="0.2">
      <c r="A19" s="95">
        <v>503</v>
      </c>
      <c r="B19" s="88">
        <v>21300</v>
      </c>
      <c r="C19" s="29" t="s">
        <v>18</v>
      </c>
      <c r="D19" s="92"/>
      <c r="E19" s="135" t="s">
        <v>32</v>
      </c>
      <c r="F19" s="136"/>
      <c r="G19" s="136"/>
      <c r="H19" s="136"/>
      <c r="I19" s="136"/>
      <c r="J19" s="19" t="s">
        <v>18</v>
      </c>
      <c r="K19" s="19" t="s">
        <v>18</v>
      </c>
      <c r="L19" s="19"/>
      <c r="M19" s="19"/>
      <c r="N19" s="162"/>
      <c r="P19" s="185">
        <f>C85</f>
        <v>8000</v>
      </c>
    </row>
    <row r="20" spans="1:76" s="12" customFormat="1" hidden="1" x14ac:dyDescent="0.2">
      <c r="A20" s="105">
        <v>503</v>
      </c>
      <c r="B20" s="100">
        <v>21320</v>
      </c>
      <c r="C20" s="178" t="s">
        <v>18</v>
      </c>
      <c r="D20" s="101"/>
      <c r="E20" s="179" t="s">
        <v>234</v>
      </c>
      <c r="F20" s="180"/>
      <c r="G20" s="180"/>
      <c r="H20" s="180"/>
      <c r="I20" s="180"/>
      <c r="J20" s="181" t="s">
        <v>18</v>
      </c>
      <c r="K20" s="181" t="s">
        <v>18</v>
      </c>
      <c r="L20" s="181"/>
      <c r="M20" s="181"/>
      <c r="N20" s="182"/>
    </row>
    <row r="21" spans="1:76" s="9" customFormat="1" x14ac:dyDescent="0.2">
      <c r="A21" s="4"/>
      <c r="B21" s="87"/>
      <c r="C21" s="6"/>
      <c r="D21" s="91"/>
      <c r="E21" s="135"/>
      <c r="F21" s="136"/>
      <c r="G21" s="136"/>
      <c r="H21" s="136"/>
      <c r="I21" s="136"/>
      <c r="J21" s="19"/>
      <c r="K21" s="19"/>
      <c r="L21" s="19"/>
      <c r="M21" s="19"/>
      <c r="N21" s="162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1:76" s="24" customFormat="1" x14ac:dyDescent="0.2">
      <c r="A22" s="47">
        <v>509</v>
      </c>
      <c r="B22" s="89">
        <v>10000</v>
      </c>
      <c r="C22" s="127">
        <f>SUM(J22:M22)</f>
        <v>142262</v>
      </c>
      <c r="D22" s="91" t="s">
        <v>19</v>
      </c>
      <c r="E22" s="135" t="s">
        <v>268</v>
      </c>
      <c r="F22" s="137"/>
      <c r="G22" s="137"/>
      <c r="H22" s="137"/>
      <c r="I22" s="137"/>
      <c r="J22" s="155">
        <f>C130+C131</f>
        <v>42715</v>
      </c>
      <c r="K22" s="155">
        <f>C137+C138</f>
        <v>27047</v>
      </c>
      <c r="L22" s="155">
        <f>C133+C135+C140+C142</f>
        <v>72500</v>
      </c>
      <c r="M22" s="163"/>
      <c r="N22" s="164"/>
    </row>
    <row r="23" spans="1:76" s="24" customFormat="1" x14ac:dyDescent="0.2">
      <c r="A23" s="47">
        <v>509</v>
      </c>
      <c r="B23" s="89">
        <v>30020</v>
      </c>
      <c r="C23" s="127">
        <f>SUM(J23:M23)</f>
        <v>5319</v>
      </c>
      <c r="D23" s="91" t="s">
        <v>3</v>
      </c>
      <c r="E23" s="135" t="s">
        <v>265</v>
      </c>
      <c r="F23" s="137"/>
      <c r="G23" s="137"/>
      <c r="H23" s="137"/>
      <c r="I23" s="137"/>
      <c r="J23" s="155"/>
      <c r="K23" s="155"/>
      <c r="L23" s="155">
        <f>C141</f>
        <v>5319</v>
      </c>
      <c r="M23" s="163"/>
      <c r="N23" s="164"/>
    </row>
    <row r="24" spans="1:76" s="24" customFormat="1" x14ac:dyDescent="0.2">
      <c r="A24" s="47"/>
      <c r="B24" s="89"/>
      <c r="C24" s="29"/>
      <c r="D24" s="91"/>
      <c r="E24" s="132"/>
      <c r="F24" s="134"/>
      <c r="G24" s="134"/>
      <c r="H24" s="134"/>
      <c r="I24" s="134"/>
      <c r="J24" s="163"/>
      <c r="K24" s="163"/>
      <c r="L24" s="163"/>
      <c r="M24" s="163"/>
      <c r="N24" s="164"/>
    </row>
    <row r="25" spans="1:76" s="24" customFormat="1" x14ac:dyDescent="0.2">
      <c r="A25" s="57">
        <v>511</v>
      </c>
      <c r="B25" s="90">
        <v>32212</v>
      </c>
      <c r="C25" s="127">
        <f t="shared" ref="C25:C30" si="0">SUM(J25:M25)</f>
        <v>301</v>
      </c>
      <c r="D25" s="92" t="s">
        <v>20</v>
      </c>
      <c r="E25" s="132" t="s">
        <v>52</v>
      </c>
      <c r="F25" s="134"/>
      <c r="G25" s="134"/>
      <c r="H25" s="134"/>
      <c r="I25" s="134"/>
      <c r="J25" s="155"/>
      <c r="K25" s="155"/>
      <c r="L25" s="155">
        <f>C146</f>
        <v>301</v>
      </c>
      <c r="M25" s="155"/>
      <c r="N25" s="165"/>
    </row>
    <row r="26" spans="1:76" s="24" customFormat="1" x14ac:dyDescent="0.2">
      <c r="A26" s="57">
        <v>511</v>
      </c>
      <c r="B26" s="90">
        <v>33500</v>
      </c>
      <c r="C26" s="127">
        <f t="shared" si="0"/>
        <v>2</v>
      </c>
      <c r="D26" s="92" t="s">
        <v>182</v>
      </c>
      <c r="E26" s="132" t="s">
        <v>260</v>
      </c>
      <c r="F26" s="134"/>
      <c r="G26" s="134"/>
      <c r="H26" s="134"/>
      <c r="I26" s="176"/>
      <c r="J26" s="173">
        <v>2</v>
      </c>
      <c r="K26" s="163"/>
      <c r="L26" s="163"/>
      <c r="M26" s="163"/>
      <c r="N26" s="164"/>
    </row>
    <row r="27" spans="1:76" s="24" customFormat="1" x14ac:dyDescent="0.2">
      <c r="A27" s="57">
        <v>511</v>
      </c>
      <c r="B27" s="90">
        <v>34450</v>
      </c>
      <c r="C27" s="127">
        <f t="shared" si="0"/>
        <v>52</v>
      </c>
      <c r="D27" s="92" t="s">
        <v>20</v>
      </c>
      <c r="E27" s="132" t="s">
        <v>193</v>
      </c>
      <c r="F27" s="134"/>
      <c r="G27" s="134"/>
      <c r="H27" s="134"/>
      <c r="I27" s="134"/>
      <c r="J27" s="163"/>
      <c r="K27" s="163"/>
      <c r="L27" s="163">
        <f>C180</f>
        <v>52</v>
      </c>
      <c r="M27" s="163"/>
      <c r="N27" s="164"/>
    </row>
    <row r="28" spans="1:76" s="24" customFormat="1" x14ac:dyDescent="0.2">
      <c r="A28" s="57">
        <v>511</v>
      </c>
      <c r="B28" s="90">
        <v>40512</v>
      </c>
      <c r="C28" s="127">
        <f t="shared" si="0"/>
        <v>60</v>
      </c>
      <c r="D28" s="92" t="s">
        <v>20</v>
      </c>
      <c r="E28" s="132" t="s">
        <v>190</v>
      </c>
      <c r="F28" s="134"/>
      <c r="G28" s="134"/>
      <c r="H28" s="134"/>
      <c r="I28" s="134"/>
      <c r="J28" s="163"/>
      <c r="K28" s="163">
        <f>C191</f>
        <v>60</v>
      </c>
      <c r="L28" s="163"/>
      <c r="M28" s="163"/>
      <c r="N28" s="164"/>
    </row>
    <row r="29" spans="1:76" s="24" customFormat="1" x14ac:dyDescent="0.2">
      <c r="A29" s="57">
        <v>511</v>
      </c>
      <c r="B29" s="90">
        <v>43513</v>
      </c>
      <c r="C29" s="127">
        <f t="shared" si="0"/>
        <v>153</v>
      </c>
      <c r="D29" s="92" t="s">
        <v>20</v>
      </c>
      <c r="E29" s="132" t="s">
        <v>191</v>
      </c>
      <c r="F29" s="134"/>
      <c r="G29" s="134"/>
      <c r="H29" s="134"/>
      <c r="I29" s="134"/>
      <c r="J29" s="163">
        <f>C209</f>
        <v>153</v>
      </c>
      <c r="K29" s="163"/>
      <c r="L29" s="163"/>
      <c r="M29" s="163"/>
      <c r="N29" s="201" t="s">
        <v>264</v>
      </c>
    </row>
    <row r="30" spans="1:76" s="24" customFormat="1" x14ac:dyDescent="0.2">
      <c r="A30" s="57">
        <v>511</v>
      </c>
      <c r="B30" s="90">
        <v>46512</v>
      </c>
      <c r="C30" s="127">
        <f t="shared" si="0"/>
        <v>26</v>
      </c>
      <c r="D30" s="92" t="s">
        <v>20</v>
      </c>
      <c r="E30" s="132" t="s">
        <v>192</v>
      </c>
      <c r="F30" s="134"/>
      <c r="G30" s="134"/>
      <c r="H30" s="134"/>
      <c r="I30" s="134"/>
      <c r="J30" s="163"/>
      <c r="K30" s="163">
        <f>C289</f>
        <v>26</v>
      </c>
      <c r="L30" s="163"/>
      <c r="M30" s="163"/>
      <c r="N30" s="164"/>
    </row>
    <row r="31" spans="1:76" s="24" customFormat="1" x14ac:dyDescent="0.2">
      <c r="A31" s="57"/>
      <c r="B31" s="90"/>
      <c r="C31" s="58"/>
      <c r="D31" s="92"/>
      <c r="E31" s="132"/>
      <c r="F31" s="134"/>
      <c r="G31" s="134"/>
      <c r="H31" s="134"/>
      <c r="I31" s="134"/>
      <c r="J31" s="163"/>
      <c r="K31" s="163"/>
      <c r="L31" s="163"/>
      <c r="M31" s="163"/>
      <c r="N31" s="164"/>
    </row>
    <row r="32" spans="1:76" s="7" customFormat="1" x14ac:dyDescent="0.2">
      <c r="A32" s="95">
        <v>512</v>
      </c>
      <c r="B32" s="88">
        <v>10100</v>
      </c>
      <c r="C32" s="127">
        <f>SUM(J32:M32)</f>
        <v>441</v>
      </c>
      <c r="D32" s="93" t="s">
        <v>17</v>
      </c>
      <c r="E32" s="135" t="s">
        <v>194</v>
      </c>
      <c r="F32" s="136"/>
      <c r="G32" s="136"/>
      <c r="H32" s="136"/>
      <c r="I32" s="136"/>
      <c r="J32" s="163"/>
      <c r="K32" s="163"/>
      <c r="L32" s="163">
        <f>C316</f>
        <v>441</v>
      </c>
      <c r="M32" s="163"/>
      <c r="N32" s="164"/>
    </row>
    <row r="33" spans="1:76" s="9" customFormat="1" x14ac:dyDescent="0.2">
      <c r="A33" s="4"/>
      <c r="B33" s="87"/>
      <c r="C33" s="6"/>
      <c r="D33" s="5"/>
      <c r="E33" s="138"/>
      <c r="F33" s="133"/>
      <c r="G33" s="133"/>
      <c r="H33" s="133"/>
      <c r="I33" s="133"/>
      <c r="J33" s="163"/>
      <c r="K33" s="163"/>
      <c r="L33" s="163"/>
      <c r="M33" s="163"/>
      <c r="N33" s="16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</row>
    <row r="34" spans="1:76" s="9" customFormat="1" x14ac:dyDescent="0.2">
      <c r="A34" s="10">
        <v>516</v>
      </c>
      <c r="B34" s="8">
        <v>10010</v>
      </c>
      <c r="C34" s="127">
        <f t="shared" ref="C34:C39" si="1">SUM(J34:M34)</f>
        <v>50</v>
      </c>
      <c r="D34" s="19" t="s">
        <v>3</v>
      </c>
      <c r="E34" s="132" t="s">
        <v>101</v>
      </c>
      <c r="F34" s="133"/>
      <c r="G34" s="133"/>
      <c r="H34" s="133"/>
      <c r="I34" s="133"/>
      <c r="J34" s="163"/>
      <c r="K34" s="163"/>
      <c r="L34" s="163"/>
      <c r="M34" s="163">
        <f>C379</f>
        <v>50</v>
      </c>
      <c r="N34" s="164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</row>
    <row r="35" spans="1:76" s="9" customFormat="1" x14ac:dyDescent="0.2">
      <c r="A35" s="4">
        <v>516</v>
      </c>
      <c r="B35" s="87">
        <v>13200</v>
      </c>
      <c r="C35" s="127">
        <f t="shared" si="1"/>
        <v>58</v>
      </c>
      <c r="D35" s="91" t="s">
        <v>34</v>
      </c>
      <c r="E35" s="132" t="s">
        <v>53</v>
      </c>
      <c r="F35" s="133"/>
      <c r="G35" s="133"/>
      <c r="H35" s="133"/>
      <c r="I35" s="133"/>
      <c r="J35" s="163">
        <f>C386</f>
        <v>58</v>
      </c>
      <c r="K35" s="163"/>
      <c r="L35" s="163"/>
      <c r="M35" s="163"/>
      <c r="N35" s="164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</row>
    <row r="36" spans="1:76" s="7" customFormat="1" x14ac:dyDescent="0.2">
      <c r="A36" s="95">
        <v>516</v>
      </c>
      <c r="B36" s="88">
        <v>13600</v>
      </c>
      <c r="C36" s="127">
        <f t="shared" si="1"/>
        <v>74</v>
      </c>
      <c r="D36" s="92" t="s">
        <v>34</v>
      </c>
      <c r="E36" s="132" t="s">
        <v>35</v>
      </c>
      <c r="F36" s="133"/>
      <c r="G36" s="133"/>
      <c r="H36" s="133"/>
      <c r="I36" s="133"/>
      <c r="J36" s="163"/>
      <c r="K36" s="163"/>
      <c r="L36" s="163">
        <f>C395</f>
        <v>74</v>
      </c>
      <c r="M36" s="163"/>
      <c r="N36" s="164"/>
    </row>
    <row r="37" spans="1:76" s="7" customFormat="1" x14ac:dyDescent="0.2">
      <c r="A37" s="95">
        <v>516</v>
      </c>
      <c r="B37" s="88">
        <v>13900</v>
      </c>
      <c r="C37" s="127">
        <f t="shared" si="1"/>
        <v>57</v>
      </c>
      <c r="D37" s="92" t="s">
        <v>34</v>
      </c>
      <c r="E37" s="132" t="s">
        <v>90</v>
      </c>
      <c r="F37" s="133"/>
      <c r="G37" s="133"/>
      <c r="H37" s="133"/>
      <c r="I37" s="133"/>
      <c r="J37" s="163">
        <f>C408</f>
        <v>57</v>
      </c>
      <c r="K37" s="163"/>
      <c r="L37" s="163"/>
      <c r="M37" s="163"/>
      <c r="N37" s="164"/>
    </row>
    <row r="38" spans="1:76" s="9" customFormat="1" x14ac:dyDescent="0.2">
      <c r="A38" s="4">
        <v>516</v>
      </c>
      <c r="B38" s="89">
        <v>25000</v>
      </c>
      <c r="C38" s="127">
        <f t="shared" si="1"/>
        <v>229</v>
      </c>
      <c r="D38" s="91" t="s">
        <v>34</v>
      </c>
      <c r="E38" s="132" t="s">
        <v>66</v>
      </c>
      <c r="F38" s="133"/>
      <c r="G38" s="133"/>
      <c r="H38" s="133"/>
      <c r="I38" s="133"/>
      <c r="J38" s="163">
        <f>C427</f>
        <v>229</v>
      </c>
      <c r="K38" s="163"/>
      <c r="L38" s="163"/>
      <c r="M38" s="163"/>
      <c r="N38" s="164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</row>
    <row r="39" spans="1:76" s="9" customFormat="1" x14ac:dyDescent="0.2">
      <c r="A39" s="47">
        <v>516</v>
      </c>
      <c r="B39" s="89">
        <v>42600</v>
      </c>
      <c r="C39" s="127">
        <f t="shared" si="1"/>
        <v>58</v>
      </c>
      <c r="D39" s="91" t="s">
        <v>3</v>
      </c>
      <c r="E39" s="94" t="s">
        <v>257</v>
      </c>
      <c r="F39" s="133"/>
      <c r="G39" s="133"/>
      <c r="H39" s="133"/>
      <c r="I39" s="133"/>
      <c r="J39" s="163">
        <f>C454</f>
        <v>58</v>
      </c>
      <c r="K39" s="163"/>
      <c r="L39" s="163"/>
      <c r="M39" s="163"/>
      <c r="N39" s="201" t="s">
        <v>264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</row>
    <row r="40" spans="1:76" s="9" customFormat="1" x14ac:dyDescent="0.2">
      <c r="A40" s="4"/>
      <c r="B40" s="87"/>
      <c r="C40" s="6"/>
      <c r="D40" s="91"/>
      <c r="E40" s="132"/>
      <c r="F40" s="133"/>
      <c r="G40" s="133"/>
      <c r="H40" s="133"/>
      <c r="I40" s="133"/>
      <c r="J40" s="155"/>
      <c r="K40" s="155"/>
      <c r="L40" s="155"/>
      <c r="M40" s="155"/>
      <c r="N40" s="165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</row>
    <row r="41" spans="1:76" s="9" customFormat="1" x14ac:dyDescent="0.2">
      <c r="A41" s="4">
        <v>518</v>
      </c>
      <c r="B41" s="87">
        <v>12000</v>
      </c>
      <c r="C41" s="127">
        <f>SUM(J41:M41)</f>
        <v>1</v>
      </c>
      <c r="D41" s="91" t="s">
        <v>182</v>
      </c>
      <c r="E41" s="132" t="s">
        <v>261</v>
      </c>
      <c r="F41" s="133"/>
      <c r="G41" s="133"/>
      <c r="H41" s="133"/>
      <c r="I41" s="133"/>
      <c r="J41" s="155"/>
      <c r="K41" s="155"/>
      <c r="L41" s="155">
        <v>1</v>
      </c>
      <c r="M41" s="155"/>
      <c r="N41" s="165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</row>
    <row r="42" spans="1:76" s="7" customFormat="1" x14ac:dyDescent="0.2">
      <c r="A42" s="95">
        <v>518</v>
      </c>
      <c r="B42" s="88">
        <v>21200</v>
      </c>
      <c r="C42" s="127">
        <f>SUM(J42:M42)</f>
        <v>76</v>
      </c>
      <c r="D42" s="92" t="s">
        <v>20</v>
      </c>
      <c r="E42" s="132" t="s">
        <v>29</v>
      </c>
      <c r="F42" s="133"/>
      <c r="G42" s="133"/>
      <c r="H42" s="133"/>
      <c r="I42" s="133"/>
      <c r="J42" s="155">
        <f>C461</f>
        <v>76</v>
      </c>
      <c r="K42" s="155"/>
      <c r="L42" s="155" t="str">
        <f>IF('[1]Stage 3'!Q40="","",'[1]Stage 3'!Q40)</f>
        <v/>
      </c>
      <c r="M42" s="155"/>
      <c r="N42" s="165"/>
    </row>
    <row r="43" spans="1:76" s="7" customFormat="1" x14ac:dyDescent="0.2">
      <c r="A43" s="95">
        <v>518</v>
      </c>
      <c r="B43" s="88">
        <v>40000</v>
      </c>
      <c r="C43" s="127">
        <f>SUM(J43:M43)</f>
        <v>88</v>
      </c>
      <c r="D43" s="92" t="s">
        <v>3</v>
      </c>
      <c r="E43" s="132" t="s">
        <v>38</v>
      </c>
      <c r="F43" s="133"/>
      <c r="G43" s="133"/>
      <c r="H43" s="133"/>
      <c r="I43" s="133"/>
      <c r="J43" s="155">
        <f>C477</f>
        <v>88</v>
      </c>
      <c r="K43" s="155"/>
      <c r="L43" s="155" t="str">
        <f>IF('[1]Stage 3'!Q41="","",'[1]Stage 3'!Q41)</f>
        <v/>
      </c>
      <c r="M43" s="155"/>
      <c r="N43" s="165"/>
    </row>
    <row r="44" spans="1:76" s="7" customFormat="1" x14ac:dyDescent="0.2">
      <c r="A44" s="95">
        <v>518</v>
      </c>
      <c r="B44" s="88">
        <v>40010</v>
      </c>
      <c r="C44" s="127">
        <f>SUM(J44:M44)</f>
        <v>16</v>
      </c>
      <c r="D44" s="92" t="s">
        <v>3</v>
      </c>
      <c r="E44" s="132" t="s">
        <v>54</v>
      </c>
      <c r="F44" s="133"/>
      <c r="G44" s="133"/>
      <c r="H44" s="133"/>
      <c r="I44" s="133"/>
      <c r="J44" s="155">
        <f>C483</f>
        <v>16</v>
      </c>
      <c r="K44" s="155"/>
      <c r="L44" s="155" t="str">
        <f>IF('[1]Stage 3'!Q42="","",'[1]Stage 3'!Q42)</f>
        <v/>
      </c>
      <c r="M44" s="155"/>
      <c r="N44" s="165"/>
    </row>
    <row r="45" spans="1:76" s="7" customFormat="1" x14ac:dyDescent="0.2">
      <c r="A45" s="95"/>
      <c r="B45" s="88"/>
      <c r="C45" s="56"/>
      <c r="D45" s="92"/>
      <c r="E45" s="132"/>
      <c r="F45" s="133"/>
      <c r="G45" s="133"/>
      <c r="H45" s="133"/>
      <c r="I45" s="133"/>
      <c r="J45" s="155"/>
      <c r="K45" s="155"/>
      <c r="L45" s="155" t="str">
        <f>IF('[1]Stage 3'!Q43="","",'[1]Stage 3'!Q43)</f>
        <v/>
      </c>
      <c r="M45" s="155"/>
      <c r="N45" s="165"/>
    </row>
    <row r="46" spans="1:76" s="7" customFormat="1" ht="12.75" customHeight="1" x14ac:dyDescent="0.2">
      <c r="A46" s="95">
        <v>524</v>
      </c>
      <c r="B46" s="88">
        <v>94704</v>
      </c>
      <c r="C46" s="127">
        <f>SUM(J46:M46)</f>
        <v>209</v>
      </c>
      <c r="D46" s="92" t="s">
        <v>3</v>
      </c>
      <c r="E46" s="132" t="s">
        <v>196</v>
      </c>
      <c r="F46" s="133"/>
      <c r="G46" s="133"/>
      <c r="H46" s="133"/>
      <c r="I46" s="133"/>
      <c r="J46" s="155">
        <f>ROUND(C523*C524+C526*C527,0)</f>
        <v>133</v>
      </c>
      <c r="K46" s="155">
        <f>ROUND(C529*C530+C532*C533,0)</f>
        <v>76</v>
      </c>
      <c r="L46" s="155" t="str">
        <f>IF('[1]Stage 3'!Q44="","",'[1]Stage 3'!Q44)</f>
        <v/>
      </c>
      <c r="M46" s="155"/>
      <c r="N46" s="165"/>
    </row>
    <row r="47" spans="1:76" s="7" customFormat="1" x14ac:dyDescent="0.2">
      <c r="A47" s="95">
        <v>524</v>
      </c>
      <c r="B47" s="90">
        <v>94802</v>
      </c>
      <c r="C47" s="127">
        <f>SUM(J47:M47)</f>
        <v>64.200000000000145</v>
      </c>
      <c r="D47" s="92" t="s">
        <v>3</v>
      </c>
      <c r="E47" s="132" t="s">
        <v>195</v>
      </c>
      <c r="F47" s="133"/>
      <c r="G47" s="133"/>
      <c r="H47" s="133"/>
      <c r="I47" s="133"/>
      <c r="J47" s="155">
        <f>C496+C503</f>
        <v>51.000000000000227</v>
      </c>
      <c r="K47" s="155">
        <f>C510+C517</f>
        <v>13.199999999999916</v>
      </c>
      <c r="L47" s="155" t="str">
        <f>IF('[1]Stage 3'!Q45="","",'[1]Stage 3'!Q45)</f>
        <v/>
      </c>
      <c r="M47" s="155"/>
      <c r="N47" s="165"/>
    </row>
    <row r="48" spans="1:76" s="7" customFormat="1" hidden="1" x14ac:dyDescent="0.2">
      <c r="A48" s="95">
        <v>524</v>
      </c>
      <c r="B48" s="88">
        <v>95000</v>
      </c>
      <c r="C48" s="127">
        <f>SUM(J48:M48)</f>
        <v>10</v>
      </c>
      <c r="D48" s="92" t="s">
        <v>3</v>
      </c>
      <c r="E48" s="132" t="s">
        <v>178</v>
      </c>
      <c r="F48" s="133"/>
      <c r="G48" s="133"/>
      <c r="H48" s="133"/>
      <c r="I48" s="133"/>
      <c r="J48" s="155">
        <f>ROUND(C538,0)</f>
        <v>6</v>
      </c>
      <c r="K48" s="155">
        <f>ROUND(C539,0)</f>
        <v>4</v>
      </c>
      <c r="L48" s="155" t="str">
        <f>IF('[1]Stage 3'!Q46="","",'[1]Stage 3'!Q46)</f>
        <v/>
      </c>
      <c r="M48" s="155"/>
      <c r="N48" s="165"/>
    </row>
    <row r="49" spans="1:76" s="7" customFormat="1" x14ac:dyDescent="0.2">
      <c r="A49" s="95"/>
      <c r="B49" s="88"/>
      <c r="C49" s="56"/>
      <c r="D49" s="92"/>
      <c r="E49" s="132"/>
      <c r="F49" s="133"/>
      <c r="G49" s="133"/>
      <c r="H49" s="133"/>
      <c r="I49" s="133"/>
      <c r="J49" s="155"/>
      <c r="K49" s="155"/>
      <c r="L49" s="155" t="str">
        <f>IF('[1]Stage 3'!Q47="","",'[1]Stage 3'!Q47)</f>
        <v/>
      </c>
      <c r="M49" s="155"/>
      <c r="N49" s="165"/>
    </row>
    <row r="50" spans="1:76" s="9" customFormat="1" x14ac:dyDescent="0.2">
      <c r="A50" s="4">
        <v>526</v>
      </c>
      <c r="B50" s="87">
        <v>25011</v>
      </c>
      <c r="C50" s="127">
        <f>SUM(J50:M50)</f>
        <v>155</v>
      </c>
      <c r="D50" s="91" t="s">
        <v>17</v>
      </c>
      <c r="E50" s="132" t="s">
        <v>55</v>
      </c>
      <c r="F50" s="133"/>
      <c r="G50" s="133"/>
      <c r="H50" s="133"/>
      <c r="I50" s="133"/>
      <c r="J50" s="163"/>
      <c r="K50" s="163"/>
      <c r="L50" s="163" t="str">
        <f>IF('[1]Stage 3'!Q48="","",'[1]Stage 3'!Q48)</f>
        <v/>
      </c>
      <c r="M50" s="163">
        <f>C543</f>
        <v>155</v>
      </c>
      <c r="N50" s="201" t="s">
        <v>262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</row>
    <row r="51" spans="1:76" s="28" customFormat="1" x14ac:dyDescent="0.2">
      <c r="A51" s="47">
        <v>526</v>
      </c>
      <c r="B51" s="89">
        <v>90030</v>
      </c>
      <c r="C51" s="127">
        <f>SUM(J51:M51)</f>
        <v>50</v>
      </c>
      <c r="D51" s="91" t="s">
        <v>3</v>
      </c>
      <c r="E51" s="132" t="s">
        <v>103</v>
      </c>
      <c r="F51" s="134"/>
      <c r="G51" s="134"/>
      <c r="H51" s="134"/>
      <c r="I51" s="134"/>
      <c r="J51" s="163"/>
      <c r="K51" s="163"/>
      <c r="L51" s="163" t="str">
        <f>IF('[1]Stage 3'!Q49="","",'[1]Stage 3'!Q49)</f>
        <v/>
      </c>
      <c r="M51" s="163">
        <f>C549</f>
        <v>50</v>
      </c>
      <c r="N51" s="16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</row>
    <row r="52" spans="1:76" s="7" customFormat="1" x14ac:dyDescent="0.2">
      <c r="A52" s="4"/>
      <c r="B52" s="87"/>
      <c r="C52" s="6"/>
      <c r="D52" s="5"/>
      <c r="E52" s="138"/>
      <c r="F52" s="133"/>
      <c r="G52" s="133"/>
      <c r="H52" s="133"/>
      <c r="I52" s="133"/>
      <c r="J52" s="163"/>
      <c r="K52" s="163"/>
      <c r="L52" s="163" t="str">
        <f>IF('[1]Stage 3'!Q50="","",'[1]Stage 3'!Q50)</f>
        <v/>
      </c>
      <c r="M52" s="163"/>
      <c r="N52" s="164"/>
    </row>
    <row r="53" spans="1:76" s="24" customFormat="1" x14ac:dyDescent="0.2">
      <c r="A53" s="47">
        <v>601</v>
      </c>
      <c r="B53" s="89">
        <v>21050</v>
      </c>
      <c r="C53" s="127">
        <f>SUM(J53:M53)</f>
        <v>4</v>
      </c>
      <c r="D53" s="91" t="s">
        <v>17</v>
      </c>
      <c r="E53" s="94" t="s">
        <v>247</v>
      </c>
      <c r="F53" s="98"/>
      <c r="G53" s="98"/>
      <c r="H53" s="98"/>
      <c r="I53" s="99"/>
      <c r="J53" s="173">
        <f>C556</f>
        <v>4</v>
      </c>
      <c r="K53" s="163"/>
      <c r="L53" s="163"/>
      <c r="M53" s="163"/>
      <c r="N53" s="164"/>
    </row>
    <row r="54" spans="1:76" s="7" customFormat="1" ht="12.75" customHeight="1" x14ac:dyDescent="0.2">
      <c r="A54" s="4">
        <v>601</v>
      </c>
      <c r="B54" s="87">
        <v>20000</v>
      </c>
      <c r="C54" s="127">
        <f>SUM(J54:M54)</f>
        <v>73</v>
      </c>
      <c r="D54" s="91" t="s">
        <v>17</v>
      </c>
      <c r="E54" s="132" t="s">
        <v>181</v>
      </c>
      <c r="F54" s="133"/>
      <c r="G54" s="133"/>
      <c r="H54" s="133"/>
      <c r="I54" s="133"/>
      <c r="J54" s="163">
        <f>C565</f>
        <v>73</v>
      </c>
      <c r="K54" s="163"/>
      <c r="L54" s="163" t="str">
        <f>IF('[1]Stage 3'!Q52="","",'[1]Stage 3'!Q52)</f>
        <v/>
      </c>
      <c r="M54" s="163"/>
      <c r="N54" s="164"/>
    </row>
    <row r="55" spans="1:76" s="24" customFormat="1" x14ac:dyDescent="0.2">
      <c r="A55" s="125">
        <v>601</v>
      </c>
      <c r="B55" s="126">
        <v>32200</v>
      </c>
      <c r="C55" s="127">
        <f>SUM(J55:M55)</f>
        <v>86</v>
      </c>
      <c r="D55" s="124" t="s">
        <v>20</v>
      </c>
      <c r="E55" s="132" t="s">
        <v>188</v>
      </c>
      <c r="F55" s="134"/>
      <c r="G55" s="134"/>
      <c r="H55" s="134"/>
      <c r="I55" s="134"/>
      <c r="J55" s="155">
        <f>C572</f>
        <v>86</v>
      </c>
      <c r="K55" s="166"/>
      <c r="L55" s="166"/>
      <c r="M55" s="166"/>
      <c r="N55" s="167"/>
    </row>
    <row r="56" spans="1:76" s="7" customFormat="1" x14ac:dyDescent="0.2">
      <c r="A56" s="125"/>
      <c r="B56" s="126"/>
      <c r="C56" s="127"/>
      <c r="D56" s="124"/>
      <c r="E56" s="132"/>
      <c r="F56" s="134"/>
      <c r="G56" s="134"/>
      <c r="H56" s="134"/>
      <c r="I56" s="134"/>
      <c r="J56" s="166"/>
      <c r="K56" s="166"/>
      <c r="L56" s="166"/>
      <c r="M56" s="166"/>
      <c r="N56" s="167"/>
    </row>
    <row r="57" spans="1:76" s="7" customFormat="1" x14ac:dyDescent="0.2">
      <c r="A57" s="125">
        <v>611</v>
      </c>
      <c r="B57" s="126">
        <v>99710</v>
      </c>
      <c r="C57" s="127">
        <f>SUM(J57:M57)</f>
        <v>2</v>
      </c>
      <c r="D57" s="124" t="s">
        <v>182</v>
      </c>
      <c r="E57" s="132" t="s">
        <v>235</v>
      </c>
      <c r="F57" s="134"/>
      <c r="G57" s="134"/>
      <c r="H57" s="134"/>
      <c r="I57" s="134"/>
      <c r="J57" s="155">
        <v>2</v>
      </c>
      <c r="K57" s="166"/>
      <c r="L57" s="166"/>
      <c r="M57" s="166"/>
      <c r="N57" s="167"/>
    </row>
    <row r="58" spans="1:76" s="7" customFormat="1" x14ac:dyDescent="0.2">
      <c r="A58" s="125"/>
      <c r="B58" s="126"/>
      <c r="C58" s="127"/>
      <c r="D58" s="124"/>
      <c r="E58" s="132"/>
      <c r="F58" s="134"/>
      <c r="G58" s="134"/>
      <c r="H58" s="134"/>
      <c r="I58" s="134"/>
      <c r="J58" s="166"/>
      <c r="K58" s="166"/>
      <c r="L58" s="166"/>
      <c r="M58" s="166"/>
      <c r="N58" s="167"/>
    </row>
    <row r="59" spans="1:76" s="24" customFormat="1" x14ac:dyDescent="0.2">
      <c r="A59" s="125">
        <v>625</v>
      </c>
      <c r="B59" s="126">
        <v>33000</v>
      </c>
      <c r="C59" s="127">
        <f>SUM(J59:M59)</f>
        <v>1</v>
      </c>
      <c r="D59" s="124" t="s">
        <v>182</v>
      </c>
      <c r="E59" s="132" t="s">
        <v>223</v>
      </c>
      <c r="F59" s="134"/>
      <c r="G59" s="134"/>
      <c r="H59" s="134"/>
      <c r="I59" s="134"/>
      <c r="J59" s="166"/>
      <c r="K59" s="166"/>
      <c r="L59" s="155">
        <v>1</v>
      </c>
      <c r="M59" s="155"/>
      <c r="N59" s="167"/>
    </row>
    <row r="60" spans="1:76" s="24" customFormat="1" x14ac:dyDescent="0.2">
      <c r="A60" s="125"/>
      <c r="B60" s="126"/>
      <c r="C60" s="127"/>
      <c r="D60" s="124"/>
      <c r="E60" s="94"/>
      <c r="F60" s="98"/>
      <c r="G60" s="98"/>
      <c r="H60" s="98"/>
      <c r="I60" s="98"/>
      <c r="J60" s="163"/>
      <c r="K60" s="163"/>
      <c r="L60" s="163" t="str">
        <f>IF('Stage 3'!Q60="","",'Stage 3'!Q60)</f>
        <v/>
      </c>
      <c r="M60" s="163"/>
      <c r="N60" s="164"/>
    </row>
    <row r="61" spans="1:76" s="7" customFormat="1" x14ac:dyDescent="0.2">
      <c r="A61" s="125">
        <v>894</v>
      </c>
      <c r="B61" s="126">
        <v>10000</v>
      </c>
      <c r="C61" s="127">
        <f>SUM(J61:M61)</f>
        <v>4</v>
      </c>
      <c r="D61" s="124" t="s">
        <v>182</v>
      </c>
      <c r="E61" s="132" t="s">
        <v>183</v>
      </c>
      <c r="F61" s="134"/>
      <c r="G61" s="134"/>
      <c r="H61" s="134"/>
      <c r="I61" s="134"/>
      <c r="J61" s="155">
        <f>C582+C583</f>
        <v>2</v>
      </c>
      <c r="K61" s="155">
        <f>C584+C585</f>
        <v>2</v>
      </c>
      <c r="L61" s="155" t="str">
        <f>IF('[1]Stage 3'!Q59="","",'[1]Stage 3'!Q59)</f>
        <v/>
      </c>
      <c r="M61" s="155"/>
      <c r="N61" s="165"/>
    </row>
    <row r="62" spans="1:76" s="7" customFormat="1" ht="13.5" thickBot="1" x14ac:dyDescent="0.25">
      <c r="A62" s="128"/>
      <c r="B62" s="129"/>
      <c r="C62" s="130"/>
      <c r="D62" s="131"/>
      <c r="E62" s="139"/>
      <c r="F62" s="140"/>
      <c r="G62" s="140"/>
      <c r="H62" s="140"/>
      <c r="I62" s="140"/>
      <c r="J62" s="168"/>
      <c r="K62" s="168"/>
      <c r="L62" s="168"/>
      <c r="M62" s="168"/>
      <c r="N62" s="169"/>
    </row>
    <row r="63" spans="1:76" s="7" customForma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11"/>
    </row>
    <row r="64" spans="1:76" s="12" customFormat="1" x14ac:dyDescent="0.2">
      <c r="A64" s="106"/>
      <c r="B64" s="106"/>
      <c r="C64" s="61"/>
      <c r="D64" s="20"/>
      <c r="E64" s="112"/>
      <c r="F64" s="20"/>
      <c r="G64" s="20"/>
      <c r="H64" s="20"/>
      <c r="I64" s="20"/>
      <c r="J64" s="20"/>
      <c r="K64" s="20"/>
      <c r="L64" s="20"/>
      <c r="M64" s="20"/>
      <c r="N64" s="20"/>
    </row>
    <row r="65" spans="1:14" s="119" customFormat="1" x14ac:dyDescent="0.2">
      <c r="A65" s="30">
        <f>A16</f>
        <v>203</v>
      </c>
      <c r="B65" s="39">
        <f>B16</f>
        <v>2000</v>
      </c>
      <c r="C65" s="118">
        <f>C80</f>
        <v>117.23765432098764</v>
      </c>
      <c r="D65" s="30" t="str">
        <f t="shared" ref="D65:E65" si="2">D16</f>
        <v>CY</v>
      </c>
      <c r="E65" s="32" t="str">
        <f t="shared" si="2"/>
        <v>EMBANKMENT</v>
      </c>
      <c r="F65" s="30"/>
      <c r="G65" s="30"/>
      <c r="H65" s="30"/>
      <c r="I65" s="30"/>
      <c r="J65" s="30"/>
      <c r="K65" s="30"/>
      <c r="L65" s="30"/>
      <c r="M65" s="30"/>
      <c r="N65" s="30"/>
    </row>
    <row r="66" spans="1:14" s="111" customFormat="1" x14ac:dyDescent="0.2">
      <c r="A66" s="110" t="s">
        <v>36</v>
      </c>
      <c r="B66" s="108"/>
      <c r="C66" s="109">
        <f>C90</f>
        <v>5</v>
      </c>
      <c r="D66" s="107" t="s">
        <v>7</v>
      </c>
      <c r="E66" s="110" t="s">
        <v>124</v>
      </c>
      <c r="F66" s="107"/>
      <c r="G66" s="107"/>
      <c r="H66" s="107"/>
      <c r="I66" s="107"/>
      <c r="J66" s="107"/>
      <c r="K66" s="107"/>
      <c r="L66" s="107"/>
      <c r="M66" s="107"/>
      <c r="N66" s="107"/>
    </row>
    <row r="67" spans="1:14" s="24" customFormat="1" x14ac:dyDescent="0.2">
      <c r="A67" s="17"/>
      <c r="B67" s="35"/>
      <c r="C67" s="25">
        <f>C210</f>
        <v>34.166666666666664</v>
      </c>
      <c r="D67" s="20" t="s">
        <v>7</v>
      </c>
      <c r="E67" s="17" t="s">
        <v>238</v>
      </c>
      <c r="F67" s="20"/>
      <c r="G67" s="20"/>
      <c r="H67" s="206" t="s">
        <v>236</v>
      </c>
      <c r="I67" s="206"/>
      <c r="J67" s="206"/>
      <c r="K67" s="206"/>
      <c r="L67" s="206"/>
      <c r="M67" s="206"/>
      <c r="N67" s="206"/>
    </row>
    <row r="68" spans="1:14" s="24" customFormat="1" x14ac:dyDescent="0.2">
      <c r="B68" s="35"/>
      <c r="C68" s="25">
        <f>C66</f>
        <v>5</v>
      </c>
      <c r="D68" s="20" t="s">
        <v>7</v>
      </c>
      <c r="E68" s="17" t="s">
        <v>239</v>
      </c>
      <c r="F68" s="20"/>
      <c r="G68" s="20"/>
      <c r="H68" s="206"/>
      <c r="I68" s="206"/>
      <c r="J68" s="206"/>
      <c r="K68" s="206"/>
      <c r="L68" s="206"/>
      <c r="M68" s="206"/>
      <c r="N68" s="206"/>
    </row>
    <row r="69" spans="1:14" s="24" customFormat="1" x14ac:dyDescent="0.2">
      <c r="A69" s="20"/>
      <c r="B69" s="35"/>
      <c r="C69" s="25">
        <f>0.5*C66*C67*C68</f>
        <v>427.08333333333326</v>
      </c>
      <c r="D69" s="20" t="s">
        <v>126</v>
      </c>
      <c r="E69" s="17" t="s">
        <v>125</v>
      </c>
      <c r="F69" s="20"/>
      <c r="G69" s="20"/>
      <c r="H69" s="20"/>
      <c r="I69" s="20"/>
      <c r="J69" s="20"/>
      <c r="K69" s="20"/>
      <c r="L69" s="20"/>
      <c r="M69" s="20"/>
      <c r="N69" s="20"/>
    </row>
    <row r="70" spans="1:14" s="24" customFormat="1" x14ac:dyDescent="0.2">
      <c r="A70" s="20"/>
      <c r="B70" s="35"/>
      <c r="C70" s="25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s="24" customFormat="1" x14ac:dyDescent="0.2">
      <c r="A71" s="17" t="s">
        <v>37</v>
      </c>
      <c r="B71" s="35"/>
      <c r="C71" s="25">
        <f>C95-C96</f>
        <v>4</v>
      </c>
      <c r="D71" s="20" t="s">
        <v>7</v>
      </c>
      <c r="E71" s="17" t="s">
        <v>124</v>
      </c>
      <c r="F71" s="20"/>
      <c r="G71" s="20"/>
      <c r="H71" s="20"/>
      <c r="I71" s="20"/>
      <c r="J71" s="20"/>
      <c r="K71" s="20"/>
      <c r="L71" s="20"/>
      <c r="M71" s="20"/>
      <c r="N71" s="20"/>
    </row>
    <row r="72" spans="1:14" s="24" customFormat="1" x14ac:dyDescent="0.2">
      <c r="A72" s="17"/>
      <c r="B72" s="35"/>
      <c r="C72" s="25">
        <f>C248</f>
        <v>34.166666666666664</v>
      </c>
      <c r="D72" s="20" t="s">
        <v>7</v>
      </c>
      <c r="E72" s="17" t="s">
        <v>238</v>
      </c>
      <c r="F72" s="20"/>
      <c r="G72" s="20"/>
      <c r="H72" s="206" t="s">
        <v>230</v>
      </c>
      <c r="I72" s="206"/>
      <c r="J72" s="206"/>
      <c r="K72" s="206"/>
      <c r="L72" s="206"/>
      <c r="M72" s="206"/>
      <c r="N72" s="206"/>
    </row>
    <row r="73" spans="1:14" s="24" customFormat="1" x14ac:dyDescent="0.2">
      <c r="B73" s="35"/>
      <c r="C73" s="25">
        <f>C71</f>
        <v>4</v>
      </c>
      <c r="D73" s="20" t="s">
        <v>7</v>
      </c>
      <c r="E73" s="17" t="s">
        <v>239</v>
      </c>
      <c r="F73" s="20"/>
      <c r="G73" s="20"/>
      <c r="H73" s="206"/>
      <c r="I73" s="206"/>
      <c r="J73" s="206"/>
      <c r="K73" s="206"/>
      <c r="L73" s="206"/>
      <c r="M73" s="206"/>
      <c r="N73" s="206"/>
    </row>
    <row r="74" spans="1:14" s="24" customFormat="1" x14ac:dyDescent="0.2">
      <c r="A74" s="20"/>
      <c r="B74" s="35"/>
      <c r="C74" s="25">
        <f>0.5*C71*C72*C73</f>
        <v>273.33333333333331</v>
      </c>
      <c r="D74" s="20" t="s">
        <v>11</v>
      </c>
      <c r="E74" s="17" t="s">
        <v>125</v>
      </c>
      <c r="F74" s="20"/>
      <c r="G74" s="20"/>
      <c r="H74" s="20"/>
      <c r="I74" s="20"/>
      <c r="J74" s="20"/>
      <c r="K74" s="20"/>
      <c r="L74" s="20"/>
      <c r="M74" s="20"/>
      <c r="N74" s="20"/>
    </row>
    <row r="75" spans="1:14" s="24" customFormat="1" x14ac:dyDescent="0.2">
      <c r="A75" s="20"/>
      <c r="B75" s="35"/>
      <c r="C75" s="25"/>
      <c r="D75" s="20"/>
      <c r="E75" s="17"/>
      <c r="F75" s="20"/>
      <c r="G75" s="20"/>
      <c r="H75" s="20"/>
      <c r="I75" s="20"/>
      <c r="J75" s="20"/>
      <c r="K75" s="20"/>
      <c r="L75" s="20"/>
      <c r="M75" s="20"/>
      <c r="N75" s="20"/>
    </row>
    <row r="76" spans="1:14" s="24" customFormat="1" x14ac:dyDescent="0.2">
      <c r="A76" s="17" t="s">
        <v>113</v>
      </c>
      <c r="B76" s="35"/>
      <c r="C76" s="25">
        <f>C105</f>
        <v>1044</v>
      </c>
      <c r="D76" s="20" t="s">
        <v>11</v>
      </c>
      <c r="E76" s="17" t="s">
        <v>240</v>
      </c>
      <c r="F76" s="20"/>
      <c r="G76" s="20"/>
      <c r="H76" s="20"/>
      <c r="I76" s="20"/>
      <c r="J76" s="20"/>
      <c r="K76" s="20"/>
      <c r="L76" s="20"/>
      <c r="M76" s="20"/>
      <c r="N76" s="20"/>
    </row>
    <row r="77" spans="1:14" s="24" customFormat="1" x14ac:dyDescent="0.2">
      <c r="A77" s="17" t="s">
        <v>114</v>
      </c>
      <c r="B77" s="35"/>
      <c r="C77" s="25">
        <f>C112</f>
        <v>1421</v>
      </c>
      <c r="D77" s="20" t="s">
        <v>11</v>
      </c>
      <c r="E77" s="17" t="s">
        <v>240</v>
      </c>
      <c r="F77" s="20"/>
      <c r="G77" s="20"/>
      <c r="H77" s="20"/>
      <c r="I77" s="20"/>
      <c r="J77" s="20"/>
      <c r="K77" s="20"/>
      <c r="L77" s="20"/>
      <c r="M77" s="20"/>
      <c r="N77" s="20"/>
    </row>
    <row r="78" spans="1:14" s="24" customFormat="1" x14ac:dyDescent="0.2">
      <c r="A78" s="20"/>
      <c r="B78" s="35"/>
      <c r="C78" s="25"/>
      <c r="D78" s="20"/>
      <c r="E78" s="17"/>
      <c r="F78" s="20"/>
      <c r="G78" s="20"/>
      <c r="H78" s="20"/>
      <c r="I78" s="20"/>
      <c r="J78" s="20"/>
      <c r="K78" s="20"/>
      <c r="L78" s="20"/>
      <c r="M78" s="20"/>
      <c r="N78" s="20"/>
    </row>
    <row r="79" spans="1:14" s="24" customFormat="1" x14ac:dyDescent="0.2">
      <c r="A79" s="20"/>
      <c r="B79" s="35"/>
      <c r="C79" s="25">
        <f>C69+C74+C76+C77</f>
        <v>3165.4166666666665</v>
      </c>
      <c r="D79" s="20" t="s">
        <v>11</v>
      </c>
      <c r="E79" s="17" t="s">
        <v>127</v>
      </c>
      <c r="F79" s="20"/>
      <c r="G79" s="20"/>
      <c r="H79" s="20"/>
      <c r="I79" s="20"/>
      <c r="J79" s="20"/>
      <c r="K79" s="20"/>
      <c r="L79" s="20"/>
      <c r="M79" s="20"/>
      <c r="N79" s="20"/>
    </row>
    <row r="80" spans="1:14" s="22" customFormat="1" x14ac:dyDescent="0.2">
      <c r="A80" s="21"/>
      <c r="B80" s="37"/>
      <c r="C80" s="195">
        <f>C79/27</f>
        <v>117.23765432098764</v>
      </c>
      <c r="D80" s="21" t="s">
        <v>10</v>
      </c>
      <c r="E80" s="23"/>
      <c r="F80" s="21"/>
      <c r="G80" s="21"/>
      <c r="H80" s="21"/>
      <c r="I80" s="21"/>
      <c r="J80" s="21"/>
      <c r="K80" s="21"/>
      <c r="L80" s="21"/>
      <c r="M80" s="21"/>
      <c r="N80" s="21"/>
    </row>
    <row r="81" spans="1:14" s="22" customFormat="1" x14ac:dyDescent="0.2">
      <c r="A81" s="21"/>
      <c r="B81" s="37"/>
      <c r="C81" s="26"/>
      <c r="D81" s="21"/>
      <c r="E81" s="23"/>
      <c r="F81" s="21"/>
      <c r="G81" s="21"/>
      <c r="H81" s="21"/>
      <c r="I81" s="21"/>
      <c r="J81" s="21"/>
      <c r="K81" s="21"/>
      <c r="L81" s="21"/>
      <c r="M81" s="21"/>
      <c r="N81" s="21"/>
    </row>
    <row r="82" spans="1:14" s="33" customFormat="1" x14ac:dyDescent="0.2">
      <c r="A82" s="30">
        <f>A18</f>
        <v>503</v>
      </c>
      <c r="B82" s="39">
        <f>B18</f>
        <v>11100</v>
      </c>
      <c r="C82" s="118">
        <f>ROUNDUP(C83,1)</f>
        <v>30000</v>
      </c>
      <c r="D82" s="34" t="s">
        <v>18</v>
      </c>
      <c r="E82" s="32" t="str">
        <f>E18</f>
        <v>COFFERDAMS AND EXCAVATION BRACING</v>
      </c>
      <c r="F82" s="30"/>
      <c r="G82" s="30"/>
      <c r="H82" s="30"/>
      <c r="I82" s="30"/>
      <c r="J82" s="30"/>
      <c r="K82" s="30"/>
      <c r="L82" s="30"/>
      <c r="M82" s="30"/>
      <c r="N82" s="30"/>
    </row>
    <row r="83" spans="1:14" s="24" customFormat="1" x14ac:dyDescent="0.2">
      <c r="A83" s="20"/>
      <c r="B83" s="35"/>
      <c r="C83" s="59">
        <v>30000</v>
      </c>
      <c r="D83" s="20" t="s">
        <v>22</v>
      </c>
      <c r="E83" s="17" t="s">
        <v>51</v>
      </c>
      <c r="F83" s="20"/>
      <c r="G83" s="20"/>
      <c r="H83" s="20"/>
      <c r="I83" s="20"/>
      <c r="J83" s="20"/>
      <c r="K83" s="20"/>
      <c r="L83" s="20"/>
      <c r="M83" s="20"/>
      <c r="N83" s="20"/>
    </row>
    <row r="84" spans="1:14" s="33" customFormat="1" x14ac:dyDescent="0.2">
      <c r="A84" s="34"/>
      <c r="B84" s="49"/>
      <c r="C84" s="38"/>
      <c r="D84" s="34"/>
      <c r="E84" s="50"/>
      <c r="F84" s="34"/>
      <c r="G84" s="34"/>
      <c r="H84" s="34"/>
      <c r="I84" s="34"/>
      <c r="J84" s="34"/>
      <c r="K84" s="34"/>
      <c r="L84" s="34"/>
      <c r="M84" s="34"/>
      <c r="N84" s="34"/>
    </row>
    <row r="85" spans="1:14" s="33" customFormat="1" x14ac:dyDescent="0.2">
      <c r="A85" s="30">
        <f>A19</f>
        <v>503</v>
      </c>
      <c r="B85" s="39">
        <f>B19</f>
        <v>21300</v>
      </c>
      <c r="C85" s="118">
        <f>ROUNDUP(C117,-3)</f>
        <v>8000</v>
      </c>
      <c r="D85" s="34" t="s">
        <v>18</v>
      </c>
      <c r="E85" s="32" t="str">
        <f>E19</f>
        <v>UNCLASSIFIED EXCAVATION</v>
      </c>
      <c r="F85" s="30"/>
      <c r="G85" s="30"/>
      <c r="H85" s="30"/>
      <c r="I85" s="30"/>
      <c r="J85" s="30"/>
      <c r="K85" s="30"/>
      <c r="L85" s="30"/>
      <c r="M85" s="30"/>
      <c r="N85" s="30"/>
    </row>
    <row r="86" spans="1:14" s="24" customFormat="1" x14ac:dyDescent="0.2">
      <c r="A86" s="17" t="s">
        <v>36</v>
      </c>
      <c r="B86" s="35"/>
      <c r="C86" s="46">
        <f>34+2/12+17-4+15.25-4</f>
        <v>58.416666666666664</v>
      </c>
      <c r="D86" s="20" t="s">
        <v>7</v>
      </c>
      <c r="E86" s="17" t="s">
        <v>137</v>
      </c>
      <c r="F86" s="20"/>
      <c r="G86" s="20"/>
      <c r="H86" s="20"/>
      <c r="I86" s="20"/>
      <c r="J86" s="20"/>
      <c r="K86" s="20"/>
      <c r="L86" s="20"/>
      <c r="M86" s="20"/>
      <c r="N86" s="20"/>
    </row>
    <row r="87" spans="1:14" s="24" customFormat="1" x14ac:dyDescent="0.2">
      <c r="A87" s="17"/>
      <c r="B87" s="35"/>
      <c r="C87" s="25">
        <f>C90</f>
        <v>5</v>
      </c>
      <c r="D87" s="20" t="s">
        <v>7</v>
      </c>
      <c r="E87" s="17" t="s">
        <v>231</v>
      </c>
      <c r="F87" s="20"/>
      <c r="G87" s="20"/>
      <c r="H87" s="159"/>
      <c r="I87" s="159"/>
      <c r="J87" s="159"/>
      <c r="K87" s="159"/>
      <c r="L87" s="159"/>
      <c r="M87" s="159"/>
      <c r="N87" s="159"/>
    </row>
    <row r="88" spans="1:14" s="24" customFormat="1" x14ac:dyDescent="0.2">
      <c r="A88" s="17"/>
      <c r="B88" s="35"/>
      <c r="C88" s="46">
        <v>618.5</v>
      </c>
      <c r="D88" s="20" t="s">
        <v>7</v>
      </c>
      <c r="E88" s="17" t="s">
        <v>232</v>
      </c>
      <c r="F88" s="20"/>
      <c r="G88" s="20"/>
      <c r="H88" s="159"/>
      <c r="I88" s="159"/>
      <c r="J88" s="159"/>
      <c r="K88" s="159"/>
      <c r="L88" s="159"/>
      <c r="M88" s="159"/>
      <c r="N88" s="159"/>
    </row>
    <row r="89" spans="1:14" s="24" customFormat="1" ht="15.75" thickBot="1" x14ac:dyDescent="0.25">
      <c r="A89" s="17"/>
      <c r="B89" s="35"/>
      <c r="C89" s="158">
        <f>C491</f>
        <v>613.5</v>
      </c>
      <c r="D89" s="20" t="s">
        <v>7</v>
      </c>
      <c r="E89" s="17" t="s">
        <v>233</v>
      </c>
      <c r="F89" s="20"/>
      <c r="G89" s="20"/>
      <c r="H89" s="159"/>
      <c r="I89" s="159"/>
      <c r="J89" s="159"/>
      <c r="K89" s="159"/>
      <c r="L89" s="159"/>
      <c r="M89" s="159"/>
      <c r="N89" s="159"/>
    </row>
    <row r="90" spans="1:14" s="24" customFormat="1" ht="13.5" thickTop="1" x14ac:dyDescent="0.2">
      <c r="A90" s="20"/>
      <c r="B90" s="35"/>
      <c r="C90" s="25">
        <f>C88-C89</f>
        <v>5</v>
      </c>
      <c r="D90" s="20" t="s">
        <v>7</v>
      </c>
      <c r="E90" s="17" t="s">
        <v>237</v>
      </c>
      <c r="F90" s="20"/>
      <c r="G90" s="20"/>
      <c r="H90" s="159"/>
      <c r="I90" s="159"/>
      <c r="J90" s="159"/>
      <c r="K90" s="159"/>
      <c r="L90" s="159"/>
      <c r="M90" s="159"/>
      <c r="N90" s="159"/>
    </row>
    <row r="91" spans="1:14" s="24" customFormat="1" x14ac:dyDescent="0.2">
      <c r="A91" s="20"/>
      <c r="B91" s="35"/>
      <c r="C91" s="25">
        <f>0.5*C86*C87*C90</f>
        <v>730.20833333333326</v>
      </c>
      <c r="D91" s="20" t="s">
        <v>11</v>
      </c>
      <c r="E91" s="17" t="s">
        <v>140</v>
      </c>
      <c r="F91" s="20"/>
      <c r="G91" s="20"/>
      <c r="H91" s="20"/>
      <c r="I91" s="20"/>
      <c r="J91" s="20"/>
      <c r="K91" s="20"/>
      <c r="L91" s="20"/>
      <c r="M91" s="20"/>
      <c r="N91" s="20"/>
    </row>
    <row r="92" spans="1:14" s="24" customFormat="1" x14ac:dyDescent="0.2">
      <c r="A92" s="20"/>
      <c r="B92" s="35"/>
      <c r="C92" s="25"/>
      <c r="D92" s="20"/>
      <c r="E92" s="17"/>
      <c r="F92" s="20"/>
      <c r="G92" s="20"/>
      <c r="H92" s="20"/>
      <c r="I92" s="20"/>
      <c r="J92" s="20"/>
      <c r="K92" s="20"/>
      <c r="L92" s="20"/>
      <c r="M92" s="20"/>
      <c r="N92" s="20"/>
    </row>
    <row r="93" spans="1:14" s="24" customFormat="1" x14ac:dyDescent="0.2">
      <c r="A93" s="17" t="s">
        <v>37</v>
      </c>
      <c r="B93" s="35"/>
      <c r="C93" s="46">
        <f>34+2/12+11.5-4+12.25-4</f>
        <v>49.916666666666664</v>
      </c>
      <c r="D93" s="20" t="s">
        <v>7</v>
      </c>
      <c r="E93" s="17" t="s">
        <v>141</v>
      </c>
      <c r="F93" s="20"/>
      <c r="G93" s="20"/>
      <c r="H93" s="20"/>
      <c r="I93" s="20"/>
      <c r="J93" s="20"/>
      <c r="K93" s="20"/>
      <c r="L93" s="20"/>
      <c r="M93" s="20"/>
      <c r="N93" s="20"/>
    </row>
    <row r="94" spans="1:14" s="24" customFormat="1" x14ac:dyDescent="0.2">
      <c r="A94" s="17"/>
      <c r="B94" s="35"/>
      <c r="C94" s="25">
        <f>C97</f>
        <v>4</v>
      </c>
      <c r="D94" s="20" t="s">
        <v>7</v>
      </c>
      <c r="E94" s="17" t="s">
        <v>231</v>
      </c>
      <c r="F94" s="20"/>
      <c r="G94" s="20"/>
      <c r="H94" s="159"/>
      <c r="I94" s="159"/>
      <c r="J94" s="159"/>
      <c r="K94" s="159"/>
      <c r="L94" s="159"/>
      <c r="M94" s="159"/>
      <c r="N94" s="159"/>
    </row>
    <row r="95" spans="1:14" s="24" customFormat="1" x14ac:dyDescent="0.2">
      <c r="A95" s="17"/>
      <c r="B95" s="35"/>
      <c r="C95" s="46">
        <v>619</v>
      </c>
      <c r="D95" s="20" t="s">
        <v>7</v>
      </c>
      <c r="E95" s="17" t="s">
        <v>232</v>
      </c>
      <c r="F95" s="20"/>
      <c r="G95" s="20"/>
      <c r="H95" s="159"/>
      <c r="I95" s="159"/>
      <c r="J95" s="159"/>
      <c r="K95" s="159"/>
      <c r="L95" s="159"/>
      <c r="M95" s="159"/>
      <c r="N95" s="159"/>
    </row>
    <row r="96" spans="1:14" s="24" customFormat="1" ht="15.75" thickBot="1" x14ac:dyDescent="0.25">
      <c r="A96" s="17"/>
      <c r="B96" s="35"/>
      <c r="C96" s="158">
        <f>C498</f>
        <v>615</v>
      </c>
      <c r="D96" s="20" t="s">
        <v>7</v>
      </c>
      <c r="E96" s="17" t="s">
        <v>233</v>
      </c>
      <c r="F96" s="20"/>
      <c r="G96" s="20"/>
      <c r="H96" s="159"/>
      <c r="I96" s="159"/>
      <c r="J96" s="159"/>
      <c r="K96" s="159"/>
      <c r="L96" s="159"/>
      <c r="M96" s="159"/>
      <c r="N96" s="159"/>
    </row>
    <row r="97" spans="1:14" s="24" customFormat="1" ht="13.5" thickTop="1" x14ac:dyDescent="0.2">
      <c r="A97" s="20"/>
      <c r="B97" s="35"/>
      <c r="C97" s="25">
        <f>C95-C96</f>
        <v>4</v>
      </c>
      <c r="D97" s="20" t="s">
        <v>7</v>
      </c>
      <c r="E97" s="17" t="s">
        <v>237</v>
      </c>
      <c r="F97" s="20"/>
      <c r="G97" s="20"/>
      <c r="H97" s="159"/>
      <c r="I97" s="159"/>
      <c r="J97" s="159"/>
      <c r="K97" s="159"/>
      <c r="L97" s="159"/>
      <c r="M97" s="159"/>
      <c r="N97" s="159"/>
    </row>
    <row r="98" spans="1:14" s="24" customFormat="1" x14ac:dyDescent="0.2">
      <c r="A98" s="20"/>
      <c r="B98" s="35"/>
      <c r="C98" s="25">
        <f>0.5*C93*C94*C97</f>
        <v>399.33333333333331</v>
      </c>
      <c r="D98" s="20" t="s">
        <v>11</v>
      </c>
      <c r="E98" s="17" t="s">
        <v>140</v>
      </c>
      <c r="F98" s="20"/>
      <c r="G98" s="20"/>
      <c r="H98" s="20"/>
      <c r="I98" s="20"/>
      <c r="J98" s="20"/>
      <c r="K98" s="20"/>
      <c r="L98" s="20"/>
      <c r="M98" s="20"/>
      <c r="N98" s="20"/>
    </row>
    <row r="99" spans="1:14" s="24" customFormat="1" x14ac:dyDescent="0.2">
      <c r="A99" s="20"/>
      <c r="B99" s="35"/>
      <c r="C99" s="25"/>
      <c r="D99" s="20"/>
      <c r="E99" s="17"/>
      <c r="F99" s="20"/>
      <c r="G99" s="20"/>
      <c r="H99" s="20"/>
      <c r="I99" s="20"/>
      <c r="J99" s="20"/>
      <c r="K99" s="20"/>
      <c r="L99" s="20"/>
      <c r="M99" s="20"/>
      <c r="N99" s="20"/>
    </row>
    <row r="100" spans="1:14" s="24" customFormat="1" x14ac:dyDescent="0.2">
      <c r="A100" s="17" t="s">
        <v>138</v>
      </c>
      <c r="B100" s="35"/>
      <c r="C100" s="46">
        <v>29</v>
      </c>
      <c r="D100" s="20" t="s">
        <v>7</v>
      </c>
      <c r="E100" s="17" t="s">
        <v>142</v>
      </c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s="24" customFormat="1" x14ac:dyDescent="0.2">
      <c r="A101" s="17"/>
      <c r="B101" s="35"/>
      <c r="C101" s="25">
        <f>C104</f>
        <v>6</v>
      </c>
      <c r="D101" s="20" t="s">
        <v>7</v>
      </c>
      <c r="E101" s="17" t="s">
        <v>231</v>
      </c>
      <c r="F101" s="20"/>
      <c r="G101" s="20"/>
      <c r="H101" s="159"/>
      <c r="I101" s="159"/>
      <c r="J101" s="159"/>
      <c r="K101" s="159"/>
      <c r="L101" s="159"/>
      <c r="M101" s="159"/>
      <c r="N101" s="159"/>
    </row>
    <row r="102" spans="1:14" s="24" customFormat="1" x14ac:dyDescent="0.2">
      <c r="A102" s="17"/>
      <c r="B102" s="35"/>
      <c r="C102" s="46">
        <v>616</v>
      </c>
      <c r="D102" s="20" t="s">
        <v>7</v>
      </c>
      <c r="E102" s="17" t="s">
        <v>232</v>
      </c>
      <c r="F102" s="20"/>
      <c r="G102" s="20"/>
      <c r="H102" s="159"/>
      <c r="I102" s="159"/>
      <c r="J102" s="159"/>
      <c r="K102" s="159"/>
      <c r="L102" s="159"/>
      <c r="M102" s="159"/>
      <c r="N102" s="159"/>
    </row>
    <row r="103" spans="1:14" s="24" customFormat="1" ht="15.75" thickBot="1" x14ac:dyDescent="0.25">
      <c r="A103" s="17"/>
      <c r="B103" s="35"/>
      <c r="C103" s="158">
        <f>C505</f>
        <v>610</v>
      </c>
      <c r="D103" s="20" t="s">
        <v>7</v>
      </c>
      <c r="E103" s="17" t="s">
        <v>233</v>
      </c>
      <c r="F103" s="20"/>
      <c r="G103" s="20"/>
      <c r="H103" s="159"/>
      <c r="I103" s="159"/>
      <c r="J103" s="159"/>
      <c r="K103" s="159"/>
      <c r="L103" s="159"/>
      <c r="M103" s="159"/>
      <c r="N103" s="159"/>
    </row>
    <row r="104" spans="1:14" s="24" customFormat="1" ht="13.5" thickTop="1" x14ac:dyDescent="0.2">
      <c r="A104" s="20"/>
      <c r="B104" s="35"/>
      <c r="C104" s="25">
        <f>C102-C103</f>
        <v>6</v>
      </c>
      <c r="D104" s="20" t="s">
        <v>7</v>
      </c>
      <c r="E104" s="17" t="s">
        <v>237</v>
      </c>
      <c r="F104" s="20"/>
      <c r="G104" s="20"/>
      <c r="H104" s="159"/>
      <c r="I104" s="159"/>
      <c r="J104" s="159"/>
      <c r="K104" s="159"/>
      <c r="L104" s="159"/>
      <c r="M104" s="159"/>
      <c r="N104" s="159"/>
    </row>
    <row r="105" spans="1:14" s="24" customFormat="1" x14ac:dyDescent="0.2">
      <c r="A105" s="20"/>
      <c r="B105" s="35"/>
      <c r="C105" s="25">
        <f>0.5*C100*C101*C104*2</f>
        <v>1044</v>
      </c>
      <c r="D105" s="20" t="s">
        <v>11</v>
      </c>
      <c r="E105" s="17" t="s">
        <v>140</v>
      </c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s="24" customFormat="1" x14ac:dyDescent="0.2">
      <c r="A106" s="20"/>
      <c r="B106" s="35"/>
      <c r="C106" s="25"/>
      <c r="D106" s="20"/>
      <c r="E106" s="17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s="24" customFormat="1" x14ac:dyDescent="0.2">
      <c r="A107" s="17" t="s">
        <v>139</v>
      </c>
      <c r="B107" s="35"/>
      <c r="C107" s="46">
        <v>29</v>
      </c>
      <c r="D107" s="20" t="s">
        <v>7</v>
      </c>
      <c r="E107" s="17" t="s">
        <v>143</v>
      </c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s="24" customFormat="1" x14ac:dyDescent="0.2">
      <c r="A108" s="17"/>
      <c r="B108" s="35"/>
      <c r="C108" s="25">
        <f>C111</f>
        <v>7</v>
      </c>
      <c r="D108" s="20" t="s">
        <v>7</v>
      </c>
      <c r="E108" s="17" t="s">
        <v>231</v>
      </c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s="24" customFormat="1" x14ac:dyDescent="0.2">
      <c r="A109" s="17"/>
      <c r="B109" s="35"/>
      <c r="C109" s="46">
        <v>615</v>
      </c>
      <c r="D109" s="20" t="s">
        <v>7</v>
      </c>
      <c r="E109" s="17" t="s">
        <v>232</v>
      </c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s="24" customFormat="1" ht="15.75" thickBot="1" x14ac:dyDescent="0.25">
      <c r="A110" s="17"/>
      <c r="B110" s="35"/>
      <c r="C110" s="158">
        <f>C512</f>
        <v>608</v>
      </c>
      <c r="D110" s="20" t="s">
        <v>7</v>
      </c>
      <c r="E110" s="17" t="s">
        <v>233</v>
      </c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s="24" customFormat="1" ht="13.5" thickTop="1" x14ac:dyDescent="0.2">
      <c r="A111" s="20"/>
      <c r="B111" s="35"/>
      <c r="C111" s="25">
        <f>C109-C110</f>
        <v>7</v>
      </c>
      <c r="D111" s="20" t="s">
        <v>7</v>
      </c>
      <c r="E111" s="17" t="s">
        <v>237</v>
      </c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s="24" customFormat="1" x14ac:dyDescent="0.2">
      <c r="A112" s="20"/>
      <c r="B112" s="35"/>
      <c r="C112" s="25">
        <f>0.5*C107*C108*C111*2</f>
        <v>1421</v>
      </c>
      <c r="D112" s="20" t="s">
        <v>11</v>
      </c>
      <c r="E112" s="17" t="s">
        <v>140</v>
      </c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s="24" customFormat="1" x14ac:dyDescent="0.2">
      <c r="A113" s="20"/>
      <c r="B113" s="35"/>
      <c r="C113" s="25"/>
      <c r="D113" s="20"/>
      <c r="E113" s="17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s="24" customFormat="1" x14ac:dyDescent="0.2">
      <c r="A114" s="17"/>
      <c r="B114" s="35"/>
      <c r="C114" s="36">
        <f>(C91+C98+C105+C112)/27</f>
        <v>133.13117283950618</v>
      </c>
      <c r="D114" s="20" t="s">
        <v>10</v>
      </c>
      <c r="E114" s="17" t="s">
        <v>144</v>
      </c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s="24" customFormat="1" x14ac:dyDescent="0.2">
      <c r="A115" s="17"/>
      <c r="B115" s="35"/>
      <c r="C115" s="25"/>
      <c r="D115" s="20"/>
      <c r="E115" s="17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s="24" customFormat="1" x14ac:dyDescent="0.2">
      <c r="A116" s="20"/>
      <c r="B116" s="35"/>
      <c r="C116" s="59">
        <v>55</v>
      </c>
      <c r="D116" s="20" t="s">
        <v>33</v>
      </c>
      <c r="E116" s="17" t="s">
        <v>50</v>
      </c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s="24" customFormat="1" x14ac:dyDescent="0.2">
      <c r="A117" s="20"/>
      <c r="B117" s="35"/>
      <c r="C117" s="59">
        <f>C114*C116</f>
        <v>7322.2145061728397</v>
      </c>
      <c r="D117" s="20" t="s">
        <v>22</v>
      </c>
      <c r="E117" s="17" t="s">
        <v>51</v>
      </c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s="22" customFormat="1" x14ac:dyDescent="0.2">
      <c r="A118" s="21"/>
      <c r="B118" s="37"/>
      <c r="C118" s="26"/>
      <c r="D118" s="21"/>
      <c r="E118" s="23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1:14" s="189" customFormat="1" x14ac:dyDescent="0.2">
      <c r="A119" s="186">
        <f>A20</f>
        <v>503</v>
      </c>
      <c r="B119" s="55">
        <f>B20</f>
        <v>21320</v>
      </c>
      <c r="C119" s="187">
        <f>ROUNDUP(C127,-2)</f>
        <v>0</v>
      </c>
      <c r="D119" s="186">
        <f>D20</f>
        <v>0</v>
      </c>
      <c r="E119" s="188" t="str">
        <f>E20</f>
        <v>UNCLASSIFIED EXCAVATION, INCLUDING ROCK</v>
      </c>
      <c r="F119" s="186"/>
      <c r="G119" s="186"/>
      <c r="H119" s="186"/>
      <c r="I119" s="186"/>
      <c r="J119" s="119"/>
      <c r="K119" s="119"/>
      <c r="L119" s="119"/>
      <c r="M119" s="119"/>
      <c r="N119" s="119"/>
    </row>
    <row r="120" spans="1:14" s="24" customFormat="1" x14ac:dyDescent="0.2">
      <c r="A120" s="190"/>
      <c r="B120" s="35"/>
      <c r="C120" s="46"/>
      <c r="D120" s="20" t="s">
        <v>7</v>
      </c>
      <c r="E120" s="17" t="s">
        <v>255</v>
      </c>
      <c r="F120" s="20"/>
      <c r="G120" s="20"/>
      <c r="H120" s="20"/>
      <c r="I120" s="20"/>
    </row>
    <row r="121" spans="1:14" s="24" customFormat="1" x14ac:dyDescent="0.2">
      <c r="A121" s="20"/>
      <c r="B121" s="35"/>
      <c r="C121" s="46"/>
      <c r="D121" s="20" t="s">
        <v>7</v>
      </c>
      <c r="E121" s="17" t="s">
        <v>233</v>
      </c>
      <c r="F121" s="20"/>
      <c r="G121" s="20"/>
      <c r="H121" s="20"/>
      <c r="I121" s="20"/>
    </row>
    <row r="122" spans="1:14" s="24" customFormat="1" ht="15.75" thickBot="1" x14ac:dyDescent="0.25">
      <c r="A122" s="20"/>
      <c r="B122" s="35"/>
      <c r="C122" s="157">
        <f>C302*C303</f>
        <v>116</v>
      </c>
      <c r="D122" s="20" t="s">
        <v>8</v>
      </c>
      <c r="E122" s="17" t="s">
        <v>256</v>
      </c>
      <c r="F122" s="20"/>
      <c r="G122" s="20"/>
      <c r="H122" s="20"/>
      <c r="I122" s="20"/>
    </row>
    <row r="123" spans="1:14" s="24" customFormat="1" ht="13.5" thickTop="1" x14ac:dyDescent="0.2">
      <c r="A123" s="20"/>
      <c r="B123" s="35"/>
      <c r="C123" s="25">
        <f>C122*(C120-C121)</f>
        <v>0</v>
      </c>
      <c r="D123" s="20" t="s">
        <v>11</v>
      </c>
      <c r="E123" s="17"/>
      <c r="F123" s="20"/>
      <c r="G123" s="20"/>
      <c r="H123" s="20"/>
      <c r="I123" s="20"/>
    </row>
    <row r="124" spans="1:14" s="24" customFormat="1" x14ac:dyDescent="0.2">
      <c r="A124" s="20"/>
      <c r="B124" s="35"/>
      <c r="C124" s="25">
        <f>C123/27</f>
        <v>0</v>
      </c>
      <c r="D124" s="20" t="s">
        <v>10</v>
      </c>
      <c r="E124" s="17"/>
      <c r="F124" s="20"/>
      <c r="G124" s="20"/>
      <c r="H124" s="20"/>
      <c r="I124" s="20"/>
    </row>
    <row r="125" spans="1:14" s="24" customFormat="1" x14ac:dyDescent="0.2">
      <c r="A125" s="20"/>
      <c r="B125" s="35"/>
      <c r="C125" s="25"/>
      <c r="D125" s="20"/>
      <c r="E125" s="17"/>
      <c r="F125" s="20"/>
      <c r="G125" s="20"/>
      <c r="H125" s="20"/>
      <c r="I125" s="20"/>
    </row>
    <row r="126" spans="1:14" s="24" customFormat="1" x14ac:dyDescent="0.2">
      <c r="A126" s="20"/>
      <c r="B126" s="35"/>
      <c r="C126" s="59">
        <v>75</v>
      </c>
      <c r="D126" s="20" t="s">
        <v>33</v>
      </c>
      <c r="E126" s="17" t="s">
        <v>50</v>
      </c>
      <c r="F126" s="20"/>
      <c r="G126" s="20"/>
      <c r="H126" s="20"/>
      <c r="I126" s="20"/>
    </row>
    <row r="127" spans="1:14" s="22" customFormat="1" x14ac:dyDescent="0.2">
      <c r="A127" s="21"/>
      <c r="B127" s="37"/>
      <c r="C127" s="59">
        <f>C124*C126</f>
        <v>0</v>
      </c>
      <c r="D127" s="21" t="s">
        <v>22</v>
      </c>
      <c r="E127" s="23" t="s">
        <v>51</v>
      </c>
      <c r="F127" s="21"/>
      <c r="G127" s="21"/>
      <c r="H127" s="21"/>
      <c r="I127" s="21"/>
      <c r="J127" s="24"/>
      <c r="K127" s="24"/>
      <c r="L127" s="24"/>
      <c r="M127" s="24"/>
      <c r="N127" s="24"/>
    </row>
    <row r="128" spans="1:14" s="22" customFormat="1" x14ac:dyDescent="0.2">
      <c r="A128" s="21"/>
      <c r="B128" s="37"/>
      <c r="C128" s="26"/>
      <c r="D128" s="21"/>
      <c r="E128" s="23"/>
      <c r="F128" s="21"/>
      <c r="G128" s="21"/>
      <c r="H128" s="21"/>
      <c r="I128" s="21"/>
      <c r="J128" s="33"/>
      <c r="K128" s="33"/>
      <c r="L128" s="33"/>
      <c r="M128" s="33"/>
      <c r="N128" s="33"/>
    </row>
    <row r="129" spans="1:16" s="33" customFormat="1" x14ac:dyDescent="0.2">
      <c r="A129" s="30">
        <f>A22</f>
        <v>509</v>
      </c>
      <c r="B129" s="39">
        <f>B22</f>
        <v>10000</v>
      </c>
      <c r="C129" s="31">
        <f>ROUNDUP(C144,0)</f>
        <v>115937</v>
      </c>
      <c r="D129" s="30" t="str">
        <f>D22</f>
        <v>LB</v>
      </c>
      <c r="E129" s="32" t="str">
        <f>E22</f>
        <v>EPOXY COATED STEEL REINFORCEMENT</v>
      </c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6" s="24" customFormat="1" ht="14.25" x14ac:dyDescent="0.2">
      <c r="A130" s="17" t="s">
        <v>39</v>
      </c>
      <c r="B130" s="48"/>
      <c r="C130" s="46">
        <v>25426</v>
      </c>
      <c r="D130" s="20" t="s">
        <v>23</v>
      </c>
      <c r="E130" s="17" t="s">
        <v>56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2" t="s">
        <v>269</v>
      </c>
    </row>
    <row r="131" spans="1:16" s="24" customFormat="1" ht="14.25" x14ac:dyDescent="0.2">
      <c r="A131" s="17" t="s">
        <v>211</v>
      </c>
      <c r="B131" s="48"/>
      <c r="C131" s="46">
        <f>2970+2370+5924+6025</f>
        <v>17289</v>
      </c>
      <c r="D131" s="20" t="s">
        <v>23</v>
      </c>
      <c r="E131" s="17" t="s">
        <v>56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02" t="s">
        <v>269</v>
      </c>
      <c r="P131" s="204">
        <f>C131+C138</f>
        <v>26325</v>
      </c>
    </row>
    <row r="132" spans="1:16" s="24" customFormat="1" ht="14.25" x14ac:dyDescent="0.2">
      <c r="A132" s="17"/>
      <c r="B132" s="48"/>
      <c r="C132" s="25"/>
      <c r="D132" s="20"/>
      <c r="E132" s="17"/>
      <c r="F132" s="20"/>
      <c r="G132" s="20"/>
      <c r="H132" s="20"/>
      <c r="I132" s="20"/>
      <c r="J132" s="20"/>
      <c r="K132" s="20"/>
      <c r="L132" s="20"/>
      <c r="M132" s="20"/>
      <c r="N132" s="20"/>
      <c r="O132" s="202"/>
    </row>
    <row r="133" spans="1:16" s="24" customFormat="1" ht="14.25" x14ac:dyDescent="0.2">
      <c r="A133" s="24" t="s">
        <v>209</v>
      </c>
      <c r="B133" s="48"/>
      <c r="C133" s="46">
        <v>4469</v>
      </c>
      <c r="D133" s="20" t="s">
        <v>23</v>
      </c>
      <c r="E133" s="17" t="s">
        <v>56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2" t="s">
        <v>269</v>
      </c>
    </row>
    <row r="134" spans="1:16" s="24" customFormat="1" ht="14.25" x14ac:dyDescent="0.2">
      <c r="B134" s="48"/>
      <c r="C134" s="25"/>
      <c r="D134" s="20"/>
      <c r="E134" s="17"/>
      <c r="F134" s="20"/>
      <c r="G134" s="20"/>
      <c r="H134" s="20"/>
      <c r="I134" s="20"/>
      <c r="J134" s="20"/>
      <c r="K134" s="20"/>
      <c r="L134" s="20"/>
      <c r="M134" s="20"/>
      <c r="N134" s="20"/>
      <c r="O134" s="202"/>
    </row>
    <row r="135" spans="1:16" s="24" customFormat="1" ht="14.25" x14ac:dyDescent="0.2">
      <c r="A135" s="17" t="s">
        <v>70</v>
      </c>
      <c r="B135" s="48"/>
      <c r="C135" s="46">
        <v>58955</v>
      </c>
      <c r="D135" s="20" t="s">
        <v>23</v>
      </c>
      <c r="E135" s="17" t="s">
        <v>56</v>
      </c>
      <c r="F135" s="20"/>
      <c r="G135" s="20"/>
      <c r="H135" s="20"/>
      <c r="I135" s="20"/>
      <c r="J135" s="20"/>
      <c r="K135" s="20"/>
      <c r="L135" s="20"/>
      <c r="M135" s="20"/>
      <c r="N135" s="20"/>
      <c r="O135" s="202" t="s">
        <v>269</v>
      </c>
    </row>
    <row r="136" spans="1:16" s="24" customFormat="1" ht="14.25" x14ac:dyDescent="0.2">
      <c r="A136" s="17"/>
      <c r="B136" s="48"/>
      <c r="C136" s="25"/>
      <c r="D136" s="20"/>
      <c r="E136" s="17"/>
      <c r="F136" s="20"/>
      <c r="G136" s="20"/>
      <c r="H136" s="20"/>
      <c r="I136" s="20"/>
      <c r="J136" s="20"/>
      <c r="K136" s="20"/>
      <c r="L136" s="20"/>
      <c r="M136" s="20"/>
      <c r="N136" s="20"/>
      <c r="O136" s="202" t="s">
        <v>269</v>
      </c>
    </row>
    <row r="137" spans="1:16" s="24" customFormat="1" ht="14.25" x14ac:dyDescent="0.2">
      <c r="A137" s="17" t="s">
        <v>71</v>
      </c>
      <c r="B137" s="48"/>
      <c r="C137" s="46">
        <v>18011</v>
      </c>
      <c r="D137" s="20" t="s">
        <v>23</v>
      </c>
      <c r="E137" s="17" t="s">
        <v>56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202" t="s">
        <v>269</v>
      </c>
    </row>
    <row r="138" spans="1:16" s="24" customFormat="1" ht="14.25" x14ac:dyDescent="0.2">
      <c r="A138" s="17" t="s">
        <v>211</v>
      </c>
      <c r="B138" s="48"/>
      <c r="C138" s="46">
        <f>1614+1035+3736+2651</f>
        <v>9036</v>
      </c>
      <c r="D138" s="20" t="s">
        <v>23</v>
      </c>
      <c r="E138" s="17" t="s">
        <v>56</v>
      </c>
      <c r="F138" s="20"/>
      <c r="G138" s="20"/>
      <c r="H138" s="20"/>
      <c r="I138" s="20"/>
      <c r="J138" s="20"/>
      <c r="K138" s="20"/>
      <c r="L138" s="20"/>
      <c r="M138" s="20"/>
      <c r="N138" s="20"/>
      <c r="O138" s="202"/>
    </row>
    <row r="139" spans="1:16" s="24" customFormat="1" ht="14.25" x14ac:dyDescent="0.2">
      <c r="A139" s="17"/>
      <c r="B139" s="48"/>
      <c r="C139" s="25"/>
      <c r="D139" s="20"/>
      <c r="E139" s="17"/>
      <c r="F139" s="20"/>
      <c r="G139" s="20"/>
      <c r="H139" s="20"/>
      <c r="I139" s="20"/>
      <c r="J139" s="20"/>
      <c r="K139" s="20"/>
      <c r="L139" s="20"/>
      <c r="M139" s="20"/>
      <c r="N139" s="20"/>
      <c r="O139" s="202"/>
    </row>
    <row r="140" spans="1:16" s="24" customFormat="1" ht="14.25" x14ac:dyDescent="0.2">
      <c r="A140" s="17" t="s">
        <v>72</v>
      </c>
      <c r="B140" s="48"/>
      <c r="C140" s="46">
        <v>8953</v>
      </c>
      <c r="D140" s="20" t="s">
        <v>23</v>
      </c>
      <c r="E140" s="17" t="s">
        <v>56</v>
      </c>
      <c r="F140" s="20"/>
      <c r="G140" s="20"/>
      <c r="H140" s="20"/>
      <c r="I140" s="20"/>
      <c r="J140" s="20"/>
      <c r="K140" s="20"/>
      <c r="L140" s="20"/>
      <c r="M140" s="20"/>
      <c r="N140" s="20"/>
      <c r="O140" s="202" t="s">
        <v>269</v>
      </c>
    </row>
    <row r="141" spans="1:16" s="24" customFormat="1" ht="14.25" x14ac:dyDescent="0.2">
      <c r="A141" s="17" t="s">
        <v>266</v>
      </c>
      <c r="B141" s="48"/>
      <c r="C141" s="25">
        <v>5319</v>
      </c>
      <c r="D141" s="20" t="s">
        <v>7</v>
      </c>
      <c r="E141" s="17"/>
      <c r="F141" s="20"/>
      <c r="G141" s="20"/>
      <c r="H141" s="20"/>
      <c r="I141" s="20"/>
      <c r="J141" s="20"/>
      <c r="K141" s="20"/>
      <c r="L141" s="20"/>
      <c r="M141" s="20"/>
      <c r="N141" s="20"/>
      <c r="O141" s="202" t="s">
        <v>269</v>
      </c>
    </row>
    <row r="142" spans="1:16" s="24" customFormat="1" ht="14.25" x14ac:dyDescent="0.2">
      <c r="A142" s="17" t="s">
        <v>210</v>
      </c>
      <c r="B142" s="48"/>
      <c r="C142" s="46">
        <v>123</v>
      </c>
      <c r="D142" s="20" t="s">
        <v>23</v>
      </c>
      <c r="E142" s="17" t="s">
        <v>56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202" t="s">
        <v>269</v>
      </c>
    </row>
    <row r="143" spans="1:16" s="24" customFormat="1" ht="14.25" x14ac:dyDescent="0.2">
      <c r="A143" s="17"/>
      <c r="B143" s="48"/>
      <c r="C143" s="25"/>
      <c r="D143" s="20"/>
      <c r="E143" s="17"/>
      <c r="F143" s="20"/>
      <c r="G143" s="20"/>
      <c r="H143" s="20"/>
      <c r="I143" s="20"/>
      <c r="J143" s="20"/>
      <c r="K143" s="20"/>
      <c r="L143" s="20"/>
      <c r="M143" s="20"/>
      <c r="N143" s="20"/>
      <c r="O143" s="202"/>
    </row>
    <row r="144" spans="1:16" s="22" customFormat="1" ht="14.25" x14ac:dyDescent="0.2">
      <c r="A144" s="23"/>
      <c r="B144" s="55"/>
      <c r="C144" s="36">
        <f>C130+C133+C135+C137+C140+C142</f>
        <v>115937</v>
      </c>
      <c r="D144" s="21" t="s">
        <v>23</v>
      </c>
      <c r="E144" s="23" t="s">
        <v>6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03"/>
    </row>
    <row r="145" spans="1:14" s="33" customFormat="1" x14ac:dyDescent="0.2">
      <c r="A145" s="34"/>
      <c r="B145" s="49"/>
      <c r="C145" s="38"/>
      <c r="D145" s="34"/>
      <c r="E145" s="50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1:14" s="33" customFormat="1" x14ac:dyDescent="0.2">
      <c r="A146" s="30">
        <f>A25</f>
        <v>511</v>
      </c>
      <c r="B146" s="39">
        <f>B25</f>
        <v>32212</v>
      </c>
      <c r="C146" s="31">
        <f>ROUNDUP(C178,0)</f>
        <v>301</v>
      </c>
      <c r="D146" s="30" t="str">
        <f>D25</f>
        <v>CY</v>
      </c>
      <c r="E146" s="32" t="str">
        <f>E25</f>
        <v>CLASS QC2 CONCRETE WITH QC/QA, SUPERSTRUCTURE</v>
      </c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s="24" customFormat="1" x14ac:dyDescent="0.2">
      <c r="A147" s="17" t="s">
        <v>58</v>
      </c>
      <c r="B147" s="35"/>
      <c r="C147" s="46">
        <v>3720.4929999999999</v>
      </c>
      <c r="D147" s="20" t="s">
        <v>8</v>
      </c>
      <c r="E147" s="17" t="s">
        <v>184</v>
      </c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s="24" customFormat="1" x14ac:dyDescent="0.2">
      <c r="A148" s="20"/>
      <c r="B148" s="35"/>
      <c r="C148" s="46">
        <v>2</v>
      </c>
      <c r="D148" s="20" t="s">
        <v>7</v>
      </c>
      <c r="E148" s="17" t="s">
        <v>57</v>
      </c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s="24" customFormat="1" x14ac:dyDescent="0.2">
      <c r="A149" s="20"/>
      <c r="B149" s="35"/>
      <c r="C149" s="25">
        <f>C147*C148</f>
        <v>7440.9859999999999</v>
      </c>
      <c r="D149" s="20" t="s">
        <v>11</v>
      </c>
      <c r="E149" s="17" t="s">
        <v>111</v>
      </c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s="24" customFormat="1" x14ac:dyDescent="0.2">
      <c r="A150" s="20"/>
      <c r="B150" s="35"/>
      <c r="C150" s="25"/>
      <c r="D150" s="20"/>
      <c r="E150" s="17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s="24" customFormat="1" x14ac:dyDescent="0.2">
      <c r="A151" s="17" t="s">
        <v>42</v>
      </c>
      <c r="B151" s="35"/>
      <c r="C151" s="46">
        <f>28+8/12</f>
        <v>28.666666666666668</v>
      </c>
      <c r="D151" s="20" t="s">
        <v>7</v>
      </c>
      <c r="E151" s="17" t="s">
        <v>31</v>
      </c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s="24" customFormat="1" x14ac:dyDescent="0.2">
      <c r="A152" s="20"/>
      <c r="B152" s="35"/>
      <c r="C152" s="46">
        <v>3</v>
      </c>
      <c r="D152" s="20" t="s">
        <v>7</v>
      </c>
      <c r="E152" s="17" t="s">
        <v>59</v>
      </c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s="24" customFormat="1" x14ac:dyDescent="0.2">
      <c r="A153" s="20"/>
      <c r="B153" s="35"/>
      <c r="C153" s="46">
        <f>4-C148</f>
        <v>2</v>
      </c>
      <c r="D153" s="20" t="s">
        <v>7</v>
      </c>
      <c r="E153" s="17" t="s">
        <v>129</v>
      </c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s="24" customFormat="1" x14ac:dyDescent="0.2">
      <c r="A154" s="20"/>
      <c r="B154" s="35"/>
      <c r="C154" s="46">
        <f>5.5-C148</f>
        <v>3.5</v>
      </c>
      <c r="D154" s="20"/>
      <c r="E154" s="17" t="s">
        <v>130</v>
      </c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s="24" customFormat="1" x14ac:dyDescent="0.2">
      <c r="A155" s="20"/>
      <c r="B155" s="35"/>
      <c r="C155" s="25">
        <f>C151*C152*0.5*(C153+C154)</f>
        <v>236.5</v>
      </c>
      <c r="D155" s="20" t="s">
        <v>11</v>
      </c>
      <c r="E155" s="17" t="s">
        <v>43</v>
      </c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s="24" customFormat="1" x14ac:dyDescent="0.2">
      <c r="A156" s="20"/>
      <c r="B156" s="35"/>
      <c r="C156" s="25"/>
      <c r="D156" s="20"/>
      <c r="E156" s="17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s="24" customFormat="1" x14ac:dyDescent="0.2">
      <c r="A157" s="17" t="s">
        <v>45</v>
      </c>
      <c r="B157" s="35"/>
      <c r="C157" s="46">
        <f>28+8/12</f>
        <v>28.666666666666668</v>
      </c>
      <c r="D157" s="20" t="s">
        <v>7</v>
      </c>
      <c r="E157" s="17" t="s">
        <v>31</v>
      </c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s="24" customFormat="1" x14ac:dyDescent="0.2">
      <c r="A158" s="20"/>
      <c r="B158" s="35"/>
      <c r="C158" s="46">
        <v>3</v>
      </c>
      <c r="D158" s="20" t="s">
        <v>7</v>
      </c>
      <c r="E158" s="17" t="s">
        <v>59</v>
      </c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s="24" customFormat="1" x14ac:dyDescent="0.2">
      <c r="A159" s="20"/>
      <c r="B159" s="35"/>
      <c r="C159" s="46">
        <v>2</v>
      </c>
      <c r="D159" s="20"/>
      <c r="E159" s="17" t="s">
        <v>129</v>
      </c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s="24" customFormat="1" x14ac:dyDescent="0.2">
      <c r="A160" s="20"/>
      <c r="B160" s="35"/>
      <c r="C160" s="46">
        <v>3.5</v>
      </c>
      <c r="D160" s="20" t="s">
        <v>7</v>
      </c>
      <c r="E160" s="17" t="s">
        <v>130</v>
      </c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s="24" customFormat="1" ht="12.75" customHeight="1" x14ac:dyDescent="0.2">
      <c r="A161" s="17"/>
      <c r="B161" s="35"/>
      <c r="C161" s="25">
        <f>C157*C158*0.5*(C159+C160)</f>
        <v>236.5</v>
      </c>
      <c r="D161" s="20" t="s">
        <v>11</v>
      </c>
      <c r="E161" s="17" t="s">
        <v>43</v>
      </c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s="24" customFormat="1" ht="12.75" customHeight="1" x14ac:dyDescent="0.2">
      <c r="A162" s="17"/>
      <c r="B162" s="35"/>
      <c r="C162" s="25"/>
      <c r="D162" s="20"/>
      <c r="E162" s="17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s="24" customFormat="1" ht="12.75" customHeight="1" x14ac:dyDescent="0.2">
      <c r="A163" s="17" t="s">
        <v>113</v>
      </c>
      <c r="B163" s="35"/>
      <c r="C163" s="46">
        <v>27</v>
      </c>
      <c r="D163" s="20" t="s">
        <v>7</v>
      </c>
      <c r="E163" s="17" t="s">
        <v>145</v>
      </c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s="24" customFormat="1" ht="12.75" customHeight="1" x14ac:dyDescent="0.2">
      <c r="A164" s="17"/>
      <c r="B164" s="35"/>
      <c r="C164" s="46">
        <v>3</v>
      </c>
      <c r="D164" s="20" t="s">
        <v>7</v>
      </c>
      <c r="E164" s="17" t="s">
        <v>59</v>
      </c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s="24" customFormat="1" ht="12.75" customHeight="1" x14ac:dyDescent="0.2">
      <c r="A165" s="17"/>
      <c r="B165" s="35"/>
      <c r="C165" s="46">
        <v>0.5</v>
      </c>
      <c r="D165" s="20" t="s">
        <v>7</v>
      </c>
      <c r="E165" s="17" t="s">
        <v>146</v>
      </c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s="24" customFormat="1" ht="12.75" customHeight="1" x14ac:dyDescent="0.2">
      <c r="A166" s="17"/>
      <c r="B166" s="35"/>
      <c r="C166" s="46">
        <f>2+0.75/12</f>
        <v>2.0625</v>
      </c>
      <c r="D166" s="20" t="s">
        <v>7</v>
      </c>
      <c r="E166" s="17" t="s">
        <v>147</v>
      </c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s="24" customFormat="1" ht="12.75" customHeight="1" x14ac:dyDescent="0.2">
      <c r="A167" s="17"/>
      <c r="B167" s="35"/>
      <c r="C167" s="46">
        <f>PI()/4*C164^2+(C163-1.5*2)*C164</f>
        <v>79.068583470577039</v>
      </c>
      <c r="D167" s="20" t="s">
        <v>8</v>
      </c>
      <c r="E167" s="17" t="s">
        <v>148</v>
      </c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s="24" customFormat="1" ht="12.75" customHeight="1" x14ac:dyDescent="0.2">
      <c r="A168" s="17"/>
      <c r="B168" s="35"/>
      <c r="C168" s="25">
        <f>C167*0.5*(C165+C166)</f>
        <v>101.30662257167683</v>
      </c>
      <c r="D168" s="20" t="s">
        <v>11</v>
      </c>
      <c r="E168" s="17" t="s">
        <v>89</v>
      </c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s="24" customFormat="1" ht="12.75" customHeight="1" x14ac:dyDescent="0.2">
      <c r="A169" s="17"/>
      <c r="B169" s="35"/>
      <c r="C169" s="25"/>
      <c r="D169" s="20"/>
      <c r="E169" s="17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s="24" customFormat="1" ht="12.75" customHeight="1" x14ac:dyDescent="0.2">
      <c r="A170" s="17" t="s">
        <v>114</v>
      </c>
      <c r="B170" s="35"/>
      <c r="C170" s="46">
        <v>27</v>
      </c>
      <c r="D170" s="20" t="s">
        <v>7</v>
      </c>
      <c r="E170" s="17" t="s">
        <v>145</v>
      </c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s="24" customFormat="1" ht="12.75" customHeight="1" x14ac:dyDescent="0.2">
      <c r="A171" s="17"/>
      <c r="B171" s="35"/>
      <c r="C171" s="46">
        <v>3</v>
      </c>
      <c r="D171" s="20" t="s">
        <v>7</v>
      </c>
      <c r="E171" s="17" t="s">
        <v>59</v>
      </c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s="24" customFormat="1" ht="12.75" customHeight="1" x14ac:dyDescent="0.2">
      <c r="A172" s="17"/>
      <c r="B172" s="35"/>
      <c r="C172" s="46">
        <v>0.5</v>
      </c>
      <c r="D172" s="20" t="s">
        <v>7</v>
      </c>
      <c r="E172" s="17" t="s">
        <v>146</v>
      </c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s="24" customFormat="1" ht="12.75" customHeight="1" x14ac:dyDescent="0.2">
      <c r="A173" s="17"/>
      <c r="B173" s="35"/>
      <c r="C173" s="46">
        <f>2+0.75/12</f>
        <v>2.0625</v>
      </c>
      <c r="D173" s="20" t="s">
        <v>7</v>
      </c>
      <c r="E173" s="17" t="s">
        <v>147</v>
      </c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s="24" customFormat="1" ht="12.75" customHeight="1" x14ac:dyDescent="0.2">
      <c r="A174" s="17"/>
      <c r="B174" s="35"/>
      <c r="C174" s="46">
        <f>PI()/4*C171^2+(C170-1.5*2)*C171</f>
        <v>79.068583470577039</v>
      </c>
      <c r="D174" s="20"/>
      <c r="E174" s="17" t="s">
        <v>148</v>
      </c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s="24" customFormat="1" ht="12.75" customHeight="1" x14ac:dyDescent="0.2">
      <c r="A175" s="17"/>
      <c r="B175" s="35"/>
      <c r="C175" s="25">
        <f>C174*0.5*(C172+C173)</f>
        <v>101.30662257167683</v>
      </c>
      <c r="D175" s="20" t="s">
        <v>11</v>
      </c>
      <c r="E175" s="17" t="s">
        <v>89</v>
      </c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s="24" customFormat="1" ht="12.75" customHeight="1" x14ac:dyDescent="0.2">
      <c r="A176" s="17"/>
      <c r="B176" s="35"/>
      <c r="C176" s="25"/>
      <c r="D176" s="20"/>
      <c r="E176" s="17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s="24" customFormat="1" x14ac:dyDescent="0.2">
      <c r="A177" s="20"/>
      <c r="B177" s="35"/>
      <c r="C177" s="51">
        <f>C149+C155+C161+C168+C175</f>
        <v>8116.5992451433531</v>
      </c>
      <c r="D177" s="20" t="s">
        <v>11</v>
      </c>
      <c r="E177" s="17" t="s">
        <v>6</v>
      </c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s="22" customFormat="1" x14ac:dyDescent="0.2">
      <c r="A178" s="21"/>
      <c r="B178" s="37"/>
      <c r="C178" s="36">
        <f>C177/27</f>
        <v>300.61478685716122</v>
      </c>
      <c r="D178" s="21" t="s">
        <v>10</v>
      </c>
      <c r="E178" s="23" t="s">
        <v>6</v>
      </c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s="22" customFormat="1" x14ac:dyDescent="0.2">
      <c r="A179" s="21"/>
      <c r="B179" s="37"/>
      <c r="C179" s="26"/>
      <c r="D179" s="21"/>
      <c r="E179" s="23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s="33" customFormat="1" x14ac:dyDescent="0.2">
      <c r="A180" s="30">
        <f>A27</f>
        <v>511</v>
      </c>
      <c r="B180" s="39">
        <f>B27</f>
        <v>34450</v>
      </c>
      <c r="C180" s="31">
        <f>ROUNDUP(C189,0)</f>
        <v>52</v>
      </c>
      <c r="D180" s="30" t="str">
        <f>D27</f>
        <v>CY</v>
      </c>
      <c r="E180" s="32" t="str">
        <f>E27</f>
        <v>CLASS QC2 CONCRETE WITH QC/QA, BRIDGE DECK (PARAPET)</v>
      </c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1:14" s="24" customFormat="1" x14ac:dyDescent="0.2">
      <c r="A181" s="17"/>
      <c r="B181" s="35"/>
      <c r="C181" s="46">
        <f>3.5*0.5*(10/12+1.5)</f>
        <v>4.0833333333333339</v>
      </c>
      <c r="D181" s="20" t="s">
        <v>8</v>
      </c>
      <c r="E181" s="17" t="s">
        <v>115</v>
      </c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s="24" customFormat="1" x14ac:dyDescent="0.2">
      <c r="A182" s="20"/>
      <c r="B182" s="35"/>
      <c r="C182" s="46">
        <f>132.397+6.926+6.924</f>
        <v>146.24699999999999</v>
      </c>
      <c r="D182" s="20" t="s">
        <v>7</v>
      </c>
      <c r="E182" s="17" t="s">
        <v>253</v>
      </c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s="24" customFormat="1" x14ac:dyDescent="0.2">
      <c r="A183" s="20"/>
      <c r="B183" s="35"/>
      <c r="C183" s="46">
        <f>6.908+38.125+4.338+87.42+6.909</f>
        <v>143.69999999999999</v>
      </c>
      <c r="D183" s="20" t="s">
        <v>7</v>
      </c>
      <c r="E183" s="17" t="s">
        <v>253</v>
      </c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s="24" customFormat="1" x14ac:dyDescent="0.2">
      <c r="A184" s="20"/>
      <c r="B184" s="35"/>
      <c r="C184" s="46">
        <f>(2+8/12)*(1+2.5/12)+0.5*4/12*3.5/12</f>
        <v>3.270833333333333</v>
      </c>
      <c r="D184" s="20" t="s">
        <v>8</v>
      </c>
      <c r="E184" s="17" t="s">
        <v>116</v>
      </c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s="24" customFormat="1" x14ac:dyDescent="0.2">
      <c r="A185" s="20"/>
      <c r="B185" s="35"/>
      <c r="C185" s="46">
        <f>1.5+2.5</f>
        <v>4</v>
      </c>
      <c r="D185" s="20" t="s">
        <v>7</v>
      </c>
      <c r="E185" s="17" t="s">
        <v>117</v>
      </c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s="24" customFormat="1" x14ac:dyDescent="0.2">
      <c r="A186" s="20"/>
      <c r="B186" s="35"/>
      <c r="C186" s="46">
        <v>10</v>
      </c>
      <c r="D186" s="20" t="s">
        <v>7</v>
      </c>
      <c r="E186" s="17" t="s">
        <v>118</v>
      </c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s="24" customFormat="1" x14ac:dyDescent="0.2">
      <c r="A187" s="20"/>
      <c r="B187" s="35"/>
      <c r="C187" s="25"/>
      <c r="D187" s="20"/>
      <c r="E187" s="17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s="24" customFormat="1" x14ac:dyDescent="0.2">
      <c r="A188" s="20"/>
      <c r="B188" s="35"/>
      <c r="C188" s="51">
        <f>C181*(C182+C183)+0.5*(C181+C184)*C186*4+4*C185*C184</f>
        <v>1383.3669166666666</v>
      </c>
      <c r="D188" s="20" t="s">
        <v>11</v>
      </c>
      <c r="E188" s="17" t="s">
        <v>6</v>
      </c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s="22" customFormat="1" x14ac:dyDescent="0.2">
      <c r="A189" s="21"/>
      <c r="B189" s="37"/>
      <c r="C189" s="36">
        <f>C188/27</f>
        <v>51.235811728395056</v>
      </c>
      <c r="D189" s="21" t="s">
        <v>10</v>
      </c>
      <c r="E189" s="23" t="s">
        <v>6</v>
      </c>
      <c r="F189" s="21"/>
      <c r="G189" s="21"/>
      <c r="H189" s="21"/>
      <c r="I189" s="21"/>
      <c r="J189" s="21"/>
      <c r="K189" s="21"/>
      <c r="L189" s="21"/>
      <c r="M189" s="21"/>
      <c r="N189" s="21"/>
    </row>
    <row r="190" spans="1:14" s="22" customFormat="1" x14ac:dyDescent="0.2">
      <c r="A190" s="21"/>
      <c r="B190" s="37"/>
      <c r="C190" s="26"/>
      <c r="D190" s="21"/>
      <c r="E190" s="23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s="33" customFormat="1" x14ac:dyDescent="0.2">
      <c r="A191" s="30">
        <f>A28</f>
        <v>511</v>
      </c>
      <c r="B191" s="39">
        <f>B28</f>
        <v>40512</v>
      </c>
      <c r="C191" s="31">
        <f>ROUNDUP(C207,0)</f>
        <v>60</v>
      </c>
      <c r="D191" s="30" t="str">
        <f>D28</f>
        <v>CY</v>
      </c>
      <c r="E191" s="32" t="str">
        <f>E28</f>
        <v>CLASS QC1 CONCRETE WITH QC/QA, PIER ABOVE FOOTINGS</v>
      </c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1:14" s="24" customFormat="1" x14ac:dyDescent="0.2">
      <c r="A192" s="17" t="s">
        <v>109</v>
      </c>
      <c r="B192" s="35"/>
      <c r="C192" s="46">
        <v>79.069000000000003</v>
      </c>
      <c r="D192" s="20" t="s">
        <v>8</v>
      </c>
      <c r="E192" s="17" t="s">
        <v>224</v>
      </c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s="24" customFormat="1" x14ac:dyDescent="0.2">
      <c r="A193" s="17"/>
      <c r="B193" s="35"/>
      <c r="C193" s="46">
        <v>2</v>
      </c>
      <c r="D193" s="20" t="s">
        <v>7</v>
      </c>
      <c r="E193" s="17" t="s">
        <v>149</v>
      </c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 s="24" customFormat="1" x14ac:dyDescent="0.2">
      <c r="A194" s="17"/>
      <c r="B194" s="35"/>
      <c r="C194" s="25"/>
      <c r="D194" s="20"/>
      <c r="E194" s="17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 s="24" customFormat="1" x14ac:dyDescent="0.2">
      <c r="A195" s="17"/>
      <c r="B195" s="35"/>
      <c r="C195" s="46">
        <v>51.142000000000003</v>
      </c>
      <c r="D195" s="20" t="s">
        <v>8</v>
      </c>
      <c r="E195" s="17" t="s">
        <v>225</v>
      </c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s="24" customFormat="1" x14ac:dyDescent="0.2">
      <c r="A196" s="17"/>
      <c r="B196" s="35"/>
      <c r="C196" s="46">
        <f>13+8.625/12-C193</f>
        <v>11.71875</v>
      </c>
      <c r="D196" s="20" t="s">
        <v>7</v>
      </c>
      <c r="E196" s="17" t="s">
        <v>149</v>
      </c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s="24" customFormat="1" x14ac:dyDescent="0.2">
      <c r="A197" s="17"/>
      <c r="B197" s="35"/>
      <c r="C197" s="25">
        <f>C192*C193+C195*C196</f>
        <v>757.45831250000003</v>
      </c>
      <c r="D197" s="20" t="s">
        <v>11</v>
      </c>
      <c r="E197" s="17" t="s">
        <v>150</v>
      </c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s="24" customFormat="1" x14ac:dyDescent="0.2">
      <c r="A198" s="17"/>
      <c r="B198" s="35"/>
      <c r="C198" s="25"/>
      <c r="D198" s="20"/>
      <c r="E198" s="17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s="24" customFormat="1" x14ac:dyDescent="0.2">
      <c r="A199" s="17" t="s">
        <v>110</v>
      </c>
      <c r="B199" s="35"/>
      <c r="C199" s="46">
        <v>79.069000000000003</v>
      </c>
      <c r="D199" s="20" t="s">
        <v>7</v>
      </c>
      <c r="E199" s="17" t="s">
        <v>224</v>
      </c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 s="24" customFormat="1" x14ac:dyDescent="0.2">
      <c r="A200" s="17"/>
      <c r="B200" s="35"/>
      <c r="C200" s="46">
        <v>2</v>
      </c>
      <c r="D200" s="20" t="s">
        <v>7</v>
      </c>
      <c r="E200" s="17" t="s">
        <v>149</v>
      </c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 s="24" customFormat="1" x14ac:dyDescent="0.2">
      <c r="A201" s="17"/>
      <c r="B201" s="35"/>
      <c r="C201" s="25"/>
      <c r="D201" s="20"/>
      <c r="E201" s="17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s="24" customFormat="1" x14ac:dyDescent="0.2">
      <c r="A202" s="17"/>
      <c r="B202" s="35"/>
      <c r="C202" s="46">
        <v>51.142000000000003</v>
      </c>
      <c r="D202" s="20" t="s">
        <v>7</v>
      </c>
      <c r="E202" s="17" t="s">
        <v>225</v>
      </c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s="24" customFormat="1" x14ac:dyDescent="0.2">
      <c r="A203" s="17"/>
      <c r="B203" s="35"/>
      <c r="C203" s="46">
        <f>15+7.375/12-C200</f>
        <v>13.614583333333334</v>
      </c>
      <c r="D203" s="20" t="s">
        <v>7</v>
      </c>
      <c r="E203" s="17" t="s">
        <v>149</v>
      </c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 s="24" customFormat="1" x14ac:dyDescent="0.2">
      <c r="A204" s="17"/>
      <c r="B204" s="35"/>
      <c r="C204" s="25">
        <f>C199*C200+C202*C203</f>
        <v>854.41502083333341</v>
      </c>
      <c r="D204" s="20" t="s">
        <v>11</v>
      </c>
      <c r="E204" s="17" t="s">
        <v>150</v>
      </c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 s="24" customFormat="1" x14ac:dyDescent="0.2">
      <c r="A205" s="20"/>
      <c r="B205" s="35"/>
      <c r="C205" s="25"/>
      <c r="D205" s="20"/>
      <c r="E205" s="17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 s="24" customFormat="1" x14ac:dyDescent="0.2">
      <c r="A206" s="20"/>
      <c r="B206" s="35"/>
      <c r="C206" s="51">
        <f>SUM(C197,C204)</f>
        <v>1611.8733333333334</v>
      </c>
      <c r="D206" s="20" t="s">
        <v>11</v>
      </c>
      <c r="E206" s="17" t="s">
        <v>6</v>
      </c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s="22" customFormat="1" x14ac:dyDescent="0.2">
      <c r="A207" s="21"/>
      <c r="B207" s="37"/>
      <c r="C207" s="36">
        <f>C206/27</f>
        <v>59.699012345679016</v>
      </c>
      <c r="D207" s="21" t="s">
        <v>10</v>
      </c>
      <c r="E207" s="23" t="s">
        <v>6</v>
      </c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s="22" customFormat="1" x14ac:dyDescent="0.2">
      <c r="A208" s="21"/>
      <c r="B208" s="37"/>
      <c r="C208" s="26"/>
      <c r="D208" s="21"/>
      <c r="E208" s="23"/>
      <c r="F208" s="21"/>
      <c r="G208" s="21"/>
      <c r="H208" s="21"/>
      <c r="I208" s="21"/>
      <c r="J208" s="21"/>
      <c r="K208" s="21"/>
      <c r="L208" s="21"/>
      <c r="M208" s="21"/>
      <c r="N208" s="21"/>
    </row>
    <row r="209" spans="1:14" s="33" customFormat="1" x14ac:dyDescent="0.2">
      <c r="A209" s="30">
        <f>A29</f>
        <v>511</v>
      </c>
      <c r="B209" s="39">
        <f>B29</f>
        <v>43513</v>
      </c>
      <c r="C209" s="31">
        <f>ROUNDUP(C287,)</f>
        <v>153</v>
      </c>
      <c r="D209" s="30" t="str">
        <f>D29</f>
        <v>CY</v>
      </c>
      <c r="E209" s="32" t="str">
        <f>E29</f>
        <v>CLASS QC1 CONCRETE WITH QC/QA, ABUTMENT INCLUDING FOOTING, AS PER PLAN</v>
      </c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1:14" s="24" customFormat="1" x14ac:dyDescent="0.2">
      <c r="A210" s="17" t="s">
        <v>40</v>
      </c>
      <c r="B210" s="35"/>
      <c r="C210" s="46">
        <f>34+2/12</f>
        <v>34.166666666666664</v>
      </c>
      <c r="D210" s="20" t="s">
        <v>7</v>
      </c>
      <c r="E210" s="17" t="s">
        <v>26</v>
      </c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s="24" customFormat="1" x14ac:dyDescent="0.2">
      <c r="A211" s="20"/>
      <c r="B211" s="35"/>
      <c r="C211" s="46">
        <v>4</v>
      </c>
      <c r="D211" s="20" t="s">
        <v>7</v>
      </c>
      <c r="E211" s="17" t="s">
        <v>27</v>
      </c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 s="24" customFormat="1" x14ac:dyDescent="0.2">
      <c r="A212" s="20"/>
      <c r="B212" s="35"/>
      <c r="C212" s="46">
        <v>3</v>
      </c>
      <c r="D212" s="20" t="s">
        <v>7</v>
      </c>
      <c r="E212" s="17" t="s">
        <v>28</v>
      </c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 s="24" customFormat="1" x14ac:dyDescent="0.2">
      <c r="A213" s="20"/>
      <c r="B213" s="35"/>
      <c r="C213" s="25">
        <f>C210*C211*C212</f>
        <v>410</v>
      </c>
      <c r="D213" s="20" t="s">
        <v>11</v>
      </c>
      <c r="E213" s="17" t="s">
        <v>41</v>
      </c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s="24" customFormat="1" x14ac:dyDescent="0.2">
      <c r="A214" s="20"/>
      <c r="B214" s="35"/>
      <c r="C214" s="25"/>
      <c r="D214" s="20"/>
      <c r="E214" s="17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s="24" customFormat="1" x14ac:dyDescent="0.2">
      <c r="A215" s="17" t="s">
        <v>42</v>
      </c>
      <c r="B215" s="35"/>
      <c r="C215" s="46">
        <f>28+8/12</f>
        <v>28.666666666666668</v>
      </c>
      <c r="D215" s="20" t="s">
        <v>7</v>
      </c>
      <c r="E215" s="17" t="s">
        <v>31</v>
      </c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 s="24" customFormat="1" x14ac:dyDescent="0.2">
      <c r="A216" s="17" t="s">
        <v>67</v>
      </c>
      <c r="B216" s="35"/>
      <c r="C216" s="46">
        <v>3</v>
      </c>
      <c r="D216" s="20" t="s">
        <v>7</v>
      </c>
      <c r="E216" s="17" t="s">
        <v>59</v>
      </c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s="24" customFormat="1" x14ac:dyDescent="0.2">
      <c r="A217" s="20"/>
      <c r="B217" s="35"/>
      <c r="C217" s="46">
        <f>11.5</f>
        <v>11.5</v>
      </c>
      <c r="D217" s="20" t="s">
        <v>7</v>
      </c>
      <c r="E217" s="17" t="s">
        <v>112</v>
      </c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s="24" customFormat="1" x14ac:dyDescent="0.2">
      <c r="A218" s="20"/>
      <c r="B218" s="35"/>
      <c r="C218" s="25">
        <f>ROUND(C215*(C216*C217),2)</f>
        <v>989</v>
      </c>
      <c r="D218" s="20" t="s">
        <v>11</v>
      </c>
      <c r="E218" s="17" t="s">
        <v>43</v>
      </c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s="24" customFormat="1" x14ac:dyDescent="0.2">
      <c r="A219" s="20"/>
      <c r="B219" s="35"/>
      <c r="C219" s="25"/>
      <c r="D219" s="20"/>
      <c r="E219" s="17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s="24" customFormat="1" x14ac:dyDescent="0.2">
      <c r="A220" s="17" t="s">
        <v>212</v>
      </c>
      <c r="B220" s="35"/>
      <c r="C220" s="46">
        <v>23.5</v>
      </c>
      <c r="D220" s="20" t="s">
        <v>7</v>
      </c>
      <c r="E220" s="17" t="s">
        <v>214</v>
      </c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 s="24" customFormat="1" x14ac:dyDescent="0.2">
      <c r="A221" s="20"/>
      <c r="B221" s="35"/>
      <c r="C221" s="46">
        <v>1.5</v>
      </c>
      <c r="D221" s="20" t="s">
        <v>7</v>
      </c>
      <c r="E221" s="17" t="s">
        <v>215</v>
      </c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 s="24" customFormat="1" x14ac:dyDescent="0.2">
      <c r="A222" s="20"/>
      <c r="B222" s="35"/>
      <c r="C222" s="46">
        <f>((6+2/12)+(630.5-625+1))/2</f>
        <v>6.3333333333333339</v>
      </c>
      <c r="D222" s="20" t="s">
        <v>7</v>
      </c>
      <c r="E222" s="17" t="s">
        <v>216</v>
      </c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s="24" customFormat="1" x14ac:dyDescent="0.2">
      <c r="A223" s="20"/>
      <c r="B223" s="35"/>
      <c r="C223" s="46">
        <f>((17-1.5)+(17-0.5+2+11.875/12))/2</f>
        <v>17.494791666666664</v>
      </c>
      <c r="D223" s="20" t="s">
        <v>7</v>
      </c>
      <c r="E223" s="17" t="s">
        <v>222</v>
      </c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s="24" customFormat="1" x14ac:dyDescent="0.2">
      <c r="A224" s="20"/>
      <c r="B224" s="35"/>
      <c r="C224" s="46">
        <v>1.5</v>
      </c>
      <c r="D224" s="20" t="s">
        <v>7</v>
      </c>
      <c r="E224" s="17" t="s">
        <v>217</v>
      </c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4" s="24" customFormat="1" x14ac:dyDescent="0.2">
      <c r="A225" s="20"/>
      <c r="B225" s="35"/>
      <c r="C225" s="46">
        <f>1+5.875/12</f>
        <v>1.4895833333333333</v>
      </c>
      <c r="D225" s="20" t="s">
        <v>7</v>
      </c>
      <c r="E225" s="17" t="s">
        <v>220</v>
      </c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 s="24" customFormat="1" x14ac:dyDescent="0.2">
      <c r="A226" s="20"/>
      <c r="B226" s="35"/>
      <c r="C226" s="46">
        <f>17-1.5</f>
        <v>15.5</v>
      </c>
      <c r="D226" s="20" t="s">
        <v>7</v>
      </c>
      <c r="E226" s="17" t="s">
        <v>218</v>
      </c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 s="24" customFormat="1" x14ac:dyDescent="0.2">
      <c r="A227" s="20"/>
      <c r="B227" s="35"/>
      <c r="C227" s="46">
        <v>1.5</v>
      </c>
      <c r="D227" s="20" t="s">
        <v>7</v>
      </c>
      <c r="E227" s="17" t="s">
        <v>219</v>
      </c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 s="24" customFormat="1" x14ac:dyDescent="0.2">
      <c r="A228" s="20"/>
      <c r="B228" s="35"/>
      <c r="C228" s="46">
        <v>6</v>
      </c>
      <c r="D228" s="20" t="s">
        <v>7</v>
      </c>
      <c r="E228" s="17" t="s">
        <v>221</v>
      </c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 s="24" customFormat="1" x14ac:dyDescent="0.2">
      <c r="A229" s="20"/>
      <c r="B229" s="35"/>
      <c r="C229" s="46">
        <f>17-4</f>
        <v>13</v>
      </c>
      <c r="D229" s="20" t="s">
        <v>7</v>
      </c>
      <c r="E229" s="17" t="s">
        <v>228</v>
      </c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4" s="24" customFormat="1" x14ac:dyDescent="0.2">
      <c r="A230" s="20"/>
      <c r="B230" s="35"/>
      <c r="C230" s="46">
        <v>4</v>
      </c>
      <c r="D230" s="20" t="s">
        <v>7</v>
      </c>
      <c r="E230" s="17" t="s">
        <v>226</v>
      </c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 s="24" customFormat="1" x14ac:dyDescent="0.2">
      <c r="A231" s="20"/>
      <c r="B231" s="35"/>
      <c r="C231" s="46">
        <v>3</v>
      </c>
      <c r="D231" s="20" t="s">
        <v>7</v>
      </c>
      <c r="E231" s="17" t="s">
        <v>227</v>
      </c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 s="24" customFormat="1" x14ac:dyDescent="0.2">
      <c r="A232" s="20"/>
      <c r="B232" s="35"/>
      <c r="C232" s="25">
        <f>(C220*C221*C222)+(C223*C224*C225)+(C226*C227*C228)+(C229*C230*C231)</f>
        <v>557.83992513020837</v>
      </c>
      <c r="D232" s="20" t="s">
        <v>11</v>
      </c>
      <c r="E232" s="17" t="s">
        <v>136</v>
      </c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s="24" customFormat="1" x14ac:dyDescent="0.2">
      <c r="A233" s="20"/>
      <c r="B233" s="35"/>
      <c r="C233" s="25"/>
      <c r="D233" s="20"/>
      <c r="E233" s="17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 s="24" customFormat="1" x14ac:dyDescent="0.2">
      <c r="A234" s="17" t="s">
        <v>212</v>
      </c>
      <c r="B234" s="35"/>
      <c r="C234" s="46">
        <v>21.75</v>
      </c>
      <c r="D234" s="20" t="s">
        <v>7</v>
      </c>
      <c r="E234" s="17" t="s">
        <v>214</v>
      </c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4" s="24" customFormat="1" x14ac:dyDescent="0.2">
      <c r="A235" s="20"/>
      <c r="B235" s="35"/>
      <c r="C235" s="46">
        <v>1.5</v>
      </c>
      <c r="D235" s="20" t="s">
        <v>7</v>
      </c>
      <c r="E235" s="17" t="s">
        <v>215</v>
      </c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 s="24" customFormat="1" x14ac:dyDescent="0.2">
      <c r="A236" s="20"/>
      <c r="B236" s="35"/>
      <c r="C236" s="46">
        <f>((5)+(629-625+1))/2</f>
        <v>5</v>
      </c>
      <c r="D236" s="20" t="s">
        <v>7</v>
      </c>
      <c r="E236" s="17" t="s">
        <v>216</v>
      </c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 s="24" customFormat="1" x14ac:dyDescent="0.2">
      <c r="A237" s="20"/>
      <c r="B237" s="35"/>
      <c r="C237" s="46">
        <f>((15.25-1.5)+(15.25-0.5+5+11.5/12))/2</f>
        <v>17.229166666666664</v>
      </c>
      <c r="D237" s="20" t="s">
        <v>7</v>
      </c>
      <c r="E237" s="17" t="s">
        <v>222</v>
      </c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s="24" customFormat="1" x14ac:dyDescent="0.2">
      <c r="A238" s="20"/>
      <c r="B238" s="35"/>
      <c r="C238" s="46">
        <v>1.5</v>
      </c>
      <c r="D238" s="20" t="s">
        <v>7</v>
      </c>
      <c r="E238" s="17" t="s">
        <v>217</v>
      </c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 s="24" customFormat="1" x14ac:dyDescent="0.2">
      <c r="A239" s="20"/>
      <c r="B239" s="35"/>
      <c r="C239" s="46">
        <f>2+11.75/12</f>
        <v>2.9791666666666665</v>
      </c>
      <c r="D239" s="20" t="s">
        <v>7</v>
      </c>
      <c r="E239" s="17" t="s">
        <v>220</v>
      </c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 s="24" customFormat="1" x14ac:dyDescent="0.2">
      <c r="A240" s="20"/>
      <c r="B240" s="35"/>
      <c r="C240" s="46">
        <f>15.25-1.5</f>
        <v>13.75</v>
      </c>
      <c r="D240" s="20" t="s">
        <v>7</v>
      </c>
      <c r="E240" s="17" t="s">
        <v>218</v>
      </c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s="24" customFormat="1" x14ac:dyDescent="0.2">
      <c r="A241" s="20"/>
      <c r="B241" s="35"/>
      <c r="C241" s="46">
        <v>1.5</v>
      </c>
      <c r="D241" s="20" t="s">
        <v>7</v>
      </c>
      <c r="E241" s="17" t="s">
        <v>219</v>
      </c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s="24" customFormat="1" x14ac:dyDescent="0.2">
      <c r="A242" s="20"/>
      <c r="B242" s="35"/>
      <c r="C242" s="46">
        <v>4.5</v>
      </c>
      <c r="D242" s="20" t="s">
        <v>7</v>
      </c>
      <c r="E242" s="17" t="s">
        <v>221</v>
      </c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s="24" customFormat="1" x14ac:dyDescent="0.2">
      <c r="A243" s="20"/>
      <c r="B243" s="35"/>
      <c r="C243" s="46">
        <f>15.25-4</f>
        <v>11.25</v>
      </c>
      <c r="D243" s="20" t="s">
        <v>7</v>
      </c>
      <c r="E243" s="17" t="s">
        <v>228</v>
      </c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s="24" customFormat="1" x14ac:dyDescent="0.2">
      <c r="A244" s="20"/>
      <c r="B244" s="35"/>
      <c r="C244" s="46">
        <v>4</v>
      </c>
      <c r="D244" s="20" t="s">
        <v>7</v>
      </c>
      <c r="E244" s="17" t="s">
        <v>226</v>
      </c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s="24" customFormat="1" x14ac:dyDescent="0.2">
      <c r="A245" s="20"/>
      <c r="B245" s="35"/>
      <c r="C245" s="46">
        <v>3</v>
      </c>
      <c r="D245" s="20" t="s">
        <v>7</v>
      </c>
      <c r="E245" s="17" t="s">
        <v>227</v>
      </c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s="24" customFormat="1" x14ac:dyDescent="0.2">
      <c r="A246" s="20"/>
      <c r="B246" s="35"/>
      <c r="C246" s="25">
        <f>(C234*C235*C236)+(C237*C238*C239)+(C240*C241*C242)+(C243*C244*C245)</f>
        <v>467.93033854166663</v>
      </c>
      <c r="D246" s="20" t="s">
        <v>11</v>
      </c>
      <c r="E246" s="17" t="s">
        <v>136</v>
      </c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s="24" customFormat="1" x14ac:dyDescent="0.2">
      <c r="A247" s="20"/>
      <c r="B247" s="35"/>
      <c r="C247" s="25"/>
      <c r="D247" s="20"/>
      <c r="E247" s="17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s="24" customFormat="1" x14ac:dyDescent="0.2">
      <c r="A248" s="156" t="s">
        <v>44</v>
      </c>
      <c r="B248" s="35"/>
      <c r="C248" s="46">
        <f>34+2/12</f>
        <v>34.166666666666664</v>
      </c>
      <c r="D248" s="20" t="s">
        <v>7</v>
      </c>
      <c r="E248" s="17" t="s">
        <v>26</v>
      </c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s="24" customFormat="1" x14ac:dyDescent="0.2">
      <c r="A249" s="20"/>
      <c r="B249" s="35"/>
      <c r="C249" s="46">
        <v>4</v>
      </c>
      <c r="D249" s="20" t="s">
        <v>7</v>
      </c>
      <c r="E249" s="17" t="s">
        <v>27</v>
      </c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s="24" customFormat="1" x14ac:dyDescent="0.2">
      <c r="A250" s="20"/>
      <c r="B250" s="35"/>
      <c r="C250" s="46">
        <v>3</v>
      </c>
      <c r="D250" s="20" t="s">
        <v>7</v>
      </c>
      <c r="E250" s="17" t="s">
        <v>28</v>
      </c>
      <c r="F250" s="20"/>
      <c r="G250" s="20"/>
      <c r="H250" s="20"/>
      <c r="I250" s="20"/>
      <c r="J250" s="20"/>
      <c r="K250" s="20"/>
      <c r="L250" s="20"/>
      <c r="M250" s="20"/>
      <c r="N250" s="25"/>
    </row>
    <row r="251" spans="1:14" s="24" customFormat="1" x14ac:dyDescent="0.2">
      <c r="A251" s="20"/>
      <c r="B251" s="35"/>
      <c r="C251" s="25">
        <f>C248*C249*C250</f>
        <v>410</v>
      </c>
      <c r="D251" s="20" t="s">
        <v>11</v>
      </c>
      <c r="E251" s="17" t="s">
        <v>41</v>
      </c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 s="24" customFormat="1" x14ac:dyDescent="0.2">
      <c r="A252" s="20"/>
      <c r="B252" s="35"/>
      <c r="C252" s="25"/>
      <c r="D252" s="20"/>
      <c r="E252" s="17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s="24" customFormat="1" x14ac:dyDescent="0.2">
      <c r="A253" s="156" t="s">
        <v>45</v>
      </c>
      <c r="B253" s="35"/>
      <c r="C253" s="46">
        <f>28+10/12</f>
        <v>28.833333333333332</v>
      </c>
      <c r="D253" s="20" t="s">
        <v>7</v>
      </c>
      <c r="E253" s="17" t="s">
        <v>31</v>
      </c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s="24" customFormat="1" x14ac:dyDescent="0.2">
      <c r="A254" s="156" t="s">
        <v>67</v>
      </c>
      <c r="B254" s="35"/>
      <c r="C254" s="46">
        <v>3</v>
      </c>
      <c r="D254" s="20" t="s">
        <v>7</v>
      </c>
      <c r="E254" s="17" t="s">
        <v>68</v>
      </c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s="24" customFormat="1" x14ac:dyDescent="0.2">
      <c r="A255" s="20"/>
      <c r="B255" s="35"/>
      <c r="C255" s="46">
        <v>6.75</v>
      </c>
      <c r="D255" s="20" t="s">
        <v>7</v>
      </c>
      <c r="E255" s="17" t="s">
        <v>112</v>
      </c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 s="24" customFormat="1" ht="12.75" customHeight="1" x14ac:dyDescent="0.2">
      <c r="A256" s="20"/>
      <c r="B256" s="35"/>
      <c r="C256" s="25">
        <f>ROUND(C253*(C254*C255),2)</f>
        <v>583.88</v>
      </c>
      <c r="D256" s="20" t="s">
        <v>11</v>
      </c>
      <c r="E256" s="17" t="s">
        <v>43</v>
      </c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 s="24" customFormat="1" ht="12.75" customHeight="1" x14ac:dyDescent="0.2">
      <c r="A257" s="20"/>
      <c r="B257" s="35"/>
      <c r="C257" s="25"/>
      <c r="D257" s="20"/>
      <c r="E257" s="17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s="24" customFormat="1" x14ac:dyDescent="0.2">
      <c r="A258" s="17" t="s">
        <v>213</v>
      </c>
      <c r="B258" s="35"/>
      <c r="C258" s="46">
        <v>18.75</v>
      </c>
      <c r="D258" s="20" t="s">
        <v>7</v>
      </c>
      <c r="E258" s="17" t="s">
        <v>214</v>
      </c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s="24" customFormat="1" x14ac:dyDescent="0.2">
      <c r="A259" s="20"/>
      <c r="B259" s="35"/>
      <c r="C259" s="46">
        <v>1.5</v>
      </c>
      <c r="D259" s="20" t="s">
        <v>7</v>
      </c>
      <c r="E259" s="17" t="s">
        <v>215</v>
      </c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1:14" s="24" customFormat="1" x14ac:dyDescent="0.2">
      <c r="A260" s="20"/>
      <c r="B260" s="35"/>
      <c r="C260" s="46">
        <f>((6+2/12)+(630.25-624.75+1))/2</f>
        <v>6.3333333333333339</v>
      </c>
      <c r="D260" s="20" t="s">
        <v>7</v>
      </c>
      <c r="E260" s="17" t="s">
        <v>216</v>
      </c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 s="24" customFormat="1" x14ac:dyDescent="0.2">
      <c r="A261" s="20"/>
      <c r="B261" s="35"/>
      <c r="C261" s="46">
        <f>((12-1.5)+(12-0.5+3+4.875/12))/2</f>
        <v>12.703125</v>
      </c>
      <c r="D261" s="20" t="s">
        <v>7</v>
      </c>
      <c r="E261" s="17" t="s">
        <v>222</v>
      </c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s="24" customFormat="1" x14ac:dyDescent="0.2">
      <c r="A262" s="20"/>
      <c r="B262" s="35"/>
      <c r="C262" s="46">
        <v>1.5</v>
      </c>
      <c r="D262" s="20" t="s">
        <v>7</v>
      </c>
      <c r="E262" s="17" t="s">
        <v>217</v>
      </c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s="24" customFormat="1" x14ac:dyDescent="0.2">
      <c r="A263" s="20"/>
      <c r="B263" s="35"/>
      <c r="C263" s="46">
        <f>1+8.625/12</f>
        <v>1.71875</v>
      </c>
      <c r="D263" s="20" t="s">
        <v>7</v>
      </c>
      <c r="E263" s="17" t="s">
        <v>220</v>
      </c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1:14" s="24" customFormat="1" x14ac:dyDescent="0.2">
      <c r="A264" s="20"/>
      <c r="B264" s="35"/>
      <c r="C264" s="46">
        <f>12.25-1.5</f>
        <v>10.75</v>
      </c>
      <c r="D264" s="20" t="s">
        <v>7</v>
      </c>
      <c r="E264" s="17" t="s">
        <v>218</v>
      </c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 s="24" customFormat="1" x14ac:dyDescent="0.2">
      <c r="A265" s="20"/>
      <c r="B265" s="35"/>
      <c r="C265" s="46">
        <v>1.5</v>
      </c>
      <c r="D265" s="20" t="s">
        <v>7</v>
      </c>
      <c r="E265" s="17" t="s">
        <v>219</v>
      </c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s="24" customFormat="1" x14ac:dyDescent="0.2">
      <c r="A266" s="20"/>
      <c r="B266" s="35"/>
      <c r="C266" s="46">
        <v>4</v>
      </c>
      <c r="D266" s="20" t="s">
        <v>7</v>
      </c>
      <c r="E266" s="17" t="s">
        <v>221</v>
      </c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s="24" customFormat="1" x14ac:dyDescent="0.2">
      <c r="A267" s="20"/>
      <c r="B267" s="35"/>
      <c r="C267" s="46">
        <f>12.25-4</f>
        <v>8.25</v>
      </c>
      <c r="D267" s="20" t="s">
        <v>7</v>
      </c>
      <c r="E267" s="17" t="s">
        <v>228</v>
      </c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1:14" s="24" customFormat="1" x14ac:dyDescent="0.2">
      <c r="A268" s="20"/>
      <c r="B268" s="35"/>
      <c r="C268" s="46">
        <v>4</v>
      </c>
      <c r="D268" s="20" t="s">
        <v>7</v>
      </c>
      <c r="E268" s="17" t="s">
        <v>226</v>
      </c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s="24" customFormat="1" x14ac:dyDescent="0.2">
      <c r="A269" s="20"/>
      <c r="B269" s="35"/>
      <c r="C269" s="46">
        <v>3</v>
      </c>
      <c r="D269" s="20" t="s">
        <v>7</v>
      </c>
      <c r="E269" s="17" t="s">
        <v>227</v>
      </c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s="24" customFormat="1" x14ac:dyDescent="0.2">
      <c r="A270" s="20"/>
      <c r="B270" s="35"/>
      <c r="C270" s="25">
        <f>(C258*C259*C260)+(C261*C262*C263)+(C264*C265*C266)+(C267*C268*C269)</f>
        <v>374.375244140625</v>
      </c>
      <c r="D270" s="20" t="s">
        <v>11</v>
      </c>
      <c r="E270" s="17" t="s">
        <v>136</v>
      </c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 s="24" customFormat="1" ht="12.75" customHeight="1" x14ac:dyDescent="0.2">
      <c r="A271" s="17"/>
      <c r="B271" s="35"/>
      <c r="C271" s="25"/>
      <c r="D271" s="20"/>
      <c r="E271" s="17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 s="24" customFormat="1" x14ac:dyDescent="0.2">
      <c r="A272" s="17" t="s">
        <v>213</v>
      </c>
      <c r="B272" s="35"/>
      <c r="C272" s="46">
        <v>18</v>
      </c>
      <c r="D272" s="20" t="s">
        <v>7</v>
      </c>
      <c r="E272" s="17" t="s">
        <v>214</v>
      </c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s="24" customFormat="1" x14ac:dyDescent="0.2">
      <c r="A273" s="20"/>
      <c r="B273" s="35"/>
      <c r="C273" s="46">
        <v>1.5</v>
      </c>
      <c r="D273" s="20" t="s">
        <v>7</v>
      </c>
      <c r="E273" s="17" t="s">
        <v>215</v>
      </c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 s="24" customFormat="1" x14ac:dyDescent="0.2">
      <c r="A274" s="20"/>
      <c r="B274" s="35"/>
      <c r="C274" s="46">
        <f>((4+10/12)+(628.75-624.75+1))/2</f>
        <v>4.9166666666666661</v>
      </c>
      <c r="D274" s="20" t="s">
        <v>7</v>
      </c>
      <c r="E274" s="17" t="s">
        <v>216</v>
      </c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 s="24" customFormat="1" x14ac:dyDescent="0.2">
      <c r="A275" s="20"/>
      <c r="B275" s="35"/>
      <c r="C275" s="46">
        <f>((11.5-1.5)+(11-0.5+5+6.25/12))/2</f>
        <v>13.010416666666666</v>
      </c>
      <c r="D275" s="20" t="s">
        <v>7</v>
      </c>
      <c r="E275" s="17" t="s">
        <v>222</v>
      </c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s="24" customFormat="1" x14ac:dyDescent="0.2">
      <c r="A276" s="20"/>
      <c r="B276" s="35"/>
      <c r="C276" s="46">
        <v>1.5</v>
      </c>
      <c r="D276" s="20" t="s">
        <v>7</v>
      </c>
      <c r="E276" s="17" t="s">
        <v>217</v>
      </c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s="24" customFormat="1" x14ac:dyDescent="0.2">
      <c r="A277" s="20"/>
      <c r="B277" s="35"/>
      <c r="C277" s="46">
        <f>2+9.125/12</f>
        <v>2.7604166666666665</v>
      </c>
      <c r="D277" s="20" t="s">
        <v>7</v>
      </c>
      <c r="E277" s="17" t="s">
        <v>220</v>
      </c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s="24" customFormat="1" x14ac:dyDescent="0.2">
      <c r="A278" s="20"/>
      <c r="B278" s="35"/>
      <c r="C278" s="46">
        <f>11.5-1.5</f>
        <v>10</v>
      </c>
      <c r="D278" s="20" t="s">
        <v>7</v>
      </c>
      <c r="E278" s="17" t="s">
        <v>218</v>
      </c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s="24" customFormat="1" x14ac:dyDescent="0.2">
      <c r="A279" s="20"/>
      <c r="B279" s="35"/>
      <c r="C279" s="46">
        <v>1.5</v>
      </c>
      <c r="D279" s="20" t="s">
        <v>7</v>
      </c>
      <c r="E279" s="17" t="s">
        <v>219</v>
      </c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s="24" customFormat="1" x14ac:dyDescent="0.2">
      <c r="A280" s="20"/>
      <c r="B280" s="35"/>
      <c r="C280" s="46">
        <v>3</v>
      </c>
      <c r="D280" s="20" t="s">
        <v>7</v>
      </c>
      <c r="E280" s="17" t="s">
        <v>221</v>
      </c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s="24" customFormat="1" x14ac:dyDescent="0.2">
      <c r="A281" s="20"/>
      <c r="B281" s="35"/>
      <c r="C281" s="46">
        <f>11.5-4</f>
        <v>7.5</v>
      </c>
      <c r="D281" s="20" t="s">
        <v>7</v>
      </c>
      <c r="E281" s="17" t="s">
        <v>228</v>
      </c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s="24" customFormat="1" x14ac:dyDescent="0.2">
      <c r="A282" s="20"/>
      <c r="B282" s="35"/>
      <c r="C282" s="46">
        <v>4</v>
      </c>
      <c r="D282" s="20" t="s">
        <v>7</v>
      </c>
      <c r="E282" s="17" t="s">
        <v>226</v>
      </c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 s="24" customFormat="1" x14ac:dyDescent="0.2">
      <c r="A283" s="20"/>
      <c r="B283" s="35"/>
      <c r="C283" s="46">
        <v>3</v>
      </c>
      <c r="D283" s="20" t="s">
        <v>7</v>
      </c>
      <c r="E283" s="17" t="s">
        <v>227</v>
      </c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 s="24" customFormat="1" ht="12.75" customHeight="1" x14ac:dyDescent="0.2">
      <c r="A284" s="17"/>
      <c r="B284" s="35"/>
      <c r="C284" s="25">
        <f>(C272*C273*C274)+(C275*C276*C277)+(C278*C279*C280)+(C281*C282*C283)</f>
        <v>321.62125651041663</v>
      </c>
      <c r="D284" s="20" t="s">
        <v>11</v>
      </c>
      <c r="E284" s="17" t="s">
        <v>136</v>
      </c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s="24" customFormat="1" ht="12.75" customHeight="1" x14ac:dyDescent="0.2">
      <c r="A285" s="17"/>
      <c r="B285" s="35"/>
      <c r="C285" s="25"/>
      <c r="D285" s="20"/>
      <c r="E285" s="17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 s="24" customFormat="1" x14ac:dyDescent="0.2">
      <c r="A286" s="20"/>
      <c r="B286" s="35"/>
      <c r="C286" s="51">
        <f>C284+C270+C256+C251+C246+C232+C218+C213</f>
        <v>4114.6467643229171</v>
      </c>
      <c r="D286" s="20" t="s">
        <v>11</v>
      </c>
      <c r="E286" s="17" t="s">
        <v>6</v>
      </c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 s="22" customFormat="1" x14ac:dyDescent="0.2">
      <c r="A287" s="21"/>
      <c r="B287" s="37"/>
      <c r="C287" s="36">
        <f>C286/27</f>
        <v>152.39432460455248</v>
      </c>
      <c r="D287" s="21" t="s">
        <v>10</v>
      </c>
      <c r="E287" s="23" t="s">
        <v>6</v>
      </c>
      <c r="F287" s="21"/>
      <c r="G287" s="21"/>
      <c r="H287" s="21"/>
      <c r="I287" s="21"/>
      <c r="J287" s="21"/>
      <c r="K287" s="21"/>
      <c r="L287" s="21"/>
      <c r="M287" s="21"/>
      <c r="N287" s="21"/>
    </row>
    <row r="288" spans="1:14" s="24" customFormat="1" x14ac:dyDescent="0.2">
      <c r="A288" s="20"/>
      <c r="B288" s="35"/>
      <c r="C288" s="25"/>
      <c r="D288" s="20"/>
      <c r="E288" s="17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s="33" customFormat="1" x14ac:dyDescent="0.2">
      <c r="A289" s="30">
        <f>A30</f>
        <v>511</v>
      </c>
      <c r="B289" s="39">
        <f>B30</f>
        <v>46512</v>
      </c>
      <c r="C289" s="31">
        <f>ROUNDUP(C314,0)</f>
        <v>26</v>
      </c>
      <c r="D289" s="30" t="str">
        <f>D30</f>
        <v>CY</v>
      </c>
      <c r="E289" s="32" t="str">
        <f>E30</f>
        <v>CLASS QC1 CONCRETE WITH QC/QA, FOOTING</v>
      </c>
      <c r="F289" s="30"/>
      <c r="G289" s="30"/>
      <c r="H289" s="30"/>
      <c r="I289" s="30"/>
      <c r="J289" s="30"/>
      <c r="K289" s="30"/>
      <c r="L289" s="30"/>
      <c r="M289" s="30"/>
      <c r="N289" s="30"/>
    </row>
    <row r="290" spans="1:14" s="24" customFormat="1" x14ac:dyDescent="0.2">
      <c r="A290" s="20"/>
      <c r="B290" s="35"/>
      <c r="C290" s="25"/>
      <c r="D290" s="20"/>
      <c r="E290" s="17"/>
      <c r="F290" s="20"/>
      <c r="G290" s="20"/>
      <c r="H290" s="20"/>
      <c r="I290" s="20"/>
      <c r="J290" s="20"/>
      <c r="K290" s="20"/>
      <c r="L290" s="20"/>
      <c r="M290" s="106"/>
      <c r="N290" s="106"/>
    </row>
    <row r="291" spans="1:14" s="24" customFormat="1" x14ac:dyDescent="0.2">
      <c r="A291" s="17" t="s">
        <v>36</v>
      </c>
      <c r="B291" s="35"/>
      <c r="C291" s="25"/>
      <c r="D291" s="20" t="s">
        <v>7</v>
      </c>
      <c r="E291" s="17" t="s">
        <v>26</v>
      </c>
      <c r="F291" s="20"/>
      <c r="G291" s="20"/>
      <c r="H291" s="20"/>
      <c r="I291" s="20"/>
      <c r="J291" s="20"/>
      <c r="K291" s="20"/>
      <c r="L291" s="20"/>
      <c r="M291" s="106"/>
      <c r="N291" s="106"/>
    </row>
    <row r="292" spans="1:14" s="24" customFormat="1" x14ac:dyDescent="0.2">
      <c r="A292" s="17"/>
      <c r="B292" s="35"/>
      <c r="C292" s="25"/>
      <c r="D292" s="20" t="s">
        <v>7</v>
      </c>
      <c r="E292" s="17" t="s">
        <v>27</v>
      </c>
      <c r="F292" s="20"/>
      <c r="G292" s="20"/>
      <c r="H292" s="20"/>
      <c r="I292" s="20"/>
      <c r="J292" s="20"/>
      <c r="K292" s="20"/>
      <c r="L292" s="20"/>
      <c r="M292" s="106"/>
      <c r="N292" s="106"/>
    </row>
    <row r="293" spans="1:14" s="24" customFormat="1" x14ac:dyDescent="0.2">
      <c r="A293" s="17"/>
      <c r="B293" s="35"/>
      <c r="C293" s="25"/>
      <c r="D293" s="20" t="s">
        <v>7</v>
      </c>
      <c r="E293" s="17" t="s">
        <v>28</v>
      </c>
      <c r="F293" s="20"/>
      <c r="G293" s="20"/>
      <c r="H293" s="20"/>
      <c r="I293" s="20"/>
      <c r="J293" s="20"/>
      <c r="K293" s="20"/>
      <c r="L293" s="20"/>
      <c r="M293" s="106"/>
      <c r="N293" s="106"/>
    </row>
    <row r="294" spans="1:14" s="24" customFormat="1" x14ac:dyDescent="0.2">
      <c r="A294" s="17"/>
      <c r="B294" s="35"/>
      <c r="C294" s="25">
        <f>C291*C292*C293</f>
        <v>0</v>
      </c>
      <c r="D294" s="20" t="s">
        <v>11</v>
      </c>
      <c r="E294" s="17" t="s">
        <v>41</v>
      </c>
      <c r="F294" s="20"/>
      <c r="G294" s="20"/>
      <c r="H294" s="20"/>
      <c r="I294" s="20"/>
      <c r="J294" s="20"/>
      <c r="K294" s="20"/>
      <c r="L294" s="20"/>
      <c r="M294" s="106"/>
      <c r="N294" s="106"/>
    </row>
    <row r="295" spans="1:14" s="24" customFormat="1" x14ac:dyDescent="0.2">
      <c r="A295" s="17"/>
      <c r="B295" s="35"/>
      <c r="C295" s="25"/>
      <c r="D295" s="20"/>
      <c r="E295" s="17"/>
      <c r="F295" s="20"/>
      <c r="G295" s="20"/>
      <c r="H295" s="20"/>
      <c r="I295" s="20"/>
      <c r="J295" s="20"/>
      <c r="K295" s="20"/>
      <c r="L295" s="20"/>
      <c r="M295" s="106"/>
      <c r="N295" s="106"/>
    </row>
    <row r="296" spans="1:14" s="24" customFormat="1" x14ac:dyDescent="0.2">
      <c r="A296" s="17"/>
      <c r="B296" s="35"/>
      <c r="C296" s="25"/>
      <c r="D296" s="20"/>
      <c r="E296" s="17"/>
      <c r="F296" s="20"/>
      <c r="G296" s="20"/>
      <c r="H296" s="20"/>
      <c r="I296" s="20"/>
      <c r="J296" s="20"/>
      <c r="K296" s="20"/>
      <c r="L296" s="20"/>
      <c r="M296" s="106"/>
      <c r="N296" s="106"/>
    </row>
    <row r="297" spans="1:14" s="24" customFormat="1" x14ac:dyDescent="0.2">
      <c r="A297" s="17" t="s">
        <v>133</v>
      </c>
      <c r="B297" s="35"/>
      <c r="C297" s="46">
        <v>29</v>
      </c>
      <c r="D297" s="20" t="s">
        <v>7</v>
      </c>
      <c r="E297" s="17" t="s">
        <v>26</v>
      </c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 s="24" customFormat="1" x14ac:dyDescent="0.2">
      <c r="A298" s="17"/>
      <c r="B298" s="35"/>
      <c r="C298" s="46">
        <v>4</v>
      </c>
      <c r="D298" s="20" t="s">
        <v>7</v>
      </c>
      <c r="E298" s="17" t="s">
        <v>27</v>
      </c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s="24" customFormat="1" x14ac:dyDescent="0.2">
      <c r="A299" s="17"/>
      <c r="B299" s="35"/>
      <c r="C299" s="46">
        <v>3</v>
      </c>
      <c r="D299" s="20" t="s">
        <v>7</v>
      </c>
      <c r="E299" s="17" t="s">
        <v>28</v>
      </c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s="24" customFormat="1" x14ac:dyDescent="0.2">
      <c r="A300" s="17"/>
      <c r="B300" s="35"/>
      <c r="C300" s="25">
        <f>C297*C298*C299</f>
        <v>348</v>
      </c>
      <c r="D300" s="20" t="s">
        <v>11</v>
      </c>
      <c r="E300" s="17" t="s">
        <v>41</v>
      </c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s="24" customFormat="1" x14ac:dyDescent="0.2">
      <c r="A301" s="17"/>
      <c r="B301" s="35"/>
      <c r="C301" s="25"/>
      <c r="D301" s="20"/>
      <c r="E301" s="17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s="24" customFormat="1" x14ac:dyDescent="0.2">
      <c r="A302" s="17" t="s">
        <v>134</v>
      </c>
      <c r="B302" s="35"/>
      <c r="C302" s="46">
        <v>29</v>
      </c>
      <c r="D302" s="20" t="s">
        <v>7</v>
      </c>
      <c r="E302" s="17" t="s">
        <v>26</v>
      </c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s="24" customFormat="1" x14ac:dyDescent="0.2">
      <c r="A303" s="17"/>
      <c r="B303" s="35"/>
      <c r="C303" s="46">
        <v>4</v>
      </c>
      <c r="D303" s="20" t="s">
        <v>7</v>
      </c>
      <c r="E303" s="17" t="s">
        <v>27</v>
      </c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s="24" customFormat="1" x14ac:dyDescent="0.2">
      <c r="A304" s="17"/>
      <c r="B304" s="35"/>
      <c r="C304" s="46">
        <v>3</v>
      </c>
      <c r="D304" s="20" t="s">
        <v>7</v>
      </c>
      <c r="E304" s="17" t="s">
        <v>28</v>
      </c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76" s="24" customFormat="1" x14ac:dyDescent="0.2">
      <c r="A305" s="17"/>
      <c r="B305" s="35"/>
      <c r="C305" s="25">
        <f>C302*C303*C304</f>
        <v>348</v>
      </c>
      <c r="D305" s="20" t="s">
        <v>11</v>
      </c>
      <c r="E305" s="17" t="s">
        <v>41</v>
      </c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76" s="24" customFormat="1" x14ac:dyDescent="0.2">
      <c r="A306" s="17"/>
      <c r="B306" s="35"/>
      <c r="C306" s="25"/>
      <c r="D306" s="20"/>
      <c r="E306" s="17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76" s="24" customFormat="1" x14ac:dyDescent="0.2">
      <c r="A307" s="17" t="s">
        <v>37</v>
      </c>
      <c r="B307" s="35"/>
      <c r="C307" s="25"/>
      <c r="D307" s="20" t="s">
        <v>7</v>
      </c>
      <c r="E307" s="17" t="s">
        <v>26</v>
      </c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76" s="24" customFormat="1" x14ac:dyDescent="0.2">
      <c r="A308" s="20"/>
      <c r="B308" s="35"/>
      <c r="C308" s="25"/>
      <c r="D308" s="20" t="s">
        <v>7</v>
      </c>
      <c r="E308" s="17" t="s">
        <v>27</v>
      </c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76" s="24" customFormat="1" x14ac:dyDescent="0.2">
      <c r="A309" s="20"/>
      <c r="B309" s="35"/>
      <c r="C309" s="25"/>
      <c r="D309" s="20" t="s">
        <v>7</v>
      </c>
      <c r="E309" s="17" t="s">
        <v>28</v>
      </c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76" s="24" customFormat="1" x14ac:dyDescent="0.2">
      <c r="A310" s="20"/>
      <c r="B310" s="35"/>
      <c r="C310" s="25">
        <f>C307*C308*C309</f>
        <v>0</v>
      </c>
      <c r="D310" s="20" t="s">
        <v>11</v>
      </c>
      <c r="E310" s="17" t="s">
        <v>41</v>
      </c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76" s="24" customFormat="1" x14ac:dyDescent="0.2">
      <c r="A311" s="20"/>
      <c r="B311" s="35"/>
      <c r="C311" s="25"/>
      <c r="D311" s="20"/>
      <c r="E311" s="17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76" s="24" customFormat="1" x14ac:dyDescent="0.2">
      <c r="A312" s="20"/>
      <c r="B312" s="35"/>
      <c r="C312" s="25"/>
      <c r="D312" s="20"/>
      <c r="E312" s="17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76" s="24" customFormat="1" x14ac:dyDescent="0.2">
      <c r="A313" s="20"/>
      <c r="B313" s="35"/>
      <c r="C313" s="51">
        <f>C294+C300+C305+C310</f>
        <v>696</v>
      </c>
      <c r="D313" s="20" t="s">
        <v>11</v>
      </c>
      <c r="E313" s="17" t="s">
        <v>6</v>
      </c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76" s="22" customFormat="1" x14ac:dyDescent="0.2">
      <c r="A314" s="21"/>
      <c r="B314" s="37"/>
      <c r="C314" s="36">
        <f>C313/27</f>
        <v>25.777777777777779</v>
      </c>
      <c r="D314" s="21" t="s">
        <v>10</v>
      </c>
      <c r="E314" s="23" t="s">
        <v>6</v>
      </c>
      <c r="F314" s="21"/>
      <c r="G314" s="21"/>
      <c r="H314" s="21"/>
      <c r="I314" s="21"/>
      <c r="J314" s="21"/>
      <c r="K314" s="21"/>
      <c r="L314" s="21"/>
      <c r="M314" s="21"/>
      <c r="N314" s="21"/>
    </row>
    <row r="315" spans="1:76" s="22" customFormat="1" x14ac:dyDescent="0.2">
      <c r="A315" s="21"/>
      <c r="B315" s="37"/>
      <c r="C315" s="26"/>
      <c r="D315" s="21"/>
      <c r="E315" s="23"/>
      <c r="F315" s="21"/>
      <c r="G315" s="21"/>
      <c r="H315" s="21"/>
      <c r="I315" s="21"/>
      <c r="J315" s="21"/>
      <c r="K315" s="21"/>
      <c r="L315" s="21"/>
      <c r="M315" s="21"/>
      <c r="N315" s="21"/>
    </row>
    <row r="316" spans="1:76" s="15" customFormat="1" x14ac:dyDescent="0.2">
      <c r="A316" s="30">
        <f>A32</f>
        <v>512</v>
      </c>
      <c r="B316" s="39">
        <f>B32</f>
        <v>10100</v>
      </c>
      <c r="C316" s="31">
        <f>ROUNDUP(C377,0)</f>
        <v>441</v>
      </c>
      <c r="D316" s="30" t="str">
        <f>D32</f>
        <v>SY</v>
      </c>
      <c r="E316" s="119" t="str">
        <f>E32</f>
        <v>SEALING OF CONCRETE SURFACES (EPOXY-URETHANE)</v>
      </c>
      <c r="F316" s="113"/>
      <c r="G316" s="113"/>
      <c r="H316" s="113"/>
      <c r="I316" s="113"/>
      <c r="J316" s="113"/>
      <c r="K316" s="113"/>
      <c r="L316" s="113"/>
      <c r="M316" s="113"/>
      <c r="N316" s="43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1"/>
      <c r="AU316" s="151"/>
      <c r="AV316" s="151"/>
      <c r="AW316" s="151"/>
      <c r="AX316" s="151"/>
      <c r="AY316" s="151"/>
      <c r="AZ316" s="151"/>
      <c r="BA316" s="151"/>
      <c r="BB316" s="151"/>
      <c r="BC316" s="151"/>
      <c r="BD316" s="151"/>
      <c r="BE316" s="151"/>
      <c r="BF316" s="151"/>
      <c r="BG316" s="151"/>
      <c r="BH316" s="151"/>
      <c r="BI316" s="151"/>
      <c r="BJ316" s="151"/>
      <c r="BK316" s="151"/>
      <c r="BL316" s="151"/>
      <c r="BM316" s="151"/>
      <c r="BN316" s="151"/>
      <c r="BO316" s="151"/>
      <c r="BP316" s="151"/>
      <c r="BQ316" s="151"/>
      <c r="BR316" s="151"/>
      <c r="BS316" s="151"/>
      <c r="BT316" s="151"/>
      <c r="BU316" s="151"/>
      <c r="BV316" s="151"/>
      <c r="BW316" s="151"/>
      <c r="BX316" s="151"/>
    </row>
    <row r="317" spans="1:76" s="7" customFormat="1" x14ac:dyDescent="0.2">
      <c r="A317" s="17" t="s">
        <v>58</v>
      </c>
      <c r="B317" s="35"/>
      <c r="C317" s="25">
        <f>C148</f>
        <v>2</v>
      </c>
      <c r="D317" s="20" t="s">
        <v>7</v>
      </c>
      <c r="E317" s="24" t="s">
        <v>64</v>
      </c>
      <c r="F317" s="114"/>
      <c r="G317" s="114"/>
      <c r="H317" s="114"/>
      <c r="I317" s="114"/>
      <c r="J317" s="114"/>
      <c r="K317" s="114"/>
      <c r="L317" s="114"/>
      <c r="M317" s="114"/>
      <c r="N317" s="20"/>
    </row>
    <row r="318" spans="1:76" s="7" customFormat="1" x14ac:dyDescent="0.2">
      <c r="A318" s="17"/>
      <c r="B318" s="35"/>
      <c r="C318" s="25">
        <f>2/12</f>
        <v>0.16666666666666666</v>
      </c>
      <c r="D318" s="20" t="s">
        <v>7</v>
      </c>
      <c r="E318" s="24" t="s">
        <v>120</v>
      </c>
      <c r="F318" s="114"/>
      <c r="G318" s="114"/>
      <c r="H318" s="114"/>
      <c r="I318" s="114"/>
      <c r="J318" s="114"/>
      <c r="K318" s="114"/>
      <c r="L318" s="114"/>
      <c r="M318" s="114"/>
      <c r="N318" s="20"/>
    </row>
    <row r="319" spans="1:76" s="7" customFormat="1" x14ac:dyDescent="0.2">
      <c r="A319" s="20"/>
      <c r="B319" s="35"/>
      <c r="C319" s="25">
        <f>6/12</f>
        <v>0.5</v>
      </c>
      <c r="D319" s="20" t="s">
        <v>7</v>
      </c>
      <c r="E319" s="24" t="s">
        <v>65</v>
      </c>
      <c r="F319" s="114"/>
      <c r="G319" s="114"/>
      <c r="H319" s="114"/>
      <c r="I319" s="114"/>
      <c r="J319" s="114"/>
      <c r="K319" s="114"/>
      <c r="L319" s="114"/>
      <c r="M319" s="114"/>
      <c r="N319" s="20"/>
    </row>
    <row r="320" spans="1:76" s="7" customFormat="1" x14ac:dyDescent="0.2">
      <c r="A320" s="20"/>
      <c r="B320" s="35"/>
      <c r="C320" s="25">
        <v>132.39699999999999</v>
      </c>
      <c r="D320" s="20" t="s">
        <v>7</v>
      </c>
      <c r="E320" s="24" t="s">
        <v>152</v>
      </c>
      <c r="F320" s="114"/>
      <c r="G320" s="114"/>
      <c r="H320" s="114"/>
      <c r="I320" s="114"/>
      <c r="J320" s="114"/>
      <c r="K320" s="114"/>
      <c r="L320" s="114"/>
      <c r="M320" s="114"/>
      <c r="N320" s="20"/>
    </row>
    <row r="321" spans="1:14" s="7" customFormat="1" x14ac:dyDescent="0.2">
      <c r="A321" s="20"/>
      <c r="B321" s="35"/>
      <c r="C321" s="25">
        <v>130.018</v>
      </c>
      <c r="D321" s="20" t="s">
        <v>7</v>
      </c>
      <c r="E321" s="24" t="s">
        <v>153</v>
      </c>
      <c r="F321" s="114"/>
      <c r="G321" s="114"/>
      <c r="H321" s="114"/>
      <c r="I321" s="114"/>
      <c r="J321" s="114"/>
      <c r="K321" s="114"/>
      <c r="L321" s="114"/>
      <c r="M321" s="114"/>
      <c r="N321" s="20"/>
    </row>
    <row r="322" spans="1:14" s="7" customFormat="1" x14ac:dyDescent="0.2">
      <c r="A322" s="20"/>
      <c r="B322" s="35"/>
      <c r="C322" s="25">
        <f>ROUND((C317+C318+C319)*C321,2)*2</f>
        <v>693.42</v>
      </c>
      <c r="D322" s="20" t="s">
        <v>8</v>
      </c>
      <c r="E322" s="24" t="s">
        <v>48</v>
      </c>
      <c r="F322" s="114"/>
      <c r="G322" s="114"/>
      <c r="H322" s="114"/>
      <c r="I322" s="114"/>
      <c r="J322" s="114"/>
      <c r="K322" s="114"/>
      <c r="L322" s="114"/>
      <c r="M322" s="114"/>
      <c r="N322" s="20"/>
    </row>
    <row r="323" spans="1:14" s="7" customFormat="1" x14ac:dyDescent="0.2">
      <c r="A323" s="20"/>
      <c r="B323" s="35"/>
      <c r="C323" s="25"/>
      <c r="D323" s="20"/>
      <c r="E323" s="24"/>
      <c r="F323" s="114"/>
      <c r="G323" s="114"/>
      <c r="H323" s="114"/>
      <c r="I323" s="114"/>
      <c r="J323" s="114"/>
      <c r="K323" s="114"/>
      <c r="L323" s="114"/>
      <c r="M323" s="114"/>
      <c r="N323" s="20"/>
    </row>
    <row r="324" spans="1:14" s="24" customFormat="1" x14ac:dyDescent="0.2">
      <c r="A324" s="17" t="s">
        <v>185</v>
      </c>
      <c r="B324" s="35"/>
      <c r="C324" s="25">
        <f>SQRT((8/12)^2+3.5^2)+10/12+3.5</f>
        <v>7.896259721071992</v>
      </c>
      <c r="D324" s="20" t="s">
        <v>7</v>
      </c>
      <c r="E324" s="24" t="s">
        <v>186</v>
      </c>
      <c r="F324" s="114"/>
      <c r="G324" s="114"/>
      <c r="H324" s="114"/>
      <c r="I324" s="114"/>
      <c r="J324" s="114"/>
      <c r="K324" s="114"/>
      <c r="L324" s="114"/>
      <c r="M324" s="114"/>
      <c r="N324" s="20"/>
    </row>
    <row r="325" spans="1:14" s="24" customFormat="1" x14ac:dyDescent="0.2">
      <c r="A325" s="17"/>
      <c r="B325" s="35"/>
      <c r="C325" s="25">
        <f>C182+C183+14*4</f>
        <v>345.947</v>
      </c>
      <c r="D325" s="20" t="s">
        <v>7</v>
      </c>
      <c r="E325" s="24" t="s">
        <v>187</v>
      </c>
      <c r="F325" s="114"/>
      <c r="G325" s="114"/>
      <c r="H325" s="114"/>
      <c r="I325" s="114"/>
      <c r="J325" s="114"/>
      <c r="K325" s="114"/>
      <c r="L325" s="114"/>
      <c r="M325" s="114"/>
      <c r="N325" s="20"/>
    </row>
    <row r="326" spans="1:14" s="24" customFormat="1" x14ac:dyDescent="0.2">
      <c r="A326" s="17"/>
      <c r="B326" s="35"/>
      <c r="C326" s="25">
        <f>C324*C325</f>
        <v>2731.6873617256924</v>
      </c>
      <c r="D326" s="20" t="s">
        <v>8</v>
      </c>
      <c r="E326" s="24" t="s">
        <v>48</v>
      </c>
      <c r="F326" s="114"/>
      <c r="G326" s="114"/>
      <c r="H326" s="114"/>
      <c r="I326" s="114"/>
      <c r="J326" s="114"/>
      <c r="K326" s="114"/>
      <c r="L326" s="114"/>
      <c r="M326" s="114"/>
      <c r="N326" s="20"/>
    </row>
    <row r="327" spans="1:14" s="24" customFormat="1" x14ac:dyDescent="0.2">
      <c r="A327" s="17"/>
      <c r="B327" s="35"/>
      <c r="C327" s="25"/>
      <c r="D327" s="20"/>
      <c r="F327" s="114"/>
      <c r="G327" s="114"/>
      <c r="H327" s="114"/>
      <c r="I327" s="114"/>
      <c r="J327" s="114"/>
      <c r="K327" s="114"/>
      <c r="L327" s="114"/>
      <c r="M327" s="114"/>
      <c r="N327" s="20"/>
    </row>
    <row r="328" spans="1:14" s="7" customFormat="1" x14ac:dyDescent="0.2">
      <c r="A328" s="115" t="s">
        <v>105</v>
      </c>
      <c r="B328"/>
      <c r="C328" s="116">
        <f>629-2.17-618</f>
        <v>8.8300000000000409</v>
      </c>
      <c r="D328" s="20" t="s">
        <v>7</v>
      </c>
      <c r="E328" s="24" t="s">
        <v>107</v>
      </c>
      <c r="F328" s="114"/>
      <c r="G328" s="114"/>
      <c r="H328" s="114"/>
      <c r="I328" s="114"/>
      <c r="J328" s="114"/>
      <c r="K328" s="114"/>
      <c r="L328" s="114"/>
      <c r="M328" s="114"/>
      <c r="N328" s="20"/>
    </row>
    <row r="329" spans="1:14" s="7" customFormat="1" x14ac:dyDescent="0.2">
      <c r="A329" s="115" t="s">
        <v>154</v>
      </c>
      <c r="B329"/>
      <c r="C329" s="116">
        <f>630.5-2.17-618</f>
        <v>10.330000000000041</v>
      </c>
      <c r="D329" s="20" t="s">
        <v>7</v>
      </c>
      <c r="E329" s="24" t="s">
        <v>106</v>
      </c>
      <c r="F329" s="114"/>
      <c r="G329" s="114"/>
      <c r="H329" s="114"/>
      <c r="I329" s="114"/>
      <c r="J329" s="114"/>
      <c r="K329" s="114"/>
      <c r="L329" s="114"/>
      <c r="M329" s="114"/>
      <c r="N329" s="20"/>
    </row>
    <row r="330" spans="1:14" s="7" customFormat="1" x14ac:dyDescent="0.2">
      <c r="A330"/>
      <c r="B330"/>
      <c r="C330" s="116">
        <v>28</v>
      </c>
      <c r="D330" s="20" t="s">
        <v>7</v>
      </c>
      <c r="E330" s="24" t="s">
        <v>88</v>
      </c>
      <c r="F330" s="114"/>
      <c r="G330" s="114"/>
      <c r="H330" s="114"/>
      <c r="I330" s="114"/>
      <c r="J330" s="114"/>
      <c r="K330" s="114"/>
      <c r="L330" s="114"/>
      <c r="M330" s="114"/>
      <c r="N330" s="20"/>
    </row>
    <row r="331" spans="1:14" s="7" customFormat="1" x14ac:dyDescent="0.2">
      <c r="A331"/>
      <c r="B331"/>
      <c r="C331" s="116">
        <f>0.5*(C328+C329)*C330</f>
        <v>268.24000000000115</v>
      </c>
      <c r="D331" s="20" t="s">
        <v>8</v>
      </c>
      <c r="E331" s="24" t="s">
        <v>155</v>
      </c>
      <c r="F331" s="114"/>
      <c r="G331" s="114"/>
      <c r="H331" s="114"/>
      <c r="I331" s="114"/>
      <c r="J331" s="114"/>
      <c r="K331" s="114"/>
      <c r="L331" s="114"/>
      <c r="M331" s="114"/>
      <c r="N331" s="20"/>
    </row>
    <row r="332" spans="1:14" s="7" customFormat="1" x14ac:dyDescent="0.2">
      <c r="A332"/>
      <c r="B332"/>
      <c r="C332"/>
      <c r="D332"/>
      <c r="E332"/>
      <c r="F332" s="114"/>
      <c r="G332" s="114"/>
      <c r="H332" s="114"/>
      <c r="I332" s="114"/>
      <c r="J332" s="114"/>
      <c r="K332" s="114"/>
      <c r="L332" s="114"/>
      <c r="M332" s="114"/>
      <c r="N332" s="20"/>
    </row>
    <row r="333" spans="1:14" s="7" customFormat="1" x14ac:dyDescent="0.2">
      <c r="A333" s="115" t="s">
        <v>156</v>
      </c>
      <c r="B333"/>
      <c r="C333"/>
      <c r="D333" s="20" t="s">
        <v>7</v>
      </c>
      <c r="E333" s="24" t="s">
        <v>107</v>
      </c>
      <c r="F333" s="114"/>
      <c r="G333" s="114"/>
      <c r="H333" s="114"/>
      <c r="I333" s="114"/>
      <c r="J333" s="114"/>
      <c r="K333" s="114"/>
      <c r="L333" s="114"/>
      <c r="M333" s="114"/>
      <c r="N333" s="20"/>
    </row>
    <row r="334" spans="1:14" s="7" customFormat="1" x14ac:dyDescent="0.2">
      <c r="A334" s="115"/>
      <c r="B334"/>
      <c r="C334"/>
      <c r="D334" s="20" t="s">
        <v>7</v>
      </c>
      <c r="E334" s="24" t="s">
        <v>106</v>
      </c>
      <c r="F334" s="114"/>
      <c r="G334" s="114"/>
      <c r="H334" s="114"/>
      <c r="I334" s="114"/>
      <c r="J334" s="114"/>
      <c r="K334" s="114"/>
      <c r="L334" s="114"/>
      <c r="M334" s="114"/>
      <c r="N334" s="20"/>
    </row>
    <row r="335" spans="1:14" s="7" customFormat="1" x14ac:dyDescent="0.2">
      <c r="A335"/>
      <c r="B335"/>
      <c r="C335"/>
      <c r="D335" s="20" t="s">
        <v>7</v>
      </c>
      <c r="E335" s="24" t="s">
        <v>88</v>
      </c>
      <c r="F335" s="114"/>
      <c r="G335" s="114"/>
      <c r="H335" s="114"/>
      <c r="I335" s="114"/>
      <c r="J335" s="114"/>
      <c r="K335" s="114"/>
      <c r="L335" s="114"/>
      <c r="M335" s="114"/>
      <c r="N335" s="20"/>
    </row>
    <row r="336" spans="1:14" s="7" customFormat="1" x14ac:dyDescent="0.2">
      <c r="A336"/>
      <c r="B336"/>
      <c r="C336"/>
      <c r="D336" s="117" t="s">
        <v>7</v>
      </c>
      <c r="E336" s="24" t="s">
        <v>151</v>
      </c>
      <c r="F336" s="114"/>
      <c r="G336" s="114"/>
      <c r="H336" s="114"/>
      <c r="I336" s="114"/>
      <c r="J336" s="114"/>
      <c r="K336" s="114"/>
      <c r="L336" s="114"/>
      <c r="M336" s="114"/>
      <c r="N336" s="20"/>
    </row>
    <row r="337" spans="1:14" s="7" customFormat="1" x14ac:dyDescent="0.2">
      <c r="A337"/>
      <c r="B337"/>
      <c r="C337">
        <f>(C333+C334+C335)*C336+0.5*(C333+C334)*C335</f>
        <v>0</v>
      </c>
      <c r="D337" s="20" t="s">
        <v>8</v>
      </c>
      <c r="E337" s="24" t="s">
        <v>155</v>
      </c>
      <c r="F337" s="114"/>
      <c r="G337" s="114"/>
      <c r="H337" s="114"/>
      <c r="I337" s="114"/>
      <c r="J337" s="114"/>
      <c r="K337" s="114"/>
      <c r="L337" s="114"/>
      <c r="M337" s="114"/>
      <c r="N337" s="20"/>
    </row>
    <row r="338" spans="1:14" s="7" customFormat="1" x14ac:dyDescent="0.2">
      <c r="A338"/>
      <c r="B338"/>
      <c r="C338"/>
      <c r="D338"/>
      <c r="E338"/>
      <c r="F338" s="114"/>
      <c r="G338" s="114"/>
      <c r="H338" s="114"/>
      <c r="I338" s="114"/>
      <c r="J338" s="114"/>
      <c r="K338" s="114"/>
      <c r="L338" s="114"/>
      <c r="M338" s="114"/>
      <c r="N338" s="20"/>
    </row>
    <row r="339" spans="1:14" s="7" customFormat="1" x14ac:dyDescent="0.2">
      <c r="A339" s="115" t="s">
        <v>157</v>
      </c>
      <c r="B339"/>
      <c r="C339"/>
      <c r="D339" s="20" t="s">
        <v>7</v>
      </c>
      <c r="E339" s="24" t="s">
        <v>107</v>
      </c>
      <c r="F339" s="114"/>
      <c r="G339" s="114"/>
      <c r="H339" s="114"/>
      <c r="I339" s="114"/>
      <c r="J339" s="114"/>
      <c r="K339" s="114"/>
      <c r="L339" s="114"/>
      <c r="M339" s="114"/>
      <c r="N339" s="20"/>
    </row>
    <row r="340" spans="1:14" s="7" customFormat="1" x14ac:dyDescent="0.2">
      <c r="A340" s="115"/>
      <c r="B340"/>
      <c r="C340"/>
      <c r="D340" s="20" t="s">
        <v>7</v>
      </c>
      <c r="E340" s="24" t="s">
        <v>106</v>
      </c>
      <c r="F340" s="114"/>
      <c r="G340" s="114"/>
      <c r="H340" s="114"/>
      <c r="I340" s="114"/>
      <c r="J340" s="114"/>
      <c r="K340" s="114"/>
      <c r="L340" s="114"/>
      <c r="M340" s="114"/>
      <c r="N340" s="20"/>
    </row>
    <row r="341" spans="1:14" s="7" customFormat="1" x14ac:dyDescent="0.2">
      <c r="A341"/>
      <c r="B341"/>
      <c r="C341"/>
      <c r="D341" s="20" t="s">
        <v>7</v>
      </c>
      <c r="E341" s="24" t="s">
        <v>88</v>
      </c>
      <c r="F341" s="114"/>
      <c r="G341" s="114"/>
      <c r="H341" s="114"/>
      <c r="I341" s="114"/>
      <c r="J341" s="114"/>
      <c r="K341" s="114"/>
      <c r="L341" s="114"/>
      <c r="M341" s="114"/>
      <c r="N341" s="20"/>
    </row>
    <row r="342" spans="1:14" s="7" customFormat="1" x14ac:dyDescent="0.2">
      <c r="A342"/>
      <c r="B342"/>
      <c r="C342"/>
      <c r="D342" s="117" t="s">
        <v>7</v>
      </c>
      <c r="E342" s="24" t="s">
        <v>151</v>
      </c>
      <c r="F342" s="114"/>
      <c r="G342" s="114"/>
      <c r="H342" s="114"/>
      <c r="I342" s="114"/>
      <c r="J342" s="114"/>
      <c r="K342" s="114"/>
      <c r="L342" s="114"/>
      <c r="M342" s="114"/>
      <c r="N342" s="20"/>
    </row>
    <row r="343" spans="1:14" s="7" customFormat="1" x14ac:dyDescent="0.2">
      <c r="A343"/>
      <c r="B343"/>
      <c r="C343">
        <f>(C339+C340+C341)*C342+0.5*(C339+C340)*C341</f>
        <v>0</v>
      </c>
      <c r="D343" s="20" t="s">
        <v>8</v>
      </c>
      <c r="E343" s="24" t="s">
        <v>155</v>
      </c>
      <c r="F343" s="114"/>
      <c r="G343" s="114"/>
      <c r="H343" s="114"/>
      <c r="I343" s="114"/>
      <c r="J343" s="114"/>
      <c r="K343" s="114"/>
      <c r="L343" s="114"/>
      <c r="M343" s="114"/>
      <c r="N343" s="20"/>
    </row>
    <row r="344" spans="1:14" s="7" customFormat="1" x14ac:dyDescent="0.2">
      <c r="A344"/>
      <c r="B344"/>
      <c r="C344"/>
      <c r="D344"/>
      <c r="E344"/>
      <c r="F344" s="114"/>
      <c r="G344" s="114"/>
      <c r="H344" s="114"/>
      <c r="I344" s="114"/>
      <c r="J344" s="114"/>
      <c r="K344" s="114"/>
      <c r="L344" s="114"/>
      <c r="M344" s="114"/>
      <c r="N344" s="20"/>
    </row>
    <row r="345" spans="1:14" s="7" customFormat="1" x14ac:dyDescent="0.2">
      <c r="A345" s="115" t="s">
        <v>138</v>
      </c>
      <c r="B345"/>
      <c r="C345"/>
      <c r="D345" s="20" t="s">
        <v>7</v>
      </c>
      <c r="E345" s="24" t="s">
        <v>107</v>
      </c>
      <c r="F345" s="114"/>
      <c r="G345" s="114"/>
      <c r="H345" s="114"/>
      <c r="I345" s="114"/>
      <c r="J345" s="114"/>
      <c r="K345" s="114"/>
      <c r="L345" s="114"/>
      <c r="M345" s="114"/>
      <c r="N345" s="20"/>
    </row>
    <row r="346" spans="1:14" s="7" customFormat="1" x14ac:dyDescent="0.2">
      <c r="A346"/>
      <c r="B346"/>
      <c r="C346"/>
      <c r="D346" s="20" t="s">
        <v>7</v>
      </c>
      <c r="E346" s="24" t="s">
        <v>106</v>
      </c>
      <c r="F346" s="114"/>
      <c r="G346" s="114"/>
      <c r="H346" s="114"/>
      <c r="I346" s="114"/>
      <c r="J346" s="114"/>
      <c r="K346" s="114"/>
      <c r="L346" s="114"/>
      <c r="M346" s="114"/>
      <c r="N346" s="20"/>
    </row>
    <row r="347" spans="1:14" s="7" customFormat="1" x14ac:dyDescent="0.2">
      <c r="A347"/>
      <c r="B347"/>
      <c r="C347"/>
      <c r="D347" s="20" t="s">
        <v>7</v>
      </c>
      <c r="E347" s="24" t="s">
        <v>159</v>
      </c>
      <c r="F347" s="114"/>
      <c r="G347" s="114"/>
      <c r="H347" s="114"/>
      <c r="I347" s="114"/>
      <c r="J347" s="114"/>
      <c r="K347" s="114"/>
      <c r="L347" s="114"/>
      <c r="M347" s="114"/>
      <c r="N347" s="20"/>
    </row>
    <row r="348" spans="1:14" s="7" customFormat="1" x14ac:dyDescent="0.2">
      <c r="A348"/>
      <c r="B348"/>
      <c r="C348"/>
      <c r="D348" s="20" t="s">
        <v>7</v>
      </c>
      <c r="E348" s="24" t="s">
        <v>160</v>
      </c>
      <c r="F348" s="114"/>
      <c r="G348" s="114"/>
      <c r="H348" s="114"/>
      <c r="I348" s="114"/>
      <c r="J348" s="114"/>
      <c r="K348" s="114"/>
      <c r="L348" s="114"/>
      <c r="M348" s="114"/>
      <c r="N348" s="20"/>
    </row>
    <row r="349" spans="1:14" s="7" customFormat="1" x14ac:dyDescent="0.2">
      <c r="A349"/>
      <c r="B349"/>
      <c r="C349"/>
      <c r="D349" s="20" t="s">
        <v>7</v>
      </c>
      <c r="E349" s="24" t="s">
        <v>161</v>
      </c>
      <c r="F349" s="114"/>
      <c r="G349" s="114"/>
      <c r="H349" s="114"/>
      <c r="I349" s="114"/>
      <c r="J349" s="114"/>
      <c r="K349" s="114"/>
      <c r="L349" s="114"/>
      <c r="M349" s="114"/>
      <c r="N349" s="20"/>
    </row>
    <row r="350" spans="1:14" s="7" customFormat="1" x14ac:dyDescent="0.2">
      <c r="A350"/>
      <c r="B350"/>
      <c r="C350">
        <f>C349*0.5*(C345+C346)</f>
        <v>0</v>
      </c>
      <c r="D350" s="20" t="s">
        <v>8</v>
      </c>
      <c r="E350" s="24" t="s">
        <v>162</v>
      </c>
      <c r="F350" s="114"/>
      <c r="G350" s="114"/>
      <c r="H350" s="114"/>
      <c r="I350" s="114"/>
      <c r="J350" s="114"/>
      <c r="K350" s="114"/>
      <c r="L350" s="114"/>
      <c r="M350" s="114"/>
      <c r="N350" s="20"/>
    </row>
    <row r="351" spans="1:14" s="7" customFormat="1" x14ac:dyDescent="0.2">
      <c r="A351"/>
      <c r="B351"/>
      <c r="C351"/>
      <c r="D351"/>
      <c r="E351"/>
      <c r="F351" s="114"/>
      <c r="G351" s="114"/>
      <c r="H351" s="114"/>
      <c r="I351" s="114"/>
      <c r="J351" s="114"/>
      <c r="K351" s="114"/>
      <c r="L351" s="114"/>
      <c r="M351" s="114"/>
      <c r="N351" s="20"/>
    </row>
    <row r="352" spans="1:14" s="7" customFormat="1" x14ac:dyDescent="0.2">
      <c r="A352" s="115" t="s">
        <v>139</v>
      </c>
      <c r="B352"/>
      <c r="C352"/>
      <c r="D352" s="20" t="s">
        <v>7</v>
      </c>
      <c r="E352" s="24" t="s">
        <v>107</v>
      </c>
      <c r="F352" s="114"/>
      <c r="G352" s="114"/>
      <c r="H352" s="114"/>
      <c r="I352" s="114"/>
      <c r="J352" s="114"/>
      <c r="K352" s="114"/>
      <c r="L352" s="114"/>
      <c r="M352" s="114"/>
      <c r="N352" s="20"/>
    </row>
    <row r="353" spans="1:14" s="7" customFormat="1" x14ac:dyDescent="0.2">
      <c r="A353"/>
      <c r="B353"/>
      <c r="C353"/>
      <c r="D353" s="20" t="s">
        <v>7</v>
      </c>
      <c r="E353" s="24" t="s">
        <v>106</v>
      </c>
      <c r="F353" s="114"/>
      <c r="G353" s="114"/>
      <c r="H353" s="114"/>
      <c r="I353" s="114"/>
      <c r="J353" s="114"/>
      <c r="K353" s="114"/>
      <c r="L353" s="114"/>
      <c r="M353" s="114"/>
      <c r="N353" s="20"/>
    </row>
    <row r="354" spans="1:14" s="7" customFormat="1" x14ac:dyDescent="0.2">
      <c r="A354"/>
      <c r="B354"/>
      <c r="C354"/>
      <c r="D354" s="20" t="s">
        <v>7</v>
      </c>
      <c r="E354" s="24" t="s">
        <v>159</v>
      </c>
      <c r="F354" s="114"/>
      <c r="G354" s="114"/>
      <c r="H354" s="114"/>
      <c r="I354" s="114"/>
      <c r="J354" s="114"/>
      <c r="K354" s="114"/>
      <c r="L354" s="114"/>
      <c r="M354" s="114"/>
      <c r="N354" s="20"/>
    </row>
    <row r="355" spans="1:14" s="7" customFormat="1" x14ac:dyDescent="0.2">
      <c r="A355"/>
      <c r="B355"/>
      <c r="C355"/>
      <c r="D355" s="20" t="s">
        <v>7</v>
      </c>
      <c r="E355" s="24" t="s">
        <v>160</v>
      </c>
      <c r="F355" s="114"/>
      <c r="G355" s="114"/>
      <c r="H355" s="114"/>
      <c r="I355" s="114"/>
      <c r="J355" s="114"/>
      <c r="K355" s="114"/>
      <c r="L355" s="114"/>
      <c r="M355" s="114"/>
      <c r="N355" s="20"/>
    </row>
    <row r="356" spans="1:14" s="7" customFormat="1" x14ac:dyDescent="0.2">
      <c r="A356"/>
      <c r="B356"/>
      <c r="C356"/>
      <c r="D356" s="20" t="s">
        <v>7</v>
      </c>
      <c r="E356" s="24" t="s">
        <v>161</v>
      </c>
      <c r="F356" s="114"/>
      <c r="G356" s="114"/>
      <c r="H356" s="114"/>
      <c r="I356" s="114"/>
      <c r="J356" s="114"/>
      <c r="K356" s="114"/>
      <c r="L356" s="114"/>
      <c r="M356" s="114"/>
      <c r="N356" s="20"/>
    </row>
    <row r="357" spans="1:14" s="7" customFormat="1" x14ac:dyDescent="0.2">
      <c r="A357"/>
      <c r="B357"/>
      <c r="C357">
        <f>C356*0.5*(C352+C353)</f>
        <v>0</v>
      </c>
      <c r="D357" s="20" t="s">
        <v>8</v>
      </c>
      <c r="E357" s="24" t="s">
        <v>162</v>
      </c>
      <c r="F357" s="114"/>
      <c r="G357" s="114"/>
      <c r="H357" s="114"/>
      <c r="I357" s="114"/>
      <c r="J357" s="114"/>
      <c r="K357" s="114"/>
      <c r="L357" s="114"/>
      <c r="M357" s="114"/>
      <c r="N357" s="20"/>
    </row>
    <row r="358" spans="1:14" s="7" customFormat="1" x14ac:dyDescent="0.2">
      <c r="F358" s="114"/>
      <c r="G358" s="114"/>
      <c r="H358" s="114"/>
      <c r="I358" s="114"/>
      <c r="J358" s="114"/>
      <c r="K358" s="114"/>
      <c r="L358" s="114"/>
      <c r="M358" s="114"/>
      <c r="N358" s="20"/>
    </row>
    <row r="359" spans="1:14" s="7" customFormat="1" x14ac:dyDescent="0.2">
      <c r="A359" s="115" t="s">
        <v>158</v>
      </c>
      <c r="B359"/>
      <c r="C359" s="116">
        <f>628.75-2-619</f>
        <v>7.75</v>
      </c>
      <c r="D359" s="20" t="s">
        <v>7</v>
      </c>
      <c r="E359" s="24" t="s">
        <v>107</v>
      </c>
      <c r="F359" s="114"/>
      <c r="G359" s="114"/>
      <c r="H359" s="114"/>
      <c r="I359" s="114"/>
      <c r="J359" s="114"/>
      <c r="K359" s="114"/>
      <c r="L359" s="114"/>
      <c r="M359" s="114"/>
      <c r="N359" s="20"/>
    </row>
    <row r="360" spans="1:14" s="7" customFormat="1" x14ac:dyDescent="0.2">
      <c r="A360" s="115" t="s">
        <v>154</v>
      </c>
      <c r="B360"/>
      <c r="C360" s="116">
        <f>630.25-2-619</f>
        <v>9.25</v>
      </c>
      <c r="D360" s="20" t="s">
        <v>7</v>
      </c>
      <c r="E360" s="24" t="s">
        <v>106</v>
      </c>
      <c r="F360" s="114"/>
      <c r="G360" s="114"/>
      <c r="H360" s="114"/>
      <c r="I360" s="114"/>
      <c r="J360" s="114"/>
      <c r="K360" s="114"/>
      <c r="L360" s="114"/>
      <c r="M360" s="114"/>
      <c r="N360" s="20"/>
    </row>
    <row r="361" spans="1:14" s="7" customFormat="1" x14ac:dyDescent="0.2">
      <c r="A361"/>
      <c r="B361"/>
      <c r="C361" s="116">
        <f>32</f>
        <v>32</v>
      </c>
      <c r="D361" s="20" t="s">
        <v>7</v>
      </c>
      <c r="E361" s="24" t="s">
        <v>88</v>
      </c>
      <c r="F361" s="114"/>
      <c r="G361" s="114"/>
      <c r="H361" s="114"/>
      <c r="I361" s="114"/>
      <c r="J361" s="114"/>
      <c r="K361" s="114"/>
      <c r="L361" s="114"/>
      <c r="M361" s="114"/>
      <c r="N361" s="20"/>
    </row>
    <row r="362" spans="1:14" s="7" customFormat="1" x14ac:dyDescent="0.2">
      <c r="A362"/>
      <c r="B362"/>
      <c r="C362" s="116">
        <f>0.5*(C359+C360)*C361</f>
        <v>272</v>
      </c>
      <c r="D362" s="20" t="s">
        <v>8</v>
      </c>
      <c r="E362" s="24" t="s">
        <v>155</v>
      </c>
      <c r="F362" s="114"/>
      <c r="G362" s="114"/>
      <c r="H362" s="114"/>
      <c r="I362" s="114"/>
      <c r="J362" s="114"/>
      <c r="K362" s="114"/>
      <c r="L362" s="114"/>
      <c r="M362" s="114"/>
      <c r="N362" s="20"/>
    </row>
    <row r="363" spans="1:14" s="7" customFormat="1" x14ac:dyDescent="0.2">
      <c r="A363"/>
      <c r="B363"/>
      <c r="C363"/>
      <c r="D363"/>
      <c r="E363"/>
      <c r="F363" s="114"/>
      <c r="G363" s="114"/>
      <c r="H363" s="114"/>
      <c r="I363" s="114"/>
      <c r="J363" s="114"/>
      <c r="K363" s="114"/>
      <c r="L363" s="114"/>
      <c r="M363" s="114"/>
      <c r="N363" s="20"/>
    </row>
    <row r="364" spans="1:14" s="7" customFormat="1" x14ac:dyDescent="0.2">
      <c r="A364" s="115" t="s">
        <v>156</v>
      </c>
      <c r="B364"/>
      <c r="C364"/>
      <c r="D364" s="20" t="s">
        <v>7</v>
      </c>
      <c r="E364" s="24" t="s">
        <v>107</v>
      </c>
      <c r="F364" s="114"/>
      <c r="G364" s="114"/>
      <c r="H364" s="114"/>
      <c r="I364" s="114"/>
      <c r="J364" s="114"/>
      <c r="K364" s="114"/>
      <c r="L364" s="114"/>
      <c r="M364" s="114"/>
      <c r="N364" s="20"/>
    </row>
    <row r="365" spans="1:14" s="7" customFormat="1" x14ac:dyDescent="0.2">
      <c r="A365" s="115"/>
      <c r="B365"/>
      <c r="C365"/>
      <c r="D365" s="20" t="s">
        <v>7</v>
      </c>
      <c r="E365" s="24" t="s">
        <v>106</v>
      </c>
      <c r="F365" s="114"/>
      <c r="G365" s="114"/>
      <c r="H365" s="114"/>
      <c r="I365" s="114"/>
      <c r="J365" s="114"/>
      <c r="K365" s="114"/>
      <c r="L365" s="114"/>
      <c r="M365" s="114"/>
      <c r="N365" s="20"/>
    </row>
    <row r="366" spans="1:14" s="7" customFormat="1" x14ac:dyDescent="0.2">
      <c r="A366"/>
      <c r="B366"/>
      <c r="C366"/>
      <c r="D366" s="20" t="s">
        <v>7</v>
      </c>
      <c r="E366" s="24" t="s">
        <v>88</v>
      </c>
      <c r="F366" s="114"/>
      <c r="G366" s="114"/>
      <c r="H366" s="114"/>
      <c r="I366" s="114"/>
      <c r="J366" s="114"/>
      <c r="K366" s="114"/>
      <c r="L366" s="114"/>
      <c r="M366" s="114"/>
      <c r="N366" s="20"/>
    </row>
    <row r="367" spans="1:14" s="7" customFormat="1" x14ac:dyDescent="0.2">
      <c r="A367"/>
      <c r="B367"/>
      <c r="C367"/>
      <c r="D367" s="117" t="s">
        <v>7</v>
      </c>
      <c r="E367" s="24" t="s">
        <v>151</v>
      </c>
      <c r="F367" s="114"/>
      <c r="G367" s="114"/>
      <c r="H367" s="114"/>
      <c r="I367" s="114"/>
      <c r="J367" s="114"/>
      <c r="K367" s="114"/>
      <c r="L367" s="114"/>
      <c r="M367" s="114"/>
      <c r="N367" s="20"/>
    </row>
    <row r="368" spans="1:14" s="7" customFormat="1" x14ac:dyDescent="0.2">
      <c r="A368"/>
      <c r="B368"/>
      <c r="C368">
        <f>(C364+C365+C366)*C367+0.5*(C364+C365)*C366</f>
        <v>0</v>
      </c>
      <c r="D368" s="20" t="s">
        <v>8</v>
      </c>
      <c r="E368" s="24" t="s">
        <v>155</v>
      </c>
      <c r="F368" s="114"/>
      <c r="G368" s="114"/>
      <c r="H368" s="114"/>
      <c r="I368" s="114"/>
      <c r="J368" s="114"/>
      <c r="K368" s="114"/>
      <c r="L368" s="114"/>
      <c r="M368" s="114"/>
      <c r="N368" s="20"/>
    </row>
    <row r="369" spans="1:76" s="7" customFormat="1" x14ac:dyDescent="0.2">
      <c r="A369"/>
      <c r="B369"/>
      <c r="C369"/>
      <c r="D369"/>
      <c r="E369"/>
      <c r="F369" s="114"/>
      <c r="G369" s="114"/>
      <c r="H369" s="114"/>
      <c r="I369" s="114"/>
      <c r="J369" s="114"/>
      <c r="K369" s="114"/>
      <c r="L369" s="114"/>
      <c r="M369" s="114"/>
      <c r="N369" s="20"/>
    </row>
    <row r="370" spans="1:76" s="7" customFormat="1" x14ac:dyDescent="0.2">
      <c r="A370" s="115" t="s">
        <v>157</v>
      </c>
      <c r="B370"/>
      <c r="C370"/>
      <c r="D370" s="20" t="s">
        <v>7</v>
      </c>
      <c r="E370" s="24" t="s">
        <v>107</v>
      </c>
      <c r="F370" s="114"/>
      <c r="G370" s="114"/>
      <c r="H370" s="114"/>
      <c r="I370" s="114"/>
      <c r="J370" s="114"/>
      <c r="K370" s="114"/>
      <c r="L370" s="114"/>
      <c r="M370" s="114"/>
      <c r="N370" s="20"/>
    </row>
    <row r="371" spans="1:76" s="7" customFormat="1" x14ac:dyDescent="0.2">
      <c r="A371" s="115"/>
      <c r="B371"/>
      <c r="C371"/>
      <c r="D371" s="20" t="s">
        <v>7</v>
      </c>
      <c r="E371" s="24" t="s">
        <v>106</v>
      </c>
      <c r="F371" s="114"/>
      <c r="G371" s="114"/>
      <c r="H371" s="114"/>
      <c r="I371" s="114"/>
      <c r="J371" s="114"/>
      <c r="K371" s="114"/>
      <c r="L371" s="114"/>
      <c r="M371" s="114"/>
      <c r="N371" s="20"/>
    </row>
    <row r="372" spans="1:76" s="7" customFormat="1" x14ac:dyDescent="0.2">
      <c r="A372"/>
      <c r="B372"/>
      <c r="C372"/>
      <c r="D372" s="20" t="s">
        <v>7</v>
      </c>
      <c r="E372" s="24" t="s">
        <v>88</v>
      </c>
      <c r="F372" s="114"/>
      <c r="G372" s="114"/>
      <c r="H372" s="114"/>
      <c r="I372" s="114"/>
      <c r="J372" s="114"/>
      <c r="K372" s="114"/>
      <c r="L372" s="114"/>
      <c r="M372" s="114"/>
      <c r="N372" s="20"/>
    </row>
    <row r="373" spans="1:76" s="7" customFormat="1" x14ac:dyDescent="0.2">
      <c r="A373"/>
      <c r="B373"/>
      <c r="C373"/>
      <c r="D373" s="117" t="s">
        <v>7</v>
      </c>
      <c r="E373" s="24" t="s">
        <v>151</v>
      </c>
    </row>
    <row r="374" spans="1:76" s="7" customFormat="1" x14ac:dyDescent="0.2">
      <c r="A374"/>
      <c r="B374"/>
      <c r="C374">
        <f>(C370+C371+C372)*C373+0.5*(C370+C371)*C372</f>
        <v>0</v>
      </c>
      <c r="D374" s="20" t="s">
        <v>8</v>
      </c>
      <c r="E374" s="24" t="s">
        <v>155</v>
      </c>
    </row>
    <row r="375" spans="1:76" s="7" customFormat="1" x14ac:dyDescent="0.2">
      <c r="A375"/>
      <c r="B375"/>
      <c r="C375"/>
      <c r="D375"/>
      <c r="E375"/>
    </row>
    <row r="376" spans="1:76" x14ac:dyDescent="0.2">
      <c r="A376" s="24"/>
      <c r="B376" s="24"/>
      <c r="C376" s="51">
        <f>+C374+C368+C331+C322+C326+C362+C357+C350+C343+C337</f>
        <v>3965.3473617256936</v>
      </c>
      <c r="D376" s="20" t="s">
        <v>8</v>
      </c>
      <c r="E376" s="24" t="s">
        <v>49</v>
      </c>
      <c r="F376" s="24"/>
      <c r="G376" s="24"/>
      <c r="H376" s="24"/>
      <c r="I376" s="24"/>
      <c r="J376" s="24"/>
      <c r="K376" s="24"/>
      <c r="L376" s="24"/>
      <c r="M376" s="24"/>
      <c r="N376" s="24"/>
    </row>
    <row r="377" spans="1:76" s="16" customFormat="1" x14ac:dyDescent="0.2">
      <c r="A377" s="22"/>
      <c r="B377" s="22"/>
      <c r="C377" s="36">
        <f>C376/9</f>
        <v>440.59415130285487</v>
      </c>
      <c r="D377" s="21" t="s">
        <v>9</v>
      </c>
      <c r="E377" s="22" t="s">
        <v>49</v>
      </c>
      <c r="F377" s="22"/>
      <c r="G377" s="22"/>
      <c r="H377" s="22"/>
      <c r="I377" s="22"/>
      <c r="J377" s="22"/>
      <c r="K377" s="22"/>
      <c r="L377" s="22"/>
      <c r="M377" s="22"/>
      <c r="N377" s="22"/>
    </row>
    <row r="378" spans="1:76" s="24" customFormat="1" x14ac:dyDescent="0.2"/>
    <row r="379" spans="1:76" s="97" customFormat="1" x14ac:dyDescent="0.2">
      <c r="A379" s="30">
        <f>A34</f>
        <v>516</v>
      </c>
      <c r="B379" s="39">
        <f>B34</f>
        <v>10010</v>
      </c>
      <c r="C379" s="31">
        <f>ROUNDUP(C384,0)</f>
        <v>50</v>
      </c>
      <c r="D379" s="30" t="str">
        <f>D34</f>
        <v>FT</v>
      </c>
      <c r="E379" s="32" t="str">
        <f>E34</f>
        <v>ARMORLESS PREFORMED JOINT SEAL</v>
      </c>
      <c r="F379" s="34"/>
      <c r="G379" s="34"/>
      <c r="H379" s="34"/>
      <c r="I379" s="34"/>
      <c r="J379" s="34"/>
      <c r="K379" s="34"/>
      <c r="L379" s="34"/>
      <c r="M379" s="43"/>
      <c r="N379" s="103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  <c r="AA379" s="152"/>
      <c r="AB379" s="152"/>
      <c r="AC379" s="152"/>
      <c r="AD379" s="152"/>
      <c r="AE379" s="152"/>
      <c r="AF379" s="152"/>
      <c r="AG379" s="152"/>
      <c r="AH379" s="152"/>
      <c r="AI379" s="152"/>
      <c r="AJ379" s="152"/>
      <c r="AK379" s="152"/>
      <c r="AL379" s="152"/>
      <c r="AM379" s="152"/>
      <c r="AN379" s="152"/>
      <c r="AO379" s="152"/>
      <c r="AP379" s="152"/>
      <c r="AQ379" s="152"/>
      <c r="AR379" s="152"/>
      <c r="AS379" s="152"/>
      <c r="AT379" s="152"/>
      <c r="AU379" s="152"/>
      <c r="AV379" s="152"/>
      <c r="AW379" s="152"/>
      <c r="AX379" s="152"/>
      <c r="AY379" s="152"/>
      <c r="AZ379" s="152"/>
      <c r="BA379" s="152"/>
      <c r="BB379" s="152"/>
      <c r="BC379" s="152"/>
      <c r="BD379" s="152"/>
      <c r="BE379" s="152"/>
      <c r="BF379" s="152"/>
      <c r="BG379" s="152"/>
      <c r="BH379" s="152"/>
      <c r="BI379" s="152"/>
      <c r="BJ379" s="152"/>
      <c r="BK379" s="152"/>
      <c r="BL379" s="152"/>
      <c r="BM379" s="152"/>
      <c r="BN379" s="152"/>
      <c r="BO379" s="152"/>
      <c r="BP379" s="152"/>
      <c r="BQ379" s="152"/>
      <c r="BR379" s="152"/>
      <c r="BS379" s="152"/>
      <c r="BT379" s="152"/>
      <c r="BU379" s="152"/>
      <c r="BV379" s="152"/>
      <c r="BW379" s="152"/>
      <c r="BX379" s="152"/>
    </row>
    <row r="380" spans="1:76" s="96" customFormat="1" x14ac:dyDescent="0.2">
      <c r="A380" s="18" t="s">
        <v>36</v>
      </c>
      <c r="B380" s="45"/>
      <c r="C380" s="46">
        <v>25</v>
      </c>
      <c r="D380" s="27" t="s">
        <v>7</v>
      </c>
      <c r="E380" s="18" t="s">
        <v>102</v>
      </c>
      <c r="F380" s="27"/>
      <c r="G380" s="27"/>
      <c r="H380" s="27"/>
      <c r="I380" s="27"/>
      <c r="J380" s="27"/>
      <c r="K380" s="27"/>
      <c r="L380" s="27"/>
      <c r="M380" s="27"/>
      <c r="N380" s="10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</row>
    <row r="381" spans="1:76" s="96" customFormat="1" x14ac:dyDescent="0.2">
      <c r="A381" s="18"/>
      <c r="B381" s="45"/>
      <c r="C381" s="54"/>
      <c r="D381" s="27"/>
      <c r="E381" s="18"/>
      <c r="F381" s="27"/>
      <c r="G381" s="27"/>
      <c r="H381" s="27"/>
      <c r="I381" s="27"/>
      <c r="J381" s="27"/>
      <c r="K381" s="27"/>
      <c r="L381" s="27"/>
      <c r="M381" s="27"/>
      <c r="N381" s="10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</row>
    <row r="382" spans="1:76" s="96" customFormat="1" x14ac:dyDescent="0.2">
      <c r="A382" s="18" t="s">
        <v>37</v>
      </c>
      <c r="B382" s="45"/>
      <c r="C382" s="46">
        <v>25</v>
      </c>
      <c r="D382" s="27" t="s">
        <v>7</v>
      </c>
      <c r="E382" s="18" t="s">
        <v>102</v>
      </c>
      <c r="F382" s="27"/>
      <c r="G382" s="27"/>
      <c r="H382" s="27"/>
      <c r="I382" s="27"/>
      <c r="J382" s="27"/>
      <c r="K382" s="27"/>
      <c r="L382" s="27"/>
      <c r="M382" s="27"/>
      <c r="N382" s="10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</row>
    <row r="383" spans="1:76" s="96" customFormat="1" x14ac:dyDescent="0.2">
      <c r="A383" s="27"/>
      <c r="B383" s="45"/>
      <c r="C383" s="25"/>
      <c r="D383" s="27"/>
      <c r="E383" s="18"/>
      <c r="F383" s="27"/>
      <c r="G383" s="27"/>
      <c r="H383" s="27"/>
      <c r="I383" s="27"/>
      <c r="J383" s="27"/>
      <c r="K383" s="27"/>
      <c r="L383" s="27"/>
      <c r="M383" s="27"/>
      <c r="N383" s="10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</row>
    <row r="384" spans="1:76" s="13" customFormat="1" x14ac:dyDescent="0.2">
      <c r="A384" s="21"/>
      <c r="B384" s="37"/>
      <c r="C384" s="36">
        <f>C380+C382</f>
        <v>50</v>
      </c>
      <c r="D384" s="21" t="s">
        <v>7</v>
      </c>
      <c r="E384" s="23" t="s">
        <v>6</v>
      </c>
      <c r="F384" s="21"/>
      <c r="G384" s="21"/>
      <c r="H384" s="21"/>
      <c r="I384" s="21"/>
      <c r="J384" s="21"/>
      <c r="K384" s="21"/>
      <c r="L384" s="21"/>
      <c r="M384" s="21"/>
      <c r="N384" s="14"/>
    </row>
    <row r="385" spans="1:76" s="24" customFormat="1" x14ac:dyDescent="0.2">
      <c r="A385" s="20"/>
      <c r="B385" s="35"/>
      <c r="C385" s="25"/>
      <c r="D385" s="20"/>
      <c r="E385" s="17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1:76" s="97" customFormat="1" x14ac:dyDescent="0.2">
      <c r="A386" s="30">
        <f>A35</f>
        <v>516</v>
      </c>
      <c r="B386" s="39">
        <f>B35</f>
        <v>13200</v>
      </c>
      <c r="C386" s="31">
        <f>ROUNDUP(C393,0)</f>
        <v>58</v>
      </c>
      <c r="D386" s="30" t="str">
        <f>D35</f>
        <v>SF</v>
      </c>
      <c r="E386" s="32" t="str">
        <f>E35</f>
        <v>1/2" PREFORMED EXPANSION JOINT FILLER</v>
      </c>
      <c r="F386" s="34"/>
      <c r="G386" s="34"/>
      <c r="H386" s="34"/>
      <c r="I386" s="34"/>
      <c r="J386" s="34"/>
      <c r="K386" s="34"/>
      <c r="L386" s="34"/>
      <c r="M386" s="103"/>
      <c r="N386" s="103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  <c r="Z386" s="152"/>
      <c r="AA386" s="152"/>
      <c r="AB386" s="152"/>
      <c r="AC386" s="152"/>
      <c r="AD386" s="152"/>
      <c r="AE386" s="152"/>
      <c r="AF386" s="152"/>
      <c r="AG386" s="152"/>
      <c r="AH386" s="152"/>
      <c r="AI386" s="152"/>
      <c r="AJ386" s="152"/>
      <c r="AK386" s="152"/>
      <c r="AL386" s="152"/>
      <c r="AM386" s="152"/>
      <c r="AN386" s="152"/>
      <c r="AO386" s="152"/>
      <c r="AP386" s="152"/>
      <c r="AQ386" s="152"/>
      <c r="AR386" s="152"/>
      <c r="AS386" s="152"/>
      <c r="AT386" s="152"/>
      <c r="AU386" s="152"/>
      <c r="AV386" s="152"/>
      <c r="AW386" s="152"/>
      <c r="AX386" s="152"/>
      <c r="AY386" s="152"/>
      <c r="AZ386" s="152"/>
      <c r="BA386" s="152"/>
      <c r="BB386" s="152"/>
      <c r="BC386" s="152"/>
      <c r="BD386" s="152"/>
      <c r="BE386" s="152"/>
      <c r="BF386" s="152"/>
      <c r="BG386" s="152"/>
      <c r="BH386" s="152"/>
      <c r="BI386" s="152"/>
      <c r="BJ386" s="152"/>
      <c r="BK386" s="152"/>
      <c r="BL386" s="152"/>
      <c r="BM386" s="152"/>
      <c r="BN386" s="152"/>
      <c r="BO386" s="152"/>
      <c r="BP386" s="152"/>
      <c r="BQ386" s="152"/>
      <c r="BR386" s="152"/>
      <c r="BS386" s="152"/>
      <c r="BT386" s="152"/>
      <c r="BU386" s="152"/>
      <c r="BV386" s="152"/>
      <c r="BW386" s="152"/>
      <c r="BX386" s="152"/>
    </row>
    <row r="387" spans="1:76" s="96" customFormat="1" x14ac:dyDescent="0.2">
      <c r="A387" s="18" t="s">
        <v>36</v>
      </c>
      <c r="B387" s="45"/>
      <c r="C387" s="46">
        <v>1</v>
      </c>
      <c r="D387" s="27" t="s">
        <v>7</v>
      </c>
      <c r="E387" s="18" t="s">
        <v>61</v>
      </c>
      <c r="F387" s="27"/>
      <c r="G387" s="27"/>
      <c r="H387" s="27"/>
      <c r="I387" s="27"/>
      <c r="J387" s="27"/>
      <c r="K387" s="27"/>
      <c r="L387" s="27"/>
      <c r="M387" s="102"/>
      <c r="N387" s="10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</row>
    <row r="388" spans="1:76" s="96" customFormat="1" x14ac:dyDescent="0.2">
      <c r="A388" s="18"/>
      <c r="B388" s="45"/>
      <c r="C388" s="46">
        <f>C215</f>
        <v>28.666666666666668</v>
      </c>
      <c r="D388" s="27" t="s">
        <v>7</v>
      </c>
      <c r="E388" s="18" t="s">
        <v>62</v>
      </c>
      <c r="F388" s="27"/>
      <c r="G388" s="27"/>
      <c r="H388" s="27"/>
      <c r="I388" s="27"/>
      <c r="J388" s="27"/>
      <c r="K388" s="27"/>
      <c r="L388" s="27"/>
      <c r="M388" s="102"/>
      <c r="N388" s="10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</row>
    <row r="389" spans="1:76" s="96" customFormat="1" x14ac:dyDescent="0.2">
      <c r="A389" s="18"/>
      <c r="B389" s="45"/>
      <c r="C389" s="54"/>
      <c r="D389" s="27"/>
      <c r="E389" s="18"/>
      <c r="F389" s="27"/>
      <c r="G389" s="27"/>
      <c r="H389" s="27"/>
      <c r="I389" s="27"/>
      <c r="J389" s="27"/>
      <c r="K389" s="27"/>
      <c r="L389" s="27"/>
      <c r="M389" s="102"/>
      <c r="N389" s="10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</row>
    <row r="390" spans="1:76" s="96" customFormat="1" x14ac:dyDescent="0.2">
      <c r="A390" s="18" t="s">
        <v>37</v>
      </c>
      <c r="B390" s="45"/>
      <c r="C390" s="46">
        <v>1</v>
      </c>
      <c r="D390" s="27" t="s">
        <v>7</v>
      </c>
      <c r="E390" s="18" t="s">
        <v>61</v>
      </c>
      <c r="F390" s="27"/>
      <c r="G390" s="27"/>
      <c r="H390" s="27"/>
      <c r="I390" s="27"/>
      <c r="J390" s="27"/>
      <c r="K390" s="27"/>
      <c r="L390" s="27"/>
      <c r="M390" s="102"/>
      <c r="N390" s="10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</row>
    <row r="391" spans="1:76" s="96" customFormat="1" x14ac:dyDescent="0.2">
      <c r="A391" s="18"/>
      <c r="B391" s="45"/>
      <c r="C391" s="46">
        <f>C388</f>
        <v>28.666666666666668</v>
      </c>
      <c r="D391" s="27" t="s">
        <v>7</v>
      </c>
      <c r="E391" s="18" t="s">
        <v>62</v>
      </c>
      <c r="F391" s="27"/>
      <c r="G391" s="27"/>
      <c r="H391" s="27"/>
      <c r="I391" s="27"/>
      <c r="J391" s="27"/>
      <c r="K391" s="27"/>
      <c r="L391" s="27"/>
      <c r="M391" s="102"/>
      <c r="N391" s="10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</row>
    <row r="392" spans="1:76" s="96" customFormat="1" x14ac:dyDescent="0.2">
      <c r="A392" s="27"/>
      <c r="B392" s="45"/>
      <c r="C392" s="25"/>
      <c r="D392" s="27"/>
      <c r="E392" s="18"/>
      <c r="F392" s="27"/>
      <c r="G392" s="27"/>
      <c r="H392" s="27"/>
      <c r="I392" s="27"/>
      <c r="J392" s="27"/>
      <c r="K392" s="27"/>
      <c r="L392" s="27"/>
      <c r="M392" s="102"/>
      <c r="N392" s="10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</row>
    <row r="393" spans="1:76" s="13" customFormat="1" x14ac:dyDescent="0.2">
      <c r="A393" s="21"/>
      <c r="B393" s="37"/>
      <c r="C393" s="36">
        <f>C387*C388+C390*C391</f>
        <v>57.333333333333336</v>
      </c>
      <c r="D393" s="21" t="s">
        <v>8</v>
      </c>
      <c r="E393" s="23" t="s">
        <v>24</v>
      </c>
      <c r="F393" s="21"/>
      <c r="G393" s="21"/>
      <c r="H393" s="21"/>
      <c r="I393" s="21"/>
      <c r="J393" s="21"/>
      <c r="K393" s="21"/>
      <c r="L393" s="21"/>
      <c r="M393" s="14"/>
      <c r="N393" s="14"/>
    </row>
    <row r="394" spans="1:76" s="24" customFormat="1" x14ac:dyDescent="0.2">
      <c r="A394" s="20"/>
      <c r="B394" s="35"/>
      <c r="C394" s="25"/>
      <c r="D394" s="20"/>
      <c r="E394" s="17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1:76" s="97" customFormat="1" x14ac:dyDescent="0.2">
      <c r="A395" s="30">
        <f>A36</f>
        <v>516</v>
      </c>
      <c r="B395" s="39">
        <f>B36</f>
        <v>13600</v>
      </c>
      <c r="C395" s="31">
        <f>ROUNDUP(C406,0)</f>
        <v>74</v>
      </c>
      <c r="D395" s="30" t="str">
        <f>D36</f>
        <v>SF</v>
      </c>
      <c r="E395" s="32" t="str">
        <f>E36</f>
        <v>1" PREFORMED EXPANSION JOINT FILLER</v>
      </c>
      <c r="F395" s="34"/>
      <c r="G395" s="34"/>
      <c r="H395" s="34"/>
      <c r="I395" s="34"/>
      <c r="J395" s="34"/>
      <c r="K395" s="34"/>
      <c r="L395" s="34"/>
      <c r="M395" s="103"/>
      <c r="N395" s="103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/>
      <c r="AQ395" s="152"/>
      <c r="AR395" s="152"/>
      <c r="AS395" s="152"/>
      <c r="AT395" s="152"/>
      <c r="AU395" s="152"/>
      <c r="AV395" s="152"/>
      <c r="AW395" s="152"/>
      <c r="AX395" s="152"/>
      <c r="AY395" s="152"/>
      <c r="AZ395" s="152"/>
      <c r="BA395" s="152"/>
      <c r="BB395" s="152"/>
      <c r="BC395" s="152"/>
      <c r="BD395" s="152"/>
      <c r="BE395" s="152"/>
      <c r="BF395" s="152"/>
      <c r="BG395" s="152"/>
      <c r="BH395" s="152"/>
      <c r="BI395" s="152"/>
      <c r="BJ395" s="152"/>
      <c r="BK395" s="152"/>
      <c r="BL395" s="152"/>
      <c r="BM395" s="152"/>
      <c r="BN395" s="152"/>
      <c r="BO395" s="152"/>
      <c r="BP395" s="152"/>
      <c r="BQ395" s="152"/>
      <c r="BR395" s="152"/>
      <c r="BS395" s="152"/>
      <c r="BT395" s="152"/>
      <c r="BU395" s="152"/>
      <c r="BV395" s="152"/>
      <c r="BW395" s="152"/>
      <c r="BX395" s="152"/>
    </row>
    <row r="396" spans="1:76" s="96" customFormat="1" x14ac:dyDescent="0.2">
      <c r="A396" s="18" t="s">
        <v>119</v>
      </c>
      <c r="B396" s="53"/>
      <c r="C396" s="54">
        <f>C181</f>
        <v>4.0833333333333339</v>
      </c>
      <c r="D396" s="27" t="s">
        <v>8</v>
      </c>
      <c r="E396" s="18" t="s">
        <v>100</v>
      </c>
      <c r="F396" s="27"/>
      <c r="G396" s="27"/>
      <c r="H396" s="27"/>
      <c r="I396" s="27"/>
      <c r="J396" s="27"/>
      <c r="K396" s="27"/>
      <c r="L396" s="27"/>
      <c r="M396" s="102"/>
      <c r="N396" s="10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</row>
    <row r="397" spans="1:76" s="96" customFormat="1" x14ac:dyDescent="0.2">
      <c r="A397" s="62"/>
      <c r="B397" s="53"/>
      <c r="C397" s="54">
        <v>4</v>
      </c>
      <c r="D397" s="27" t="s">
        <v>12</v>
      </c>
      <c r="E397" s="18" t="s">
        <v>99</v>
      </c>
      <c r="F397" s="27"/>
      <c r="G397" s="27"/>
      <c r="H397" s="27"/>
      <c r="I397" s="27"/>
      <c r="J397" s="27"/>
      <c r="K397" s="27"/>
      <c r="L397" s="27"/>
      <c r="M397" s="102"/>
      <c r="N397" s="10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</row>
    <row r="398" spans="1:76" s="96" customFormat="1" x14ac:dyDescent="0.2">
      <c r="A398" s="62"/>
      <c r="B398" s="53"/>
      <c r="C398" s="54">
        <f>C396*C397</f>
        <v>16.333333333333336</v>
      </c>
      <c r="D398" s="27" t="s">
        <v>8</v>
      </c>
      <c r="E398" s="18" t="s">
        <v>63</v>
      </c>
      <c r="F398" s="27"/>
      <c r="G398" s="27"/>
      <c r="H398" s="27"/>
      <c r="I398" s="27"/>
      <c r="J398" s="27"/>
      <c r="K398" s="27"/>
      <c r="L398" s="27"/>
      <c r="M398" s="102"/>
      <c r="N398" s="10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</row>
    <row r="399" spans="1:76" s="96" customFormat="1" x14ac:dyDescent="0.2">
      <c r="A399" s="62"/>
      <c r="B399" s="53"/>
      <c r="C399" s="54"/>
      <c r="D399" s="27"/>
      <c r="E399" s="18"/>
      <c r="F399" s="27"/>
      <c r="G399" s="27"/>
      <c r="H399" s="102"/>
      <c r="I399" s="102"/>
      <c r="J399" s="24"/>
      <c r="K399" s="24"/>
      <c r="L399" s="24"/>
      <c r="M399" s="24"/>
      <c r="N399" s="24"/>
    </row>
    <row r="400" spans="1:76" s="96" customFormat="1" x14ac:dyDescent="0.2">
      <c r="A400" s="18" t="s">
        <v>36</v>
      </c>
      <c r="B400" s="45"/>
      <c r="C400" s="46">
        <v>1</v>
      </c>
      <c r="D400" s="27" t="s">
        <v>7</v>
      </c>
      <c r="E400" s="18" t="s">
        <v>61</v>
      </c>
      <c r="F400" s="27"/>
      <c r="G400" s="27"/>
      <c r="H400" s="102"/>
      <c r="I400" s="102"/>
      <c r="J400" s="24"/>
      <c r="K400" s="24"/>
      <c r="L400" s="24"/>
      <c r="M400" s="24"/>
      <c r="N400" s="24"/>
    </row>
    <row r="401" spans="1:76" s="96" customFormat="1" x14ac:dyDescent="0.2">
      <c r="A401" s="18"/>
      <c r="B401" s="45"/>
      <c r="C401" s="46">
        <f>C388</f>
        <v>28.666666666666668</v>
      </c>
      <c r="D401" s="27" t="s">
        <v>7</v>
      </c>
      <c r="E401" s="18" t="s">
        <v>62</v>
      </c>
      <c r="F401" s="27"/>
      <c r="G401" s="27"/>
      <c r="H401" s="102"/>
      <c r="I401" s="102"/>
      <c r="J401" s="24"/>
      <c r="K401" s="24"/>
      <c r="L401" s="24"/>
      <c r="M401" s="24"/>
      <c r="N401" s="24"/>
    </row>
    <row r="402" spans="1:76" s="96" customFormat="1" x14ac:dyDescent="0.2">
      <c r="A402" s="18"/>
      <c r="B402" s="45"/>
      <c r="C402" s="54"/>
      <c r="D402" s="27"/>
      <c r="E402" s="18"/>
      <c r="F402" s="27"/>
      <c r="G402" s="27"/>
      <c r="H402" s="102"/>
      <c r="I402" s="102"/>
      <c r="J402" s="24"/>
      <c r="K402" s="24"/>
      <c r="L402" s="24"/>
      <c r="M402" s="24"/>
      <c r="N402" s="24"/>
    </row>
    <row r="403" spans="1:76" s="96" customFormat="1" x14ac:dyDescent="0.2">
      <c r="A403" s="18" t="s">
        <v>37</v>
      </c>
      <c r="B403" s="45"/>
      <c r="C403" s="46">
        <v>1</v>
      </c>
      <c r="D403" s="27" t="s">
        <v>7</v>
      </c>
      <c r="E403" s="18" t="s">
        <v>61</v>
      </c>
      <c r="F403" s="27"/>
      <c r="G403" s="27"/>
      <c r="H403" s="102"/>
      <c r="I403" s="102"/>
      <c r="J403" s="24"/>
      <c r="K403" s="24"/>
      <c r="L403" s="24"/>
      <c r="M403" s="24"/>
      <c r="N403" s="24"/>
    </row>
    <row r="404" spans="1:76" s="96" customFormat="1" x14ac:dyDescent="0.2">
      <c r="A404" s="18"/>
      <c r="B404" s="45"/>
      <c r="C404" s="46">
        <f>C391</f>
        <v>28.666666666666668</v>
      </c>
      <c r="D404" s="27" t="s">
        <v>7</v>
      </c>
      <c r="E404" s="18" t="s">
        <v>62</v>
      </c>
      <c r="F404" s="27"/>
      <c r="G404" s="27"/>
      <c r="H404" s="102"/>
      <c r="I404" s="102"/>
      <c r="J404" s="24"/>
      <c r="K404" s="24"/>
      <c r="L404" s="24"/>
      <c r="M404" s="24"/>
      <c r="N404" s="24"/>
    </row>
    <row r="405" spans="1:76" s="96" customFormat="1" x14ac:dyDescent="0.2">
      <c r="A405" s="27"/>
      <c r="B405" s="45"/>
      <c r="C405" s="25"/>
      <c r="D405" s="27"/>
      <c r="E405" s="18"/>
      <c r="F405" s="27"/>
      <c r="G405" s="27"/>
      <c r="H405" s="102"/>
      <c r="I405" s="102"/>
      <c r="J405" s="24"/>
      <c r="K405" s="24"/>
      <c r="L405" s="24"/>
      <c r="M405" s="24"/>
      <c r="N405" s="24"/>
    </row>
    <row r="406" spans="1:76" s="13" customFormat="1" x14ac:dyDescent="0.2">
      <c r="A406" s="21"/>
      <c r="B406" s="37"/>
      <c r="C406" s="36">
        <f>C400*C401+C403*C404+C398</f>
        <v>73.666666666666671</v>
      </c>
      <c r="D406" s="21" t="s">
        <v>8</v>
      </c>
      <c r="E406" s="23" t="s">
        <v>24</v>
      </c>
      <c r="F406" s="21"/>
      <c r="G406" s="21"/>
      <c r="H406" s="14"/>
      <c r="I406" s="14"/>
      <c r="J406" s="24"/>
      <c r="K406" s="24"/>
      <c r="L406" s="24"/>
      <c r="M406" s="24"/>
      <c r="N406" s="24"/>
    </row>
    <row r="407" spans="1:76" s="96" customFormat="1" x14ac:dyDescent="0.2">
      <c r="A407" s="62"/>
      <c r="B407" s="53"/>
      <c r="C407" s="54"/>
      <c r="D407" s="27"/>
      <c r="E407" s="18"/>
      <c r="F407" s="27"/>
      <c r="G407" s="27"/>
      <c r="H407" s="27"/>
      <c r="I407" s="27"/>
      <c r="J407" s="27"/>
      <c r="K407" s="27"/>
      <c r="L407" s="27"/>
      <c r="M407" s="102"/>
      <c r="N407" s="10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</row>
    <row r="408" spans="1:76" s="44" customFormat="1" x14ac:dyDescent="0.2">
      <c r="A408" s="30">
        <f>A37</f>
        <v>516</v>
      </c>
      <c r="B408" s="30">
        <f>B37</f>
        <v>13900</v>
      </c>
      <c r="C408" s="31">
        <f>ROUNDUP(C425,0)</f>
        <v>57</v>
      </c>
      <c r="D408" s="30" t="str">
        <f>D37</f>
        <v>SF</v>
      </c>
      <c r="E408" s="32" t="str">
        <f>E37</f>
        <v>2" PREFORMED EXPANSION JOINT FILLER</v>
      </c>
      <c r="F408" s="34"/>
      <c r="G408" s="34"/>
      <c r="H408" s="34"/>
      <c r="I408" s="34"/>
      <c r="J408" s="34"/>
      <c r="K408" s="34"/>
      <c r="L408" s="34"/>
      <c r="M408" s="34"/>
      <c r="N408" s="4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  <c r="BO408" s="33"/>
      <c r="BP408" s="33"/>
      <c r="BQ408" s="33"/>
      <c r="BR408" s="33"/>
      <c r="BS408" s="33"/>
      <c r="BT408" s="33"/>
      <c r="BU408" s="33"/>
      <c r="BV408" s="33"/>
      <c r="BW408" s="33"/>
      <c r="BX408" s="33"/>
    </row>
    <row r="409" spans="1:76" s="28" customFormat="1" x14ac:dyDescent="0.2">
      <c r="A409" s="18" t="s">
        <v>36</v>
      </c>
      <c r="B409" s="53"/>
      <c r="C409" s="54">
        <v>4</v>
      </c>
      <c r="D409" s="27" t="s">
        <v>7</v>
      </c>
      <c r="E409" s="18" t="s">
        <v>165</v>
      </c>
      <c r="F409" s="27"/>
      <c r="G409" s="27"/>
      <c r="H409" s="27"/>
      <c r="I409" s="27"/>
      <c r="J409" s="27"/>
      <c r="K409" s="27"/>
      <c r="L409" s="27"/>
      <c r="M409" s="27"/>
      <c r="N409" s="27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</row>
    <row r="410" spans="1:76" s="28" customFormat="1" x14ac:dyDescent="0.2">
      <c r="A410" s="18"/>
      <c r="B410" s="53"/>
      <c r="C410" s="54">
        <v>5.5</v>
      </c>
      <c r="D410" s="27"/>
      <c r="E410" s="18" t="s">
        <v>166</v>
      </c>
      <c r="F410" s="27"/>
      <c r="G410" s="27"/>
      <c r="H410" s="27"/>
      <c r="I410" s="27"/>
      <c r="J410" s="27"/>
      <c r="K410" s="27"/>
      <c r="L410" s="27"/>
      <c r="M410" s="27"/>
      <c r="N410" s="27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</row>
    <row r="411" spans="1:76" s="28" customFormat="1" x14ac:dyDescent="0.2">
      <c r="A411" s="18"/>
      <c r="B411" s="53"/>
      <c r="C411" s="46">
        <v>3</v>
      </c>
      <c r="D411" s="27" t="s">
        <v>7</v>
      </c>
      <c r="E411" s="18" t="s">
        <v>167</v>
      </c>
      <c r="F411" s="27"/>
      <c r="G411" s="27"/>
      <c r="H411" s="27"/>
      <c r="I411" s="27"/>
      <c r="J411" s="27"/>
      <c r="K411" s="27"/>
      <c r="L411" s="27"/>
      <c r="M411" s="27"/>
      <c r="N411" s="27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</row>
    <row r="412" spans="1:76" s="28" customFormat="1" x14ac:dyDescent="0.2">
      <c r="A412" s="62"/>
      <c r="B412" s="53"/>
      <c r="C412" s="46"/>
      <c r="D412" s="27" t="s">
        <v>7</v>
      </c>
      <c r="E412" s="18" t="s">
        <v>91</v>
      </c>
      <c r="F412" s="27"/>
      <c r="G412" s="27"/>
      <c r="H412" s="27"/>
      <c r="I412" s="27"/>
      <c r="J412" s="27"/>
      <c r="K412" s="27"/>
      <c r="L412" s="27"/>
      <c r="M412" s="27"/>
      <c r="N412" s="27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</row>
    <row r="413" spans="1:76" s="28" customFormat="1" x14ac:dyDescent="0.2">
      <c r="A413" s="62"/>
      <c r="B413" s="53"/>
      <c r="C413" s="46"/>
      <c r="D413" s="27" t="s">
        <v>7</v>
      </c>
      <c r="E413" s="18" t="s">
        <v>87</v>
      </c>
      <c r="F413" s="27"/>
      <c r="G413" s="27"/>
      <c r="H413" s="27"/>
      <c r="I413" s="27"/>
      <c r="J413" s="27"/>
      <c r="K413" s="27"/>
      <c r="L413" s="27"/>
      <c r="M413" s="27"/>
      <c r="N413" s="27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</row>
    <row r="414" spans="1:76" s="28" customFormat="1" x14ac:dyDescent="0.2">
      <c r="A414" s="62"/>
      <c r="B414" s="53"/>
      <c r="C414" s="54"/>
      <c r="D414" s="27" t="s">
        <v>7</v>
      </c>
      <c r="E414" s="18" t="s">
        <v>73</v>
      </c>
      <c r="F414" s="27"/>
      <c r="G414" s="27"/>
      <c r="H414" s="27"/>
      <c r="I414" s="27"/>
      <c r="J414" s="27"/>
      <c r="K414" s="27"/>
      <c r="L414" s="27"/>
      <c r="M414" s="27"/>
      <c r="N414" s="27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</row>
    <row r="415" spans="1:76" s="28" customFormat="1" x14ac:dyDescent="0.2">
      <c r="A415" s="62"/>
      <c r="B415" s="53"/>
      <c r="C415" s="54">
        <f>(C409+C410)*C411+C412*C413*2</f>
        <v>28.5</v>
      </c>
      <c r="D415" s="27" t="s">
        <v>8</v>
      </c>
      <c r="E415" s="18" t="s">
        <v>63</v>
      </c>
      <c r="F415" s="27"/>
      <c r="G415" s="27"/>
      <c r="H415" s="27"/>
      <c r="I415" s="27"/>
      <c r="J415" s="27"/>
      <c r="K415" s="27"/>
      <c r="L415" s="27"/>
      <c r="M415" s="27"/>
      <c r="N415" s="27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</row>
    <row r="416" spans="1:76" s="28" customFormat="1" x14ac:dyDescent="0.2">
      <c r="A416" s="62"/>
      <c r="B416" s="53"/>
      <c r="C416" s="54"/>
      <c r="D416" s="27"/>
      <c r="E416" s="18"/>
      <c r="F416" s="27"/>
      <c r="G416" s="27"/>
      <c r="H416" s="27"/>
      <c r="I416" s="27"/>
      <c r="J416" s="27"/>
      <c r="K416" s="27"/>
      <c r="L416" s="27"/>
      <c r="M416" s="27"/>
      <c r="N416" s="27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</row>
    <row r="417" spans="1:76" s="28" customFormat="1" x14ac:dyDescent="0.2">
      <c r="A417" s="18" t="s">
        <v>37</v>
      </c>
      <c r="B417" s="53"/>
      <c r="C417" s="54">
        <v>4</v>
      </c>
      <c r="D417" s="27" t="s">
        <v>7</v>
      </c>
      <c r="E417" s="18" t="s">
        <v>165</v>
      </c>
      <c r="F417" s="27"/>
      <c r="G417" s="27"/>
      <c r="H417" s="27"/>
      <c r="I417" s="27"/>
      <c r="J417" s="27"/>
      <c r="K417" s="27"/>
      <c r="L417" s="27"/>
      <c r="M417" s="27"/>
      <c r="N417" s="27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</row>
    <row r="418" spans="1:76" s="28" customFormat="1" x14ac:dyDescent="0.2">
      <c r="A418" s="18"/>
      <c r="B418" s="53"/>
      <c r="C418" s="54">
        <v>5.5</v>
      </c>
      <c r="D418" s="27"/>
      <c r="E418" s="18" t="s">
        <v>166</v>
      </c>
      <c r="F418" s="27"/>
      <c r="G418" s="27"/>
      <c r="H418" s="27"/>
      <c r="I418" s="27"/>
      <c r="J418" s="27"/>
      <c r="K418" s="27"/>
      <c r="L418" s="27"/>
      <c r="M418" s="27"/>
      <c r="N418" s="27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</row>
    <row r="419" spans="1:76" s="28" customFormat="1" x14ac:dyDescent="0.2">
      <c r="A419" s="18"/>
      <c r="B419" s="53"/>
      <c r="C419" s="46">
        <v>3</v>
      </c>
      <c r="D419" s="27" t="s">
        <v>7</v>
      </c>
      <c r="E419" s="18" t="s">
        <v>167</v>
      </c>
      <c r="F419" s="27"/>
      <c r="G419" s="27"/>
      <c r="H419" s="27"/>
      <c r="I419" s="27"/>
      <c r="J419" s="27"/>
      <c r="K419" s="27"/>
      <c r="L419" s="27"/>
      <c r="M419" s="27"/>
      <c r="N419" s="27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</row>
    <row r="420" spans="1:76" s="28" customFormat="1" x14ac:dyDescent="0.2">
      <c r="A420" s="62"/>
      <c r="B420" s="53"/>
      <c r="C420" s="46"/>
      <c r="D420" s="27" t="s">
        <v>7</v>
      </c>
      <c r="E420" s="18" t="s">
        <v>91</v>
      </c>
      <c r="F420" s="27"/>
      <c r="G420" s="27"/>
      <c r="H420" s="27"/>
      <c r="I420" s="27"/>
      <c r="J420" s="27"/>
      <c r="K420" s="27"/>
      <c r="L420" s="27"/>
      <c r="M420" s="27"/>
      <c r="N420" s="27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</row>
    <row r="421" spans="1:76" s="28" customFormat="1" x14ac:dyDescent="0.2">
      <c r="A421" s="62"/>
      <c r="B421" s="53"/>
      <c r="C421" s="46"/>
      <c r="D421" s="27" t="s">
        <v>7</v>
      </c>
      <c r="E421" s="18" t="s">
        <v>87</v>
      </c>
      <c r="F421" s="27"/>
      <c r="G421" s="27"/>
      <c r="H421" s="27"/>
      <c r="I421" s="27"/>
      <c r="J421" s="27"/>
      <c r="K421" s="27"/>
      <c r="L421" s="27"/>
      <c r="M421" s="27"/>
      <c r="N421" s="27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  <c r="BP421" s="24"/>
      <c r="BQ421" s="24"/>
      <c r="BR421" s="24"/>
      <c r="BS421" s="24"/>
      <c r="BT421" s="24"/>
      <c r="BU421" s="24"/>
      <c r="BV421" s="24"/>
      <c r="BW421" s="24"/>
      <c r="BX421" s="24"/>
    </row>
    <row r="422" spans="1:76" s="28" customFormat="1" x14ac:dyDescent="0.2">
      <c r="A422" s="62"/>
      <c r="B422" s="53"/>
      <c r="C422" s="54"/>
      <c r="D422" s="27" t="s">
        <v>7</v>
      </c>
      <c r="E422" s="18" t="s">
        <v>73</v>
      </c>
      <c r="F422" s="27"/>
      <c r="G422" s="27"/>
      <c r="H422" s="27"/>
      <c r="I422" s="27"/>
      <c r="J422" s="27"/>
      <c r="K422" s="27"/>
      <c r="L422" s="27"/>
      <c r="M422" s="27"/>
      <c r="N422" s="27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</row>
    <row r="423" spans="1:76" s="28" customFormat="1" x14ac:dyDescent="0.2">
      <c r="A423" s="62"/>
      <c r="B423" s="53"/>
      <c r="C423" s="54">
        <f>(C417+C418)*C419+C420*C421*2</f>
        <v>28.5</v>
      </c>
      <c r="D423" s="27" t="s">
        <v>8</v>
      </c>
      <c r="E423" s="18" t="s">
        <v>63</v>
      </c>
      <c r="F423" s="27"/>
      <c r="G423" s="27"/>
      <c r="H423" s="27"/>
      <c r="I423" s="27"/>
      <c r="J423" s="27"/>
      <c r="K423" s="27"/>
      <c r="L423" s="27"/>
      <c r="M423" s="27"/>
      <c r="N423" s="27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</row>
    <row r="424" spans="1:76" s="28" customFormat="1" x14ac:dyDescent="0.2">
      <c r="A424" s="52"/>
      <c r="B424" s="53"/>
      <c r="C424" s="54"/>
      <c r="D424" s="27"/>
      <c r="E424" s="18"/>
      <c r="F424" s="27"/>
      <c r="G424" s="27"/>
      <c r="H424" s="27"/>
      <c r="I424" s="27"/>
      <c r="J424" s="27"/>
      <c r="K424" s="27"/>
      <c r="L424" s="27"/>
      <c r="M424" s="27"/>
      <c r="N424" s="27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  <c r="BM424" s="24"/>
      <c r="BN424" s="24"/>
      <c r="BO424" s="24"/>
      <c r="BP424" s="24"/>
      <c r="BQ424" s="24"/>
      <c r="BR424" s="24"/>
      <c r="BS424" s="24"/>
      <c r="BT424" s="24"/>
      <c r="BU424" s="24"/>
      <c r="BV424" s="24"/>
      <c r="BW424" s="24"/>
      <c r="BX424" s="24"/>
    </row>
    <row r="425" spans="1:76" s="22" customFormat="1" x14ac:dyDescent="0.2">
      <c r="A425" s="21"/>
      <c r="B425" s="37"/>
      <c r="C425" s="36">
        <f>C415+C423</f>
        <v>57</v>
      </c>
      <c r="D425" s="21" t="s">
        <v>8</v>
      </c>
      <c r="E425" s="23" t="s">
        <v>24</v>
      </c>
      <c r="F425" s="21"/>
      <c r="G425" s="21"/>
      <c r="H425" s="21"/>
      <c r="I425" s="21"/>
      <c r="J425" s="21"/>
      <c r="K425" s="21"/>
      <c r="L425" s="21"/>
      <c r="M425" s="21"/>
      <c r="N425" s="21"/>
    </row>
    <row r="426" spans="1:76" s="24" customFormat="1" x14ac:dyDescent="0.2">
      <c r="A426" s="20"/>
      <c r="B426" s="35"/>
      <c r="C426" s="25"/>
      <c r="D426" s="20"/>
      <c r="E426" s="17"/>
      <c r="F426" s="20"/>
      <c r="G426" s="20"/>
      <c r="H426" s="20"/>
      <c r="I426" s="20"/>
      <c r="J426" s="20"/>
      <c r="K426" s="20"/>
      <c r="L426" s="20"/>
      <c r="M426" s="20"/>
      <c r="N426" s="20"/>
    </row>
    <row r="427" spans="1:76" s="44" customFormat="1" x14ac:dyDescent="0.2">
      <c r="A427" s="30">
        <f>A38</f>
        <v>516</v>
      </c>
      <c r="B427" s="39">
        <f>B38</f>
        <v>25000</v>
      </c>
      <c r="C427" s="31">
        <f>ROUNDUP(C452,0)</f>
        <v>229</v>
      </c>
      <c r="D427" s="30" t="str">
        <f>D38</f>
        <v>SF</v>
      </c>
      <c r="E427" s="32" t="str">
        <f>E38</f>
        <v>NYLON REINFORCED NEOPRENE SHEETING</v>
      </c>
      <c r="F427" s="34"/>
      <c r="G427" s="34"/>
      <c r="H427" s="34"/>
      <c r="I427" s="34"/>
      <c r="J427" s="34"/>
      <c r="K427" s="34"/>
      <c r="L427" s="34"/>
      <c r="M427" s="43"/>
      <c r="N427" s="4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  <c r="BO427" s="33"/>
      <c r="BP427" s="33"/>
      <c r="BQ427" s="33"/>
      <c r="BR427" s="33"/>
      <c r="BS427" s="33"/>
      <c r="BT427" s="33"/>
      <c r="BU427" s="33"/>
      <c r="BV427" s="33"/>
      <c r="BW427" s="33"/>
      <c r="BX427" s="33"/>
    </row>
    <row r="428" spans="1:76" s="28" customFormat="1" x14ac:dyDescent="0.2">
      <c r="A428" s="18" t="s">
        <v>36</v>
      </c>
      <c r="B428" s="53"/>
      <c r="C428" s="46">
        <v>3</v>
      </c>
      <c r="D428" s="27" t="s">
        <v>7</v>
      </c>
      <c r="E428" s="18" t="s">
        <v>92</v>
      </c>
      <c r="F428" s="27"/>
      <c r="G428" s="27"/>
      <c r="H428" s="27"/>
      <c r="I428" s="27"/>
      <c r="J428" s="27"/>
      <c r="K428" s="27"/>
      <c r="L428" s="27"/>
      <c r="M428" s="27"/>
      <c r="N428" s="27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</row>
    <row r="429" spans="1:76" s="28" customFormat="1" x14ac:dyDescent="0.2">
      <c r="A429" s="18"/>
      <c r="B429" s="53"/>
      <c r="C429" s="46">
        <f>C215</f>
        <v>28.666666666666668</v>
      </c>
      <c r="D429" s="27" t="s">
        <v>7</v>
      </c>
      <c r="E429" s="18" t="s">
        <v>168</v>
      </c>
      <c r="F429" s="27"/>
      <c r="G429" s="27"/>
      <c r="H429" s="27"/>
      <c r="I429" s="27"/>
      <c r="J429" s="27"/>
      <c r="K429" s="27"/>
      <c r="L429" s="27"/>
      <c r="M429" s="27"/>
      <c r="N429" s="27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  <c r="BP429" s="24"/>
      <c r="BQ429" s="24"/>
      <c r="BR429" s="24"/>
      <c r="BS429" s="24"/>
      <c r="BT429" s="24"/>
      <c r="BU429" s="24"/>
      <c r="BV429" s="24"/>
      <c r="BW429" s="24"/>
      <c r="BX429" s="24"/>
    </row>
    <row r="430" spans="1:76" s="28" customFormat="1" x14ac:dyDescent="0.2">
      <c r="A430" s="18"/>
      <c r="B430" s="53"/>
      <c r="C430" s="54">
        <f>C428*C429</f>
        <v>86</v>
      </c>
      <c r="D430" s="27" t="s">
        <v>8</v>
      </c>
      <c r="E430" s="18" t="s">
        <v>74</v>
      </c>
      <c r="F430" s="27"/>
      <c r="G430" s="27"/>
      <c r="H430" s="27"/>
      <c r="I430" s="27"/>
      <c r="J430" s="27"/>
      <c r="K430" s="27"/>
      <c r="L430" s="27"/>
      <c r="M430" s="27"/>
      <c r="N430" s="27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/>
      <c r="BU430" s="24"/>
      <c r="BV430" s="24"/>
      <c r="BW430" s="24"/>
      <c r="BX430" s="24"/>
    </row>
    <row r="431" spans="1:76" s="28" customFormat="1" x14ac:dyDescent="0.2">
      <c r="A431" s="18"/>
      <c r="B431" s="53"/>
      <c r="C431" s="54"/>
      <c r="D431" s="27"/>
      <c r="E431" s="18"/>
      <c r="F431" s="27"/>
      <c r="G431" s="27"/>
      <c r="H431" s="27"/>
      <c r="I431" s="27"/>
      <c r="J431" s="27"/>
      <c r="K431" s="27"/>
      <c r="L431" s="27"/>
      <c r="M431" s="27"/>
      <c r="N431" s="27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/>
      <c r="BU431" s="24"/>
      <c r="BV431" s="24"/>
      <c r="BW431" s="24"/>
      <c r="BX431" s="24"/>
    </row>
    <row r="432" spans="1:76" s="28" customFormat="1" x14ac:dyDescent="0.2">
      <c r="A432" s="18" t="s">
        <v>121</v>
      </c>
      <c r="B432" s="45"/>
      <c r="C432" s="46">
        <v>4</v>
      </c>
      <c r="D432" s="27" t="s">
        <v>7</v>
      </c>
      <c r="E432" s="18" t="s">
        <v>94</v>
      </c>
      <c r="F432" s="27"/>
      <c r="G432" s="27"/>
      <c r="H432" s="27"/>
      <c r="I432" s="27"/>
      <c r="J432" s="27"/>
      <c r="K432" s="27"/>
      <c r="L432" s="27"/>
      <c r="M432" s="27"/>
      <c r="N432" s="27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</row>
    <row r="433" spans="1:76" s="28" customFormat="1" x14ac:dyDescent="0.2">
      <c r="A433" s="18" t="s">
        <v>131</v>
      </c>
      <c r="B433" s="45"/>
      <c r="C433" s="46">
        <v>3</v>
      </c>
      <c r="D433" s="27" t="s">
        <v>7</v>
      </c>
      <c r="E433" s="18" t="s">
        <v>93</v>
      </c>
      <c r="F433" s="27"/>
      <c r="G433" s="27"/>
      <c r="H433" s="27"/>
      <c r="I433" s="27"/>
      <c r="J433" s="27"/>
      <c r="K433" s="27"/>
      <c r="L433" s="27"/>
      <c r="M433" s="27"/>
      <c r="N433" s="27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  <c r="BP433" s="24"/>
      <c r="BQ433" s="24"/>
      <c r="BR433" s="24"/>
      <c r="BS433" s="24"/>
      <c r="BT433" s="24"/>
      <c r="BU433" s="24"/>
      <c r="BV433" s="24"/>
      <c r="BW433" s="24"/>
      <c r="BX433" s="24"/>
    </row>
    <row r="434" spans="1:76" s="28" customFormat="1" x14ac:dyDescent="0.2">
      <c r="A434" s="18"/>
      <c r="B434" s="45"/>
      <c r="C434" s="54">
        <f>C432*C433</f>
        <v>12</v>
      </c>
      <c r="D434" s="27" t="s">
        <v>8</v>
      </c>
      <c r="E434" s="18" t="s">
        <v>96</v>
      </c>
      <c r="F434" s="27"/>
      <c r="G434" s="27"/>
      <c r="H434" s="27"/>
      <c r="I434" s="27"/>
      <c r="J434" s="27"/>
      <c r="K434" s="27"/>
      <c r="L434" s="27"/>
      <c r="M434" s="27"/>
      <c r="N434" s="27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</row>
    <row r="435" spans="1:76" s="28" customFormat="1" x14ac:dyDescent="0.2">
      <c r="A435" s="18"/>
      <c r="B435" s="45"/>
      <c r="C435" s="54"/>
      <c r="D435" s="27"/>
      <c r="E435" s="18"/>
      <c r="F435" s="27"/>
      <c r="G435" s="27"/>
      <c r="H435" s="27"/>
      <c r="I435" s="27"/>
      <c r="J435" s="27"/>
      <c r="K435" s="27"/>
      <c r="L435" s="27"/>
      <c r="M435" s="27"/>
      <c r="N435" s="27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</row>
    <row r="436" spans="1:76" s="28" customFormat="1" x14ac:dyDescent="0.2">
      <c r="A436" s="18" t="s">
        <v>163</v>
      </c>
      <c r="B436" s="45"/>
      <c r="C436" s="46">
        <v>5.5</v>
      </c>
      <c r="D436" s="27" t="s">
        <v>7</v>
      </c>
      <c r="E436" s="18" t="s">
        <v>94</v>
      </c>
      <c r="F436" s="27"/>
      <c r="G436" s="27"/>
      <c r="H436" s="27"/>
      <c r="I436" s="27"/>
      <c r="J436" s="27"/>
      <c r="K436" s="27"/>
      <c r="L436" s="27"/>
      <c r="M436" s="27"/>
      <c r="N436" s="27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  <c r="BP436" s="24"/>
      <c r="BQ436" s="24"/>
      <c r="BR436" s="24"/>
      <c r="BS436" s="24"/>
      <c r="BT436" s="24"/>
      <c r="BU436" s="24"/>
      <c r="BV436" s="24"/>
      <c r="BW436" s="24"/>
      <c r="BX436" s="24"/>
    </row>
    <row r="437" spans="1:76" s="28" customFormat="1" x14ac:dyDescent="0.2">
      <c r="A437" s="18" t="s">
        <v>132</v>
      </c>
      <c r="B437" s="45"/>
      <c r="C437" s="54">
        <f>C433</f>
        <v>3</v>
      </c>
      <c r="D437" s="27" t="s">
        <v>7</v>
      </c>
      <c r="E437" s="18" t="s">
        <v>93</v>
      </c>
      <c r="F437" s="27"/>
      <c r="G437" s="27"/>
      <c r="H437" s="27"/>
      <c r="I437" s="27"/>
      <c r="J437" s="27"/>
      <c r="K437" s="27"/>
      <c r="L437" s="27"/>
      <c r="M437" s="27"/>
      <c r="N437" s="27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BM437" s="24"/>
      <c r="BN437" s="24"/>
      <c r="BO437" s="24"/>
      <c r="BP437" s="24"/>
      <c r="BQ437" s="24"/>
      <c r="BR437" s="24"/>
      <c r="BS437" s="24"/>
      <c r="BT437" s="24"/>
      <c r="BU437" s="24"/>
      <c r="BV437" s="24"/>
      <c r="BW437" s="24"/>
      <c r="BX437" s="24"/>
    </row>
    <row r="438" spans="1:76" s="28" customFormat="1" x14ac:dyDescent="0.2">
      <c r="A438" s="18"/>
      <c r="B438" s="45"/>
      <c r="C438" s="54">
        <f>C436*C437</f>
        <v>16.5</v>
      </c>
      <c r="D438" s="27" t="s">
        <v>8</v>
      </c>
      <c r="E438" s="18" t="s">
        <v>96</v>
      </c>
      <c r="F438" s="27"/>
      <c r="G438" s="27"/>
      <c r="H438" s="27"/>
      <c r="I438" s="27"/>
      <c r="J438" s="27"/>
      <c r="K438" s="27"/>
      <c r="L438" s="27"/>
      <c r="M438" s="27"/>
      <c r="N438" s="27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</row>
    <row r="439" spans="1:76" s="28" customFormat="1" x14ac:dyDescent="0.2">
      <c r="F439" s="27"/>
      <c r="G439" s="27"/>
      <c r="H439" s="27"/>
      <c r="I439" s="27"/>
      <c r="J439" s="27"/>
      <c r="K439" s="27"/>
      <c r="L439" s="27"/>
      <c r="M439" s="27"/>
      <c r="N439" s="27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</row>
    <row r="440" spans="1:76" s="28" customFormat="1" x14ac:dyDescent="0.2">
      <c r="A440" s="18" t="s">
        <v>37</v>
      </c>
      <c r="B440" s="45"/>
      <c r="C440" s="54">
        <v>3</v>
      </c>
      <c r="D440" s="27" t="s">
        <v>7</v>
      </c>
      <c r="E440" s="18" t="s">
        <v>92</v>
      </c>
      <c r="M440" s="27"/>
      <c r="N440" s="27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  <c r="BP440" s="24"/>
      <c r="BQ440" s="24"/>
      <c r="BR440" s="24"/>
      <c r="BS440" s="24"/>
      <c r="BT440" s="24"/>
      <c r="BU440" s="24"/>
      <c r="BV440" s="24"/>
      <c r="BW440" s="24"/>
      <c r="BX440" s="24"/>
    </row>
    <row r="441" spans="1:76" s="28" customFormat="1" x14ac:dyDescent="0.2">
      <c r="A441" s="27"/>
      <c r="B441" s="45"/>
      <c r="C441" s="46">
        <f>C429</f>
        <v>28.666666666666668</v>
      </c>
      <c r="D441" s="27" t="s">
        <v>7</v>
      </c>
      <c r="E441" s="18" t="s">
        <v>168</v>
      </c>
      <c r="M441" s="27"/>
      <c r="N441" s="27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  <c r="BP441" s="24"/>
      <c r="BQ441" s="24"/>
      <c r="BR441" s="24"/>
      <c r="BS441" s="24"/>
      <c r="BT441" s="24"/>
      <c r="BU441" s="24"/>
      <c r="BV441" s="24"/>
      <c r="BW441" s="24"/>
      <c r="BX441" s="24"/>
    </row>
    <row r="442" spans="1:76" s="28" customFormat="1" x14ac:dyDescent="0.2">
      <c r="A442" s="27"/>
      <c r="B442" s="45"/>
      <c r="C442" s="54">
        <f>C440*C441</f>
        <v>86</v>
      </c>
      <c r="D442" s="27" t="s">
        <v>8</v>
      </c>
      <c r="E442" s="18" t="s">
        <v>74</v>
      </c>
      <c r="M442" s="27"/>
      <c r="N442" s="27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</row>
    <row r="443" spans="1:76" s="28" customFormat="1" x14ac:dyDescent="0.2">
      <c r="A443" s="18"/>
      <c r="B443" s="45"/>
      <c r="C443" s="54"/>
      <c r="D443" s="27"/>
      <c r="E443" s="18"/>
      <c r="F443" s="27"/>
      <c r="G443" s="27"/>
      <c r="H443" s="27"/>
      <c r="I443" s="27"/>
      <c r="J443" s="27"/>
      <c r="K443" s="27"/>
      <c r="L443" s="27"/>
      <c r="M443" s="27"/>
      <c r="N443" s="27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</row>
    <row r="444" spans="1:76" s="28" customFormat="1" x14ac:dyDescent="0.2">
      <c r="A444" s="18" t="s">
        <v>122</v>
      </c>
      <c r="B444" s="45"/>
      <c r="C444" s="46">
        <v>4</v>
      </c>
      <c r="D444" s="27" t="s">
        <v>7</v>
      </c>
      <c r="E444" s="18" t="s">
        <v>94</v>
      </c>
      <c r="F444" s="27"/>
      <c r="G444" s="27"/>
      <c r="H444" s="27"/>
      <c r="I444" s="27"/>
      <c r="J444" s="27"/>
      <c r="K444" s="27"/>
      <c r="L444" s="27"/>
      <c r="M444" s="27"/>
      <c r="N444" s="27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  <c r="BP444" s="24"/>
      <c r="BQ444" s="24"/>
      <c r="BR444" s="24"/>
      <c r="BS444" s="24"/>
      <c r="BT444" s="24"/>
      <c r="BU444" s="24"/>
      <c r="BV444" s="24"/>
      <c r="BW444" s="24"/>
      <c r="BX444" s="24"/>
    </row>
    <row r="445" spans="1:76" s="28" customFormat="1" x14ac:dyDescent="0.2">
      <c r="A445" s="18" t="s">
        <v>131</v>
      </c>
      <c r="B445" s="45"/>
      <c r="C445" s="54">
        <f>C433</f>
        <v>3</v>
      </c>
      <c r="D445" s="27" t="s">
        <v>7</v>
      </c>
      <c r="E445" s="18" t="s">
        <v>93</v>
      </c>
      <c r="F445" s="27"/>
      <c r="G445" s="27"/>
      <c r="H445" s="27"/>
      <c r="I445" s="27"/>
      <c r="J445" s="27"/>
      <c r="K445" s="27"/>
      <c r="L445" s="27"/>
      <c r="M445" s="27"/>
      <c r="N445" s="27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  <c r="BP445" s="24"/>
      <c r="BQ445" s="24"/>
      <c r="BR445" s="24"/>
      <c r="BS445" s="24"/>
      <c r="BT445" s="24"/>
      <c r="BU445" s="24"/>
      <c r="BV445" s="24"/>
      <c r="BW445" s="24"/>
      <c r="BX445" s="24"/>
    </row>
    <row r="446" spans="1:76" s="28" customFormat="1" x14ac:dyDescent="0.2">
      <c r="A446" s="18"/>
      <c r="B446" s="45"/>
      <c r="C446" s="54">
        <f>C444*C445</f>
        <v>12</v>
      </c>
      <c r="D446" s="27" t="s">
        <v>8</v>
      </c>
      <c r="E446" s="18" t="s">
        <v>96</v>
      </c>
      <c r="F446" s="27"/>
      <c r="G446" s="27"/>
      <c r="H446" s="27"/>
      <c r="I446" s="27"/>
      <c r="J446" s="27"/>
      <c r="K446" s="27"/>
      <c r="L446" s="27"/>
      <c r="M446" s="27"/>
      <c r="N446" s="27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  <c r="BP446" s="24"/>
      <c r="BQ446" s="24"/>
      <c r="BR446" s="24"/>
      <c r="BS446" s="24"/>
      <c r="BT446" s="24"/>
      <c r="BU446" s="24"/>
      <c r="BV446" s="24"/>
      <c r="BW446" s="24"/>
      <c r="BX446" s="24"/>
    </row>
    <row r="447" spans="1:76" s="28" customFormat="1" x14ac:dyDescent="0.2">
      <c r="A447" s="18"/>
      <c r="B447" s="45"/>
      <c r="C447" s="54"/>
      <c r="D447" s="27"/>
      <c r="E447" s="18"/>
      <c r="F447" s="27"/>
      <c r="G447" s="27"/>
      <c r="H447" s="27"/>
      <c r="I447" s="27"/>
      <c r="J447" s="27"/>
      <c r="K447" s="27"/>
      <c r="L447" s="27"/>
      <c r="M447" s="27"/>
      <c r="N447" s="27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  <c r="BP447" s="24"/>
      <c r="BQ447" s="24"/>
      <c r="BR447" s="24"/>
      <c r="BS447" s="24"/>
      <c r="BT447" s="24"/>
      <c r="BU447" s="24"/>
      <c r="BV447" s="24"/>
      <c r="BW447" s="24"/>
      <c r="BX447" s="24"/>
    </row>
    <row r="448" spans="1:76" s="28" customFormat="1" x14ac:dyDescent="0.2">
      <c r="A448" s="18" t="s">
        <v>37</v>
      </c>
      <c r="B448" s="45"/>
      <c r="C448" s="46">
        <v>5.5</v>
      </c>
      <c r="D448" s="27" t="s">
        <v>7</v>
      </c>
      <c r="E448" s="18" t="s">
        <v>94</v>
      </c>
      <c r="F448" s="27"/>
      <c r="G448" s="27"/>
      <c r="H448" s="27"/>
      <c r="I448" s="27"/>
      <c r="J448" s="27"/>
      <c r="K448" s="27"/>
      <c r="L448" s="27"/>
      <c r="M448" s="27"/>
      <c r="N448" s="27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  <c r="BP448" s="24"/>
      <c r="BQ448" s="24"/>
      <c r="BR448" s="24"/>
      <c r="BS448" s="24"/>
      <c r="BT448" s="24"/>
      <c r="BU448" s="24"/>
      <c r="BV448" s="24"/>
      <c r="BW448" s="24"/>
      <c r="BX448" s="24"/>
    </row>
    <row r="449" spans="1:76" s="28" customFormat="1" x14ac:dyDescent="0.2">
      <c r="A449" s="18" t="s">
        <v>164</v>
      </c>
      <c r="B449" s="45"/>
      <c r="C449" s="54">
        <f>C433</f>
        <v>3</v>
      </c>
      <c r="D449" s="27" t="s">
        <v>7</v>
      </c>
      <c r="E449" s="18" t="s">
        <v>95</v>
      </c>
      <c r="F449" s="27"/>
      <c r="G449" s="27"/>
      <c r="H449" s="27"/>
      <c r="I449" s="27"/>
      <c r="J449" s="27"/>
      <c r="K449" s="27"/>
      <c r="L449" s="27"/>
      <c r="M449" s="27"/>
      <c r="N449" s="27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  <c r="BP449" s="24"/>
      <c r="BQ449" s="24"/>
      <c r="BR449" s="24"/>
      <c r="BS449" s="24"/>
      <c r="BT449" s="24"/>
      <c r="BU449" s="24"/>
      <c r="BV449" s="24"/>
      <c r="BW449" s="24"/>
      <c r="BX449" s="24"/>
    </row>
    <row r="450" spans="1:76" s="28" customFormat="1" x14ac:dyDescent="0.2">
      <c r="A450" s="18"/>
      <c r="B450" s="45"/>
      <c r="C450" s="54">
        <f>C448*C449</f>
        <v>16.5</v>
      </c>
      <c r="D450" s="27" t="s">
        <v>8</v>
      </c>
      <c r="E450" s="18" t="s">
        <v>96</v>
      </c>
      <c r="F450" s="27"/>
      <c r="G450" s="27"/>
      <c r="H450" s="27"/>
      <c r="I450" s="27"/>
      <c r="J450" s="27"/>
      <c r="K450" s="27"/>
      <c r="L450" s="27"/>
      <c r="M450" s="27"/>
      <c r="N450" s="27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</row>
    <row r="451" spans="1:76" s="28" customFormat="1" x14ac:dyDescent="0.2">
      <c r="A451" s="27"/>
      <c r="B451" s="45"/>
      <c r="C451" s="25"/>
      <c r="D451" s="27"/>
      <c r="E451" s="18"/>
      <c r="F451" s="27"/>
      <c r="G451" s="27"/>
      <c r="H451" s="27"/>
      <c r="I451" s="27"/>
      <c r="J451" s="27"/>
      <c r="K451" s="27"/>
      <c r="L451" s="27"/>
      <c r="M451" s="27"/>
      <c r="N451" s="27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</row>
    <row r="452" spans="1:76" s="22" customFormat="1" x14ac:dyDescent="0.2">
      <c r="A452" s="21"/>
      <c r="B452" s="37"/>
      <c r="C452" s="36">
        <f>C430+C434+C438+C442+C446+C450</f>
        <v>229</v>
      </c>
      <c r="D452" s="21" t="s">
        <v>8</v>
      </c>
      <c r="E452" s="23" t="s">
        <v>24</v>
      </c>
      <c r="F452" s="21"/>
      <c r="G452" s="21"/>
      <c r="H452" s="21"/>
      <c r="I452" s="21"/>
      <c r="J452" s="21"/>
      <c r="K452" s="21"/>
      <c r="L452" s="21"/>
      <c r="M452" s="21"/>
      <c r="N452" s="21"/>
    </row>
    <row r="453" spans="1:76" s="24" customFormat="1" x14ac:dyDescent="0.2">
      <c r="A453" s="20"/>
      <c r="B453" s="35"/>
      <c r="C453" s="25"/>
      <c r="D453" s="20"/>
      <c r="E453" s="17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1:76" s="44" customFormat="1" x14ac:dyDescent="0.2">
      <c r="A454" s="30">
        <f>A39</f>
        <v>516</v>
      </c>
      <c r="B454" s="39">
        <f>B39</f>
        <v>42600</v>
      </c>
      <c r="C454" s="31">
        <f>ROUNDUP(C459,0)</f>
        <v>58</v>
      </c>
      <c r="D454" s="30" t="str">
        <f>D39</f>
        <v>FT</v>
      </c>
      <c r="E454" s="32" t="str">
        <f>E39</f>
        <v>ELASTOMERIC BEARING PAD, MISC.: 1.5" THICK STRIP BEARING</v>
      </c>
      <c r="F454" s="43"/>
      <c r="G454" s="43"/>
      <c r="H454" s="43"/>
      <c r="I454" s="43"/>
      <c r="J454" s="43"/>
      <c r="K454" s="43"/>
      <c r="L454" s="43"/>
      <c r="M454" s="43"/>
      <c r="N454" s="4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  <c r="BO454" s="33"/>
      <c r="BP454" s="33"/>
      <c r="BQ454" s="33"/>
      <c r="BR454" s="33"/>
      <c r="BS454" s="33"/>
      <c r="BT454" s="33"/>
      <c r="BU454" s="33"/>
      <c r="BV454" s="33"/>
      <c r="BW454" s="33"/>
      <c r="BX454" s="33"/>
    </row>
    <row r="455" spans="1:76" s="28" customFormat="1" x14ac:dyDescent="0.2">
      <c r="A455" s="52"/>
      <c r="B455" s="53"/>
      <c r="C455" s="46">
        <v>1</v>
      </c>
      <c r="D455" s="27" t="s">
        <v>7</v>
      </c>
      <c r="E455" s="18" t="s">
        <v>97</v>
      </c>
      <c r="F455" s="27"/>
      <c r="G455" s="27"/>
      <c r="H455" s="27"/>
      <c r="I455" s="27"/>
      <c r="J455" s="27"/>
      <c r="K455" s="27"/>
      <c r="L455" s="27"/>
      <c r="M455" s="27"/>
      <c r="N455" s="27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  <c r="BP455" s="24"/>
      <c r="BQ455" s="24"/>
      <c r="BR455" s="24"/>
      <c r="BS455" s="24"/>
      <c r="BT455" s="24"/>
      <c r="BU455" s="24"/>
      <c r="BV455" s="24"/>
      <c r="BW455" s="24"/>
      <c r="BX455" s="24"/>
    </row>
    <row r="456" spans="1:76" s="28" customFormat="1" x14ac:dyDescent="0.2">
      <c r="A456" s="52"/>
      <c r="B456" s="53"/>
      <c r="C456" s="54">
        <f>28+8/12</f>
        <v>28.666666666666668</v>
      </c>
      <c r="D456" s="27" t="s">
        <v>7</v>
      </c>
      <c r="E456" s="18" t="s">
        <v>98</v>
      </c>
      <c r="F456" s="27"/>
      <c r="G456" s="27"/>
      <c r="H456" s="27"/>
      <c r="I456" s="27"/>
      <c r="J456" s="27"/>
      <c r="K456" s="27"/>
      <c r="L456" s="27"/>
      <c r="M456" s="27"/>
      <c r="N456" s="27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  <c r="BP456" s="24"/>
      <c r="BQ456" s="24"/>
      <c r="BR456" s="24"/>
      <c r="BS456" s="24"/>
      <c r="BT456" s="24"/>
      <c r="BU456" s="24"/>
      <c r="BV456" s="24"/>
      <c r="BW456" s="24"/>
      <c r="BX456" s="24"/>
    </row>
    <row r="457" spans="1:76" s="28" customFormat="1" x14ac:dyDescent="0.2">
      <c r="A457" s="52"/>
      <c r="B457" s="53"/>
      <c r="C457" s="46">
        <v>2</v>
      </c>
      <c r="D457" s="27" t="s">
        <v>25</v>
      </c>
      <c r="E457" s="18" t="s">
        <v>60</v>
      </c>
      <c r="F457" s="27"/>
      <c r="G457" s="27"/>
      <c r="H457" s="27"/>
      <c r="I457" s="27"/>
      <c r="J457" s="27"/>
      <c r="K457" s="27"/>
      <c r="L457" s="27"/>
      <c r="M457" s="27"/>
      <c r="N457" s="27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</row>
    <row r="458" spans="1:76" s="28" customFormat="1" x14ac:dyDescent="0.2">
      <c r="A458" s="27"/>
      <c r="B458" s="45"/>
      <c r="C458" s="25"/>
      <c r="D458" s="27"/>
      <c r="E458" s="18"/>
      <c r="F458" s="27"/>
      <c r="G458" s="27"/>
      <c r="H458" s="27"/>
      <c r="I458" s="27"/>
      <c r="J458" s="27"/>
      <c r="K458" s="27"/>
      <c r="L458" s="27"/>
      <c r="M458" s="27"/>
      <c r="N458" s="27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</row>
    <row r="459" spans="1:76" s="22" customFormat="1" x14ac:dyDescent="0.2">
      <c r="A459" s="21"/>
      <c r="B459" s="37"/>
      <c r="C459" s="36">
        <f>C456*C457</f>
        <v>57.333333333333336</v>
      </c>
      <c r="D459" s="21" t="s">
        <v>3</v>
      </c>
      <c r="E459" s="23" t="s">
        <v>24</v>
      </c>
      <c r="F459" s="21"/>
      <c r="G459" s="21"/>
      <c r="H459" s="21"/>
      <c r="I459" s="21"/>
      <c r="J459" s="21"/>
      <c r="K459" s="21"/>
      <c r="L459" s="21"/>
      <c r="M459" s="21"/>
      <c r="N459" s="21"/>
    </row>
    <row r="460" spans="1:76" s="24" customFormat="1" x14ac:dyDescent="0.2">
      <c r="A460" s="20"/>
      <c r="B460" s="35"/>
      <c r="C460" s="25"/>
      <c r="D460" s="20"/>
      <c r="E460" s="17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1:76" s="44" customFormat="1" x14ac:dyDescent="0.2">
      <c r="A461" s="30">
        <f>A42</f>
        <v>518</v>
      </c>
      <c r="B461" s="39">
        <f>B42</f>
        <v>21200</v>
      </c>
      <c r="C461" s="31">
        <f>ROUNDUP(C475,0)</f>
        <v>76</v>
      </c>
      <c r="D461" s="30" t="str">
        <f>D42</f>
        <v>CY</v>
      </c>
      <c r="E461" s="32" t="str">
        <f>E42</f>
        <v>POROUS BACKFILL WITH GEOTEXTILE FABRIC</v>
      </c>
      <c r="F461" s="34"/>
      <c r="G461" s="34"/>
      <c r="H461" s="34"/>
      <c r="I461" s="34"/>
      <c r="J461" s="34"/>
      <c r="K461" s="34"/>
      <c r="L461" s="34"/>
      <c r="M461" s="43"/>
      <c r="N461" s="4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  <c r="BO461" s="33"/>
      <c r="BP461" s="33"/>
      <c r="BQ461" s="33"/>
      <c r="BR461" s="33"/>
      <c r="BS461" s="33"/>
      <c r="BT461" s="33"/>
      <c r="BU461" s="33"/>
      <c r="BV461" s="33"/>
      <c r="BW461" s="33"/>
      <c r="BX461" s="33"/>
    </row>
    <row r="462" spans="1:76" s="24" customFormat="1" x14ac:dyDescent="0.2">
      <c r="A462" s="17" t="s">
        <v>36</v>
      </c>
      <c r="B462" s="35"/>
      <c r="C462" s="150">
        <f>14-2</f>
        <v>12</v>
      </c>
      <c r="D462" s="20" t="s">
        <v>7</v>
      </c>
      <c r="E462" s="17" t="s">
        <v>169</v>
      </c>
      <c r="F462" s="20"/>
      <c r="G462" s="20"/>
      <c r="H462" s="20"/>
      <c r="I462" s="20"/>
      <c r="J462" s="20"/>
      <c r="K462" s="20"/>
      <c r="L462" s="20"/>
      <c r="M462" s="20"/>
      <c r="N462" s="20"/>
    </row>
    <row r="463" spans="1:76" s="24" customFormat="1" x14ac:dyDescent="0.2">
      <c r="A463" s="17"/>
      <c r="B463" s="35"/>
      <c r="C463" s="150">
        <f>12.5-2</f>
        <v>10.5</v>
      </c>
      <c r="D463" s="20"/>
      <c r="E463" s="17" t="s">
        <v>170</v>
      </c>
      <c r="F463" s="20"/>
      <c r="G463" s="20"/>
      <c r="H463" s="20"/>
      <c r="I463" s="20"/>
      <c r="J463" s="20"/>
      <c r="K463" s="20"/>
      <c r="L463" s="20"/>
      <c r="M463" s="20"/>
      <c r="N463" s="20"/>
    </row>
    <row r="464" spans="1:76" s="24" customFormat="1" x14ac:dyDescent="0.2">
      <c r="A464" s="17"/>
      <c r="B464" s="35"/>
      <c r="C464" s="150">
        <v>2</v>
      </c>
      <c r="D464" s="20" t="s">
        <v>7</v>
      </c>
      <c r="E464" s="17" t="s">
        <v>30</v>
      </c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1:76" s="24" customFormat="1" x14ac:dyDescent="0.2">
      <c r="A465" s="17"/>
      <c r="B465" s="35"/>
      <c r="C465" s="150">
        <f>13+11.25+28+8/12-4</f>
        <v>48.916666666666664</v>
      </c>
      <c r="D465" s="20" t="s">
        <v>7</v>
      </c>
      <c r="E465" s="17" t="s">
        <v>171</v>
      </c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1:76" s="24" customFormat="1" x14ac:dyDescent="0.2">
      <c r="A466" s="17"/>
      <c r="B466" s="35"/>
      <c r="C466" s="150">
        <f>0.5*(C462+C463)*C464*C465</f>
        <v>1100.625</v>
      </c>
      <c r="D466" s="20"/>
      <c r="E466" s="17" t="s">
        <v>172</v>
      </c>
      <c r="F466" s="20"/>
      <c r="G466" s="20"/>
      <c r="H466" s="20"/>
      <c r="I466" s="20"/>
      <c r="J466" s="20"/>
      <c r="K466" s="20"/>
      <c r="L466" s="20"/>
      <c r="M466" s="20"/>
      <c r="N466" s="20"/>
    </row>
    <row r="467" spans="1:76" s="24" customFormat="1" x14ac:dyDescent="0.2">
      <c r="A467" s="17"/>
      <c r="B467" s="35"/>
      <c r="C467" s="25"/>
      <c r="D467" s="20"/>
      <c r="E467" s="17"/>
      <c r="F467" s="20"/>
      <c r="G467" s="20"/>
      <c r="H467" s="20"/>
      <c r="I467" s="20"/>
      <c r="J467" s="20"/>
      <c r="K467" s="20"/>
      <c r="L467" s="20"/>
      <c r="M467" s="20"/>
      <c r="N467" s="20"/>
    </row>
    <row r="468" spans="1:76" s="24" customFormat="1" x14ac:dyDescent="0.2">
      <c r="A468" s="17" t="s">
        <v>37</v>
      </c>
      <c r="B468" s="35"/>
      <c r="C468" s="150">
        <f>12.25-2</f>
        <v>10.25</v>
      </c>
      <c r="D468" s="20" t="s">
        <v>7</v>
      </c>
      <c r="E468" s="17" t="s">
        <v>169</v>
      </c>
      <c r="F468" s="20"/>
      <c r="G468" s="20"/>
      <c r="H468" s="20"/>
      <c r="I468" s="20"/>
      <c r="J468" s="20"/>
      <c r="K468" s="20"/>
      <c r="L468" s="20"/>
      <c r="M468" s="20"/>
      <c r="N468" s="20"/>
    </row>
    <row r="469" spans="1:76" s="24" customFormat="1" x14ac:dyDescent="0.2">
      <c r="A469" s="17"/>
      <c r="B469" s="35"/>
      <c r="C469" s="150">
        <f>10.75-2</f>
        <v>8.75</v>
      </c>
      <c r="D469" s="20" t="s">
        <v>7</v>
      </c>
      <c r="E469" s="17" t="s">
        <v>170</v>
      </c>
      <c r="F469" s="20"/>
      <c r="G469" s="20"/>
      <c r="H469" s="20"/>
      <c r="I469" s="20"/>
      <c r="J469" s="20"/>
      <c r="K469" s="20"/>
      <c r="L469" s="20"/>
      <c r="M469" s="20"/>
      <c r="N469" s="20"/>
    </row>
    <row r="470" spans="1:76" s="24" customFormat="1" x14ac:dyDescent="0.2">
      <c r="A470" s="17"/>
      <c r="B470" s="35"/>
      <c r="C470" s="150">
        <v>2</v>
      </c>
      <c r="D470" s="20" t="s">
        <v>7</v>
      </c>
      <c r="E470" s="17" t="s">
        <v>30</v>
      </c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1:76" s="24" customFormat="1" x14ac:dyDescent="0.2">
      <c r="A471" s="17"/>
      <c r="B471" s="35"/>
      <c r="C471" s="150">
        <f>C465</f>
        <v>48.916666666666664</v>
      </c>
      <c r="D471" s="20"/>
      <c r="E471" s="17" t="s">
        <v>171</v>
      </c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1:76" s="24" customFormat="1" x14ac:dyDescent="0.2">
      <c r="A472" s="17"/>
      <c r="B472" s="35"/>
      <c r="C472" s="150">
        <f>0.5*(C468+C469)*C470*C471</f>
        <v>929.41666666666663</v>
      </c>
      <c r="D472" s="20"/>
      <c r="E472" s="17" t="s">
        <v>173</v>
      </c>
      <c r="F472" s="20"/>
      <c r="G472" s="20"/>
      <c r="H472" s="20"/>
      <c r="I472" s="20"/>
      <c r="J472" s="20"/>
      <c r="K472" s="20"/>
      <c r="L472" s="20"/>
      <c r="M472" s="20"/>
      <c r="N472" s="20"/>
    </row>
    <row r="473" spans="1:76" s="24" customFormat="1" x14ac:dyDescent="0.2">
      <c r="A473" s="20"/>
      <c r="B473" s="35"/>
      <c r="C473" s="25"/>
      <c r="D473" s="20"/>
      <c r="E473" s="17"/>
      <c r="F473" s="20"/>
      <c r="G473" s="20"/>
      <c r="H473" s="20"/>
      <c r="I473" s="20"/>
      <c r="J473" s="20"/>
      <c r="K473" s="20"/>
      <c r="L473" s="20"/>
      <c r="M473" s="20"/>
      <c r="N473" s="20"/>
    </row>
    <row r="474" spans="1:76" s="24" customFormat="1" x14ac:dyDescent="0.2">
      <c r="A474" s="20"/>
      <c r="B474" s="35"/>
      <c r="C474" s="51">
        <f>C466+C472</f>
        <v>2030.0416666666665</v>
      </c>
      <c r="D474" s="20" t="s">
        <v>11</v>
      </c>
      <c r="E474" s="17" t="s">
        <v>47</v>
      </c>
      <c r="F474" s="20"/>
      <c r="G474" s="20"/>
      <c r="H474" s="20"/>
      <c r="I474" s="20"/>
      <c r="J474" s="20"/>
      <c r="K474" s="20"/>
      <c r="L474" s="20"/>
      <c r="M474" s="20"/>
      <c r="N474" s="20"/>
    </row>
    <row r="475" spans="1:76" s="24" customFormat="1" x14ac:dyDescent="0.2">
      <c r="A475" s="20"/>
      <c r="B475" s="35"/>
      <c r="C475" s="51">
        <f>C474/27</f>
        <v>75.186728395061721</v>
      </c>
      <c r="D475" s="20" t="s">
        <v>10</v>
      </c>
      <c r="E475" s="17" t="s">
        <v>47</v>
      </c>
      <c r="F475" s="20"/>
      <c r="G475" s="20"/>
      <c r="H475" s="20"/>
      <c r="I475" s="20"/>
      <c r="J475" s="20"/>
      <c r="K475" s="20"/>
      <c r="L475" s="20"/>
      <c r="M475" s="20"/>
      <c r="N475" s="20"/>
    </row>
    <row r="476" spans="1:76" s="33" customFormat="1" x14ac:dyDescent="0.2"/>
    <row r="477" spans="1:76" s="44" customFormat="1" x14ac:dyDescent="0.2">
      <c r="A477" s="30">
        <f>A43</f>
        <v>518</v>
      </c>
      <c r="B477" s="39">
        <f>B43</f>
        <v>40000</v>
      </c>
      <c r="C477" s="31">
        <f>ROUNDUP(C481,0)</f>
        <v>88</v>
      </c>
      <c r="D477" s="30" t="str">
        <f>D43</f>
        <v>FT</v>
      </c>
      <c r="E477" s="32" t="str">
        <f>E43</f>
        <v>6" PERFORATED CORRUGATED PLASTIC PIPE</v>
      </c>
      <c r="F477" s="34"/>
      <c r="G477" s="34"/>
      <c r="H477" s="34"/>
      <c r="I477" s="34"/>
      <c r="J477" s="34"/>
      <c r="K477" s="34"/>
      <c r="L477" s="34"/>
      <c r="M477" s="43"/>
      <c r="N477" s="4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  <c r="BO477" s="33"/>
      <c r="BP477" s="33"/>
      <c r="BQ477" s="33"/>
      <c r="BR477" s="33"/>
      <c r="BS477" s="33"/>
      <c r="BT477" s="33"/>
      <c r="BU477" s="33"/>
      <c r="BV477" s="33"/>
      <c r="BW477" s="33"/>
      <c r="BX477" s="33"/>
    </row>
    <row r="478" spans="1:76" s="24" customFormat="1" x14ac:dyDescent="0.2">
      <c r="A478" s="20"/>
      <c r="B478" s="35"/>
      <c r="C478" s="150">
        <f>11.5+27+9</f>
        <v>47.5</v>
      </c>
      <c r="D478" s="20" t="s">
        <v>7</v>
      </c>
      <c r="E478" s="17" t="s">
        <v>174</v>
      </c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1:76" s="24" customFormat="1" x14ac:dyDescent="0.2">
      <c r="A479" s="20"/>
      <c r="B479" s="35"/>
      <c r="C479" s="150">
        <f>7+27+6</f>
        <v>40</v>
      </c>
      <c r="D479" s="20" t="s">
        <v>7</v>
      </c>
      <c r="E479" s="17" t="s">
        <v>175</v>
      </c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1:76" s="24" customFormat="1" x14ac:dyDescent="0.2">
      <c r="A480" s="20"/>
      <c r="B480" s="35"/>
      <c r="C480" s="25"/>
      <c r="D480" s="20"/>
      <c r="E480" s="17"/>
      <c r="F480" s="20"/>
      <c r="G480" s="20"/>
      <c r="H480" s="20"/>
      <c r="I480" s="20"/>
      <c r="J480" s="20"/>
      <c r="K480" s="20"/>
      <c r="L480" s="20"/>
      <c r="M480" s="20"/>
      <c r="N480" s="20"/>
    </row>
    <row r="481" spans="1:76" s="24" customFormat="1" x14ac:dyDescent="0.2">
      <c r="A481" s="20"/>
      <c r="B481" s="35"/>
      <c r="C481" s="51">
        <f>C478+C479</f>
        <v>87.5</v>
      </c>
      <c r="D481" s="20" t="s">
        <v>7</v>
      </c>
      <c r="E481" s="17" t="s">
        <v>46</v>
      </c>
      <c r="F481" s="20"/>
      <c r="G481" s="20"/>
      <c r="H481" s="20"/>
      <c r="I481" s="20"/>
      <c r="J481" s="20"/>
      <c r="K481" s="20"/>
      <c r="L481" s="20"/>
      <c r="M481" s="20"/>
      <c r="N481" s="20"/>
    </row>
    <row r="482" spans="1:76" s="33" customFormat="1" x14ac:dyDescent="0.2"/>
    <row r="483" spans="1:76" s="44" customFormat="1" x14ac:dyDescent="0.2">
      <c r="A483" s="30">
        <f>A44</f>
        <v>518</v>
      </c>
      <c r="B483" s="39">
        <f>B44</f>
        <v>40010</v>
      </c>
      <c r="C483" s="31">
        <f>ROUNDUP(C487,0)</f>
        <v>16</v>
      </c>
      <c r="D483" s="30" t="str">
        <f>D44</f>
        <v>FT</v>
      </c>
      <c r="E483" s="32" t="str">
        <f>E44</f>
        <v>6" NON-PERFORATED CORRUGATED PLASTIC PIPE, INCLUDING SPECIALS</v>
      </c>
      <c r="F483" s="34"/>
      <c r="G483" s="34"/>
      <c r="H483" s="34"/>
      <c r="I483" s="34"/>
      <c r="J483" s="34"/>
      <c r="K483" s="34"/>
      <c r="L483" s="34"/>
      <c r="M483" s="34"/>
      <c r="N483" s="34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  <c r="BO483" s="33"/>
      <c r="BP483" s="33"/>
      <c r="BQ483" s="33"/>
      <c r="BR483" s="33"/>
      <c r="BS483" s="33"/>
      <c r="BT483" s="33"/>
      <c r="BU483" s="33"/>
      <c r="BV483" s="33"/>
      <c r="BW483" s="33"/>
      <c r="BX483" s="33"/>
    </row>
    <row r="484" spans="1:76" s="24" customFormat="1" x14ac:dyDescent="0.2">
      <c r="A484" s="20"/>
      <c r="B484" s="35"/>
      <c r="C484" s="150">
        <f>6.25+1+2</f>
        <v>9.25</v>
      </c>
      <c r="D484" s="20" t="s">
        <v>7</v>
      </c>
      <c r="E484" s="17" t="s">
        <v>174</v>
      </c>
      <c r="F484" s="20"/>
      <c r="G484" s="20"/>
      <c r="H484" s="20"/>
      <c r="I484" s="20"/>
      <c r="J484" s="20"/>
      <c r="K484" s="20"/>
      <c r="L484" s="20"/>
      <c r="M484" s="20"/>
      <c r="N484" s="20"/>
    </row>
    <row r="485" spans="1:76" s="24" customFormat="1" x14ac:dyDescent="0.2">
      <c r="A485" s="20"/>
      <c r="B485" s="35"/>
      <c r="C485" s="150">
        <f>3.02+1+2</f>
        <v>6.02</v>
      </c>
      <c r="D485" s="20" t="s">
        <v>7</v>
      </c>
      <c r="E485" s="17" t="s">
        <v>175</v>
      </c>
      <c r="F485" s="20"/>
      <c r="G485" s="20"/>
      <c r="H485" s="20"/>
      <c r="I485" s="20"/>
      <c r="J485" s="20"/>
      <c r="K485" s="20"/>
      <c r="L485" s="20"/>
      <c r="M485" s="20"/>
      <c r="N485" s="20"/>
    </row>
    <row r="486" spans="1:76" s="24" customFormat="1" x14ac:dyDescent="0.2">
      <c r="A486" s="20"/>
      <c r="B486" s="35"/>
      <c r="C486" s="25"/>
      <c r="D486" s="20"/>
      <c r="E486" s="17"/>
      <c r="F486" s="20"/>
      <c r="G486" s="20"/>
      <c r="H486" s="20"/>
      <c r="I486" s="20"/>
      <c r="J486" s="20"/>
      <c r="K486" s="20"/>
      <c r="L486" s="20"/>
      <c r="M486" s="20"/>
      <c r="N486" s="20"/>
    </row>
    <row r="487" spans="1:76" s="22" customFormat="1" x14ac:dyDescent="0.2">
      <c r="A487" s="21"/>
      <c r="B487" s="37"/>
      <c r="C487" s="36">
        <f>C484+C485</f>
        <v>15.27</v>
      </c>
      <c r="D487" s="21" t="s">
        <v>7</v>
      </c>
      <c r="E487" s="23" t="s">
        <v>46</v>
      </c>
      <c r="F487" s="21"/>
      <c r="G487" s="21"/>
      <c r="H487" s="21"/>
      <c r="I487" s="21"/>
      <c r="J487" s="21"/>
      <c r="K487" s="21"/>
      <c r="L487" s="21"/>
      <c r="M487" s="21"/>
      <c r="N487" s="21"/>
    </row>
    <row r="488" spans="1:76" s="24" customFormat="1" x14ac:dyDescent="0.2"/>
    <row r="489" spans="1:76" s="24" customFormat="1" x14ac:dyDescent="0.2">
      <c r="A489" s="40">
        <f>A47</f>
        <v>524</v>
      </c>
      <c r="B489" s="40">
        <f>B47</f>
        <v>94802</v>
      </c>
      <c r="C489" s="41">
        <f>ROUNDUP(C519,0)</f>
        <v>65</v>
      </c>
      <c r="D489" s="40" t="str">
        <f t="shared" ref="D489:E489" si="3">D47</f>
        <v>FT</v>
      </c>
      <c r="E489" s="42" t="str">
        <f t="shared" si="3"/>
        <v>DRILLED SHAFTS, 42" DIAMETER, ABOVE BEDROCK</v>
      </c>
      <c r="F489" s="43"/>
      <c r="G489" s="43"/>
      <c r="H489" s="43"/>
      <c r="I489" s="43"/>
      <c r="J489" s="43"/>
      <c r="K489" s="43"/>
      <c r="L489" s="43"/>
      <c r="M489" s="43"/>
      <c r="N489" s="43"/>
    </row>
    <row r="490" spans="1:76" s="24" customFormat="1" x14ac:dyDescent="0.2">
      <c r="A490" s="24" t="s">
        <v>206</v>
      </c>
    </row>
    <row r="491" spans="1:76" s="24" customFormat="1" x14ac:dyDescent="0.2">
      <c r="A491" s="24" t="s">
        <v>36</v>
      </c>
      <c r="C491" s="46">
        <v>613.5</v>
      </c>
      <c r="D491" s="24" t="s">
        <v>7</v>
      </c>
      <c r="E491" s="24" t="s">
        <v>176</v>
      </c>
    </row>
    <row r="492" spans="1:76" s="24" customFormat="1" x14ac:dyDescent="0.2">
      <c r="C492" s="46">
        <v>597.29999999999995</v>
      </c>
      <c r="D492" s="24" t="s">
        <v>7</v>
      </c>
      <c r="E492" s="24" t="s">
        <v>207</v>
      </c>
    </row>
    <row r="493" spans="1:76" s="24" customFormat="1" ht="15.75" thickBot="1" x14ac:dyDescent="0.25">
      <c r="C493" s="157">
        <f>C523</f>
        <v>12</v>
      </c>
      <c r="D493" s="24" t="s">
        <v>7</v>
      </c>
      <c r="E493" s="24" t="s">
        <v>201</v>
      </c>
    </row>
    <row r="494" spans="1:76" s="24" customFormat="1" ht="13.5" thickTop="1" x14ac:dyDescent="0.2">
      <c r="C494" s="25">
        <f>C491-C492-C493</f>
        <v>4.2000000000000455</v>
      </c>
      <c r="D494" s="24" t="s">
        <v>7</v>
      </c>
      <c r="E494" s="24" t="s">
        <v>177</v>
      </c>
    </row>
    <row r="495" spans="1:76" s="24" customFormat="1" x14ac:dyDescent="0.2">
      <c r="C495" s="46">
        <v>5</v>
      </c>
      <c r="D495" s="24" t="s">
        <v>12</v>
      </c>
      <c r="E495" s="24" t="s">
        <v>135</v>
      </c>
    </row>
    <row r="496" spans="1:76" s="24" customFormat="1" x14ac:dyDescent="0.2">
      <c r="C496" s="20">
        <f>C494*C495</f>
        <v>21.000000000000227</v>
      </c>
      <c r="D496" s="24" t="s">
        <v>7</v>
      </c>
      <c r="E496" s="24" t="s">
        <v>258</v>
      </c>
    </row>
    <row r="497" spans="1:5" s="24" customFormat="1" x14ac:dyDescent="0.2">
      <c r="C497" s="20"/>
    </row>
    <row r="498" spans="1:5" s="24" customFormat="1" x14ac:dyDescent="0.2">
      <c r="A498" s="24" t="s">
        <v>37</v>
      </c>
      <c r="C498" s="46">
        <v>615</v>
      </c>
      <c r="D498" s="24" t="s">
        <v>7</v>
      </c>
      <c r="E498" s="24" t="s">
        <v>176</v>
      </c>
    </row>
    <row r="499" spans="1:5" s="24" customFormat="1" x14ac:dyDescent="0.2">
      <c r="C499" s="46">
        <v>594.5</v>
      </c>
      <c r="D499" s="24" t="s">
        <v>7</v>
      </c>
      <c r="E499" s="24" t="s">
        <v>207</v>
      </c>
    </row>
    <row r="500" spans="1:5" s="24" customFormat="1" ht="15.75" thickBot="1" x14ac:dyDescent="0.25">
      <c r="C500" s="157">
        <f>C526</f>
        <v>14.5</v>
      </c>
      <c r="D500" s="24" t="s">
        <v>7</v>
      </c>
      <c r="E500" s="24" t="s">
        <v>201</v>
      </c>
    </row>
    <row r="501" spans="1:5" s="24" customFormat="1" ht="13.5" thickTop="1" x14ac:dyDescent="0.2">
      <c r="C501" s="25">
        <f>C498-C499-C500</f>
        <v>6</v>
      </c>
      <c r="D501" s="24" t="s">
        <v>7</v>
      </c>
      <c r="E501" s="24" t="s">
        <v>177</v>
      </c>
    </row>
    <row r="502" spans="1:5" s="24" customFormat="1" x14ac:dyDescent="0.2">
      <c r="C502" s="46">
        <v>5</v>
      </c>
      <c r="D502" s="24" t="s">
        <v>12</v>
      </c>
      <c r="E502" s="24" t="s">
        <v>135</v>
      </c>
    </row>
    <row r="503" spans="1:5" s="24" customFormat="1" x14ac:dyDescent="0.2">
      <c r="C503" s="20">
        <f>C501*C502</f>
        <v>30</v>
      </c>
      <c r="D503" s="24" t="s">
        <v>7</v>
      </c>
      <c r="E503" s="24" t="s">
        <v>258</v>
      </c>
    </row>
    <row r="504" spans="1:5" s="24" customFormat="1" x14ac:dyDescent="0.2">
      <c r="C504" s="20"/>
    </row>
    <row r="505" spans="1:5" s="24" customFormat="1" x14ac:dyDescent="0.2">
      <c r="A505" s="24" t="s">
        <v>113</v>
      </c>
      <c r="C505" s="46">
        <v>610</v>
      </c>
      <c r="D505" s="24" t="s">
        <v>7</v>
      </c>
      <c r="E505" s="24" t="s">
        <v>176</v>
      </c>
    </row>
    <row r="506" spans="1:5" s="24" customFormat="1" x14ac:dyDescent="0.2">
      <c r="C506" s="46">
        <v>591.70000000000005</v>
      </c>
      <c r="D506" s="24" t="s">
        <v>7</v>
      </c>
      <c r="E506" s="24" t="s">
        <v>207</v>
      </c>
    </row>
    <row r="507" spans="1:5" s="24" customFormat="1" ht="15.75" thickBot="1" x14ac:dyDescent="0.25">
      <c r="C507" s="157">
        <f>C529</f>
        <v>13.9</v>
      </c>
      <c r="D507" s="24" t="s">
        <v>7</v>
      </c>
      <c r="E507" s="24" t="s">
        <v>201</v>
      </c>
    </row>
    <row r="508" spans="1:5" s="24" customFormat="1" ht="13.5" thickTop="1" x14ac:dyDescent="0.2">
      <c r="C508" s="25">
        <f>C505-C506-C507</f>
        <v>4.3999999999999542</v>
      </c>
      <c r="D508" s="24" t="s">
        <v>7</v>
      </c>
      <c r="E508" s="24" t="s">
        <v>177</v>
      </c>
    </row>
    <row r="509" spans="1:5" s="24" customFormat="1" x14ac:dyDescent="0.2">
      <c r="C509" s="46">
        <v>3</v>
      </c>
      <c r="D509" s="24" t="s">
        <v>12</v>
      </c>
      <c r="E509" s="24" t="s">
        <v>135</v>
      </c>
    </row>
    <row r="510" spans="1:5" s="24" customFormat="1" x14ac:dyDescent="0.2">
      <c r="C510" s="20">
        <f>C508*C509</f>
        <v>13.199999999999863</v>
      </c>
      <c r="D510" s="24" t="s">
        <v>7</v>
      </c>
      <c r="E510" s="24" t="s">
        <v>258</v>
      </c>
    </row>
    <row r="511" spans="1:5" s="24" customFormat="1" x14ac:dyDescent="0.2">
      <c r="C511" s="20"/>
    </row>
    <row r="512" spans="1:5" s="24" customFormat="1" x14ac:dyDescent="0.2">
      <c r="A512" s="24" t="s">
        <v>114</v>
      </c>
      <c r="C512" s="46">
        <v>608</v>
      </c>
      <c r="D512" s="24" t="s">
        <v>7</v>
      </c>
      <c r="E512" s="24" t="s">
        <v>176</v>
      </c>
    </row>
    <row r="513" spans="1:14" s="24" customFormat="1" x14ac:dyDescent="0.2">
      <c r="C513" s="46">
        <v>596.52</v>
      </c>
      <c r="D513" s="24" t="s">
        <v>7</v>
      </c>
      <c r="E513" s="24" t="s">
        <v>207</v>
      </c>
    </row>
    <row r="514" spans="1:14" s="24" customFormat="1" ht="15.75" thickBot="1" x14ac:dyDescent="0.25">
      <c r="C514" s="157">
        <f>C532</f>
        <v>11.48</v>
      </c>
      <c r="D514" s="24" t="s">
        <v>7</v>
      </c>
      <c r="E514" s="24" t="s">
        <v>201</v>
      </c>
    </row>
    <row r="515" spans="1:14" s="24" customFormat="1" ht="13.5" thickTop="1" x14ac:dyDescent="0.2">
      <c r="C515" s="25">
        <f>C512-C513-C514</f>
        <v>1.7763568394002505E-14</v>
      </c>
      <c r="D515" s="24" t="s">
        <v>7</v>
      </c>
      <c r="E515" s="24" t="s">
        <v>177</v>
      </c>
    </row>
    <row r="516" spans="1:14" s="24" customFormat="1" x14ac:dyDescent="0.2">
      <c r="C516" s="46">
        <v>3</v>
      </c>
      <c r="D516" s="24" t="s">
        <v>12</v>
      </c>
      <c r="E516" s="24" t="s">
        <v>135</v>
      </c>
    </row>
    <row r="517" spans="1:14" s="24" customFormat="1" x14ac:dyDescent="0.2">
      <c r="C517" s="20">
        <f>C515*C516</f>
        <v>5.3290705182007514E-14</v>
      </c>
      <c r="D517" s="24" t="s">
        <v>7</v>
      </c>
      <c r="E517" s="24" t="s">
        <v>258</v>
      </c>
    </row>
    <row r="518" spans="1:14" s="24" customFormat="1" x14ac:dyDescent="0.2"/>
    <row r="519" spans="1:14" s="22" customFormat="1" x14ac:dyDescent="0.2">
      <c r="A519" s="21"/>
      <c r="B519" s="37"/>
      <c r="C519" s="36">
        <f>C496+C503+C510+C517</f>
        <v>64.200000000000145</v>
      </c>
      <c r="D519" s="21" t="s">
        <v>7</v>
      </c>
      <c r="E519" s="23" t="s">
        <v>108</v>
      </c>
      <c r="F519" s="21"/>
      <c r="G519" s="21"/>
      <c r="H519" s="21"/>
      <c r="I519" s="21"/>
      <c r="J519" s="21"/>
      <c r="K519" s="21"/>
      <c r="L519" s="21"/>
      <c r="M519" s="21"/>
      <c r="N519" s="21"/>
    </row>
    <row r="520" spans="1:14" s="24" customFormat="1" x14ac:dyDescent="0.2"/>
    <row r="521" spans="1:14" s="24" customFormat="1" x14ac:dyDescent="0.2">
      <c r="A521" s="40">
        <f>A46</f>
        <v>524</v>
      </c>
      <c r="B521" s="40">
        <f>B46</f>
        <v>94704</v>
      </c>
      <c r="C521" s="41">
        <f>ROUNDUP(C535,0)</f>
        <v>209</v>
      </c>
      <c r="D521" s="40" t="str">
        <f t="shared" ref="D521:E521" si="4">D46</f>
        <v>FT</v>
      </c>
      <c r="E521" s="42" t="str">
        <f t="shared" si="4"/>
        <v>DRILLED SHAFTS, 36" DIAMETER, INTO BEDROCK</v>
      </c>
      <c r="F521" s="43"/>
      <c r="G521" s="43"/>
      <c r="H521" s="43"/>
      <c r="I521" s="43"/>
      <c r="J521" s="43"/>
      <c r="K521" s="43"/>
      <c r="L521" s="43"/>
      <c r="M521" s="43"/>
      <c r="N521" s="43"/>
    </row>
    <row r="522" spans="1:14" s="24" customFormat="1" x14ac:dyDescent="0.2">
      <c r="A522" s="24" t="s">
        <v>200</v>
      </c>
    </row>
    <row r="523" spans="1:14" s="24" customFormat="1" x14ac:dyDescent="0.2">
      <c r="A523" s="24" t="s">
        <v>36</v>
      </c>
      <c r="C523" s="46">
        <v>12</v>
      </c>
      <c r="D523" s="24" t="s">
        <v>7</v>
      </c>
      <c r="E523" s="24" t="s">
        <v>201</v>
      </c>
    </row>
    <row r="524" spans="1:14" s="24" customFormat="1" x14ac:dyDescent="0.2">
      <c r="C524" s="196">
        <f>C495</f>
        <v>5</v>
      </c>
      <c r="D524" s="24" t="s">
        <v>12</v>
      </c>
      <c r="E524" s="24" t="s">
        <v>135</v>
      </c>
    </row>
    <row r="525" spans="1:14" s="24" customFormat="1" x14ac:dyDescent="0.2"/>
    <row r="526" spans="1:14" s="24" customFormat="1" x14ac:dyDescent="0.2">
      <c r="A526" s="24" t="s">
        <v>37</v>
      </c>
      <c r="C526" s="46">
        <v>14.5</v>
      </c>
      <c r="D526" s="24" t="s">
        <v>7</v>
      </c>
      <c r="E526" s="24" t="s">
        <v>201</v>
      </c>
    </row>
    <row r="527" spans="1:14" s="24" customFormat="1" x14ac:dyDescent="0.2">
      <c r="C527" s="196">
        <f>C502</f>
        <v>5</v>
      </c>
      <c r="D527" s="24" t="s">
        <v>12</v>
      </c>
      <c r="E527" s="24" t="s">
        <v>135</v>
      </c>
    </row>
    <row r="528" spans="1:14" s="24" customFormat="1" x14ac:dyDescent="0.2"/>
    <row r="529" spans="1:76" s="24" customFormat="1" x14ac:dyDescent="0.2">
      <c r="A529" s="24" t="s">
        <v>113</v>
      </c>
      <c r="C529" s="46">
        <v>13.9</v>
      </c>
      <c r="D529" s="24" t="s">
        <v>7</v>
      </c>
      <c r="E529" s="24" t="s">
        <v>201</v>
      </c>
    </row>
    <row r="530" spans="1:76" s="24" customFormat="1" x14ac:dyDescent="0.2">
      <c r="C530" s="196">
        <f>C509</f>
        <v>3</v>
      </c>
      <c r="D530" s="24" t="s">
        <v>12</v>
      </c>
      <c r="E530" s="24" t="s">
        <v>135</v>
      </c>
    </row>
    <row r="531" spans="1:76" s="24" customFormat="1" x14ac:dyDescent="0.2"/>
    <row r="532" spans="1:76" s="24" customFormat="1" x14ac:dyDescent="0.2">
      <c r="A532" s="24" t="s">
        <v>114</v>
      </c>
      <c r="C532" s="46">
        <v>11.48</v>
      </c>
      <c r="D532" s="24" t="s">
        <v>7</v>
      </c>
      <c r="E532" s="24" t="s">
        <v>201</v>
      </c>
    </row>
    <row r="533" spans="1:76" s="24" customFormat="1" x14ac:dyDescent="0.2">
      <c r="C533" s="196">
        <f>C516</f>
        <v>3</v>
      </c>
      <c r="D533" s="24" t="s">
        <v>12</v>
      </c>
      <c r="E533" s="24" t="s">
        <v>135</v>
      </c>
    </row>
    <row r="534" spans="1:76" s="24" customFormat="1" x14ac:dyDescent="0.2"/>
    <row r="535" spans="1:76" s="123" customFormat="1" x14ac:dyDescent="0.2">
      <c r="A535" s="120"/>
      <c r="B535" s="121"/>
      <c r="C535" s="36">
        <f>C523*C524+C526*C527+C529*C530+C532*C533</f>
        <v>208.64</v>
      </c>
      <c r="D535" s="120" t="s">
        <v>7</v>
      </c>
      <c r="E535" s="122" t="s">
        <v>108</v>
      </c>
      <c r="F535" s="120"/>
      <c r="G535" s="120"/>
      <c r="H535" s="120"/>
      <c r="I535" s="120"/>
      <c r="J535" s="120"/>
      <c r="K535" s="120"/>
      <c r="L535" s="120"/>
      <c r="M535" s="120"/>
      <c r="N535" s="120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</row>
    <row r="536" spans="1:76" s="33" customFormat="1" x14ac:dyDescent="0.2"/>
    <row r="537" spans="1:76" s="44" customFormat="1" x14ac:dyDescent="0.2">
      <c r="A537" s="30">
        <f>A48</f>
        <v>524</v>
      </c>
      <c r="B537" s="39">
        <f>B48</f>
        <v>95000</v>
      </c>
      <c r="C537" s="31">
        <f>ROUNDUP(C541,0)</f>
        <v>11</v>
      </c>
      <c r="D537" s="30" t="str">
        <f t="shared" ref="D537:E537" si="5">D48</f>
        <v>FT</v>
      </c>
      <c r="E537" s="32" t="str">
        <f t="shared" si="5"/>
        <v xml:space="preserve">DRILLED SHAFTS, MISC.: DEMONSTRATION DRILLED SHAFT </v>
      </c>
      <c r="F537" s="34"/>
      <c r="G537" s="34"/>
      <c r="H537" s="34"/>
      <c r="I537" s="34"/>
      <c r="J537" s="34"/>
      <c r="K537" s="34"/>
      <c r="L537" s="34"/>
      <c r="M537" s="34"/>
      <c r="N537" s="34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  <c r="BO537" s="33"/>
      <c r="BP537" s="33"/>
      <c r="BQ537" s="33"/>
      <c r="BR537" s="33"/>
      <c r="BS537" s="33"/>
      <c r="BT537" s="33"/>
      <c r="BU537" s="33"/>
      <c r="BV537" s="33"/>
      <c r="BW537" s="33"/>
      <c r="BX537" s="33"/>
    </row>
    <row r="538" spans="1:76" s="111" customFormat="1" x14ac:dyDescent="0.2">
      <c r="A538" s="107"/>
      <c r="B538" s="108"/>
      <c r="C538" s="149">
        <f>MAX(C494,C501)</f>
        <v>6</v>
      </c>
      <c r="D538" s="107" t="s">
        <v>7</v>
      </c>
      <c r="E538" s="110" t="s">
        <v>198</v>
      </c>
      <c r="F538" s="107"/>
      <c r="G538" s="107"/>
      <c r="H538" s="107"/>
      <c r="I538" s="107"/>
      <c r="J538" s="107"/>
      <c r="K538" s="107"/>
      <c r="L538" s="107"/>
      <c r="M538" s="107"/>
      <c r="N538" s="107"/>
    </row>
    <row r="539" spans="1:76" s="24" customFormat="1" x14ac:dyDescent="0.2">
      <c r="A539" s="20"/>
      <c r="B539" s="35"/>
      <c r="C539" s="149">
        <f>MAX(C508,C515)</f>
        <v>4.3999999999999542</v>
      </c>
      <c r="D539" s="20" t="s">
        <v>7</v>
      </c>
      <c r="E539" s="17" t="s">
        <v>199</v>
      </c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1:76" s="24" customFormat="1" x14ac:dyDescent="0.2">
      <c r="A540" s="20"/>
      <c r="B540" s="35"/>
      <c r="D540" s="20"/>
      <c r="E540" s="17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1:76" s="123" customFormat="1" x14ac:dyDescent="0.2">
      <c r="A541" s="120"/>
      <c r="B541" s="121"/>
      <c r="C541" s="36">
        <f>ROUNDUP(C538+C539,0)</f>
        <v>11</v>
      </c>
      <c r="D541" s="120" t="s">
        <v>7</v>
      </c>
      <c r="E541" s="122" t="s">
        <v>108</v>
      </c>
      <c r="F541" s="120"/>
      <c r="G541" s="120"/>
      <c r="H541" s="120"/>
      <c r="I541" s="120"/>
      <c r="J541" s="120"/>
      <c r="K541" s="120"/>
      <c r="L541" s="120"/>
      <c r="M541" s="120"/>
      <c r="N541" s="120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</row>
    <row r="542" spans="1:76" s="33" customFormat="1" x14ac:dyDescent="0.2"/>
    <row r="543" spans="1:76" s="44" customFormat="1" x14ac:dyDescent="0.2">
      <c r="A543" s="30">
        <f>A50</f>
        <v>526</v>
      </c>
      <c r="B543" s="39">
        <f>B50</f>
        <v>25011</v>
      </c>
      <c r="C543" s="31">
        <f>ROUNDUP(C547,0)</f>
        <v>155</v>
      </c>
      <c r="D543" s="30" t="str">
        <f>D50</f>
        <v>SY</v>
      </c>
      <c r="E543" s="32" t="str">
        <f>E50</f>
        <v>REINFORCED CONCRETE APPROACH SLABS WITH QC/QA (T=15"), AS PER PLAN</v>
      </c>
      <c r="F543" s="34"/>
      <c r="G543" s="34"/>
      <c r="H543" s="34"/>
      <c r="I543" s="34"/>
      <c r="J543" s="34"/>
      <c r="K543" s="34"/>
      <c r="L543" s="34"/>
      <c r="M543" s="34"/>
      <c r="N543" s="34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  <c r="BO543" s="33"/>
      <c r="BP543" s="33"/>
      <c r="BQ543" s="33"/>
      <c r="BR543" s="33"/>
      <c r="BS543" s="33"/>
      <c r="BT543" s="33"/>
      <c r="BU543" s="33"/>
      <c r="BV543" s="33"/>
      <c r="BW543" s="33"/>
      <c r="BX543" s="33"/>
    </row>
    <row r="544" spans="1:76" s="171" customFormat="1" x14ac:dyDescent="0.2">
      <c r="A544" s="110" t="s">
        <v>241</v>
      </c>
      <c r="B544" s="170"/>
      <c r="C544" s="149">
        <v>695</v>
      </c>
      <c r="D544" s="107" t="s">
        <v>8</v>
      </c>
      <c r="E544" s="110" t="s">
        <v>242</v>
      </c>
      <c r="F544" s="107"/>
      <c r="G544" s="107"/>
      <c r="H544" s="107"/>
      <c r="I544" s="107"/>
      <c r="J544" s="107"/>
      <c r="K544" s="107"/>
      <c r="L544" s="107"/>
      <c r="M544" s="107"/>
      <c r="N544" s="107"/>
    </row>
    <row r="545" spans="1:76" s="28" customFormat="1" x14ac:dyDescent="0.2">
      <c r="A545" s="17" t="s">
        <v>243</v>
      </c>
      <c r="B545" s="48"/>
      <c r="C545" s="46">
        <v>695.01700000000005</v>
      </c>
      <c r="D545" s="20" t="s">
        <v>8</v>
      </c>
      <c r="E545" s="17" t="s">
        <v>242</v>
      </c>
      <c r="F545" s="20"/>
      <c r="G545" s="20"/>
      <c r="H545" s="20"/>
      <c r="I545" s="20"/>
      <c r="J545" s="20"/>
      <c r="K545" s="20"/>
      <c r="L545" s="20"/>
      <c r="M545" s="20"/>
      <c r="N545" s="20"/>
    </row>
    <row r="546" spans="1:76" s="28" customFormat="1" x14ac:dyDescent="0.2">
      <c r="A546" s="106"/>
      <c r="B546" s="48"/>
      <c r="C546" s="61"/>
      <c r="D546" s="106"/>
      <c r="E546" s="112"/>
      <c r="F546" s="20"/>
      <c r="G546" s="20"/>
      <c r="H546" s="20"/>
      <c r="I546" s="20"/>
      <c r="J546" s="20"/>
      <c r="K546" s="20"/>
      <c r="L546" s="20"/>
      <c r="M546" s="20"/>
      <c r="N546" s="20"/>
    </row>
    <row r="547" spans="1:76" s="22" customFormat="1" x14ac:dyDescent="0.2">
      <c r="A547" s="21"/>
      <c r="B547" s="37"/>
      <c r="C547" s="36">
        <f>(C544+C545)/9</f>
        <v>154.44633333333334</v>
      </c>
      <c r="D547" s="21" t="s">
        <v>9</v>
      </c>
      <c r="E547" s="23" t="s">
        <v>24</v>
      </c>
      <c r="F547" s="21"/>
      <c r="G547" s="21"/>
      <c r="H547" s="21"/>
      <c r="I547" s="21"/>
    </row>
    <row r="548" spans="1:76" s="24" customFormat="1" x14ac:dyDescent="0.2"/>
    <row r="549" spans="1:76" s="97" customFormat="1" x14ac:dyDescent="0.2">
      <c r="A549" s="40">
        <f>A51</f>
        <v>526</v>
      </c>
      <c r="B549" s="40">
        <f>B51</f>
        <v>90030</v>
      </c>
      <c r="C549" s="41">
        <f>ROUNDUP(C554,0)</f>
        <v>50</v>
      </c>
      <c r="D549" s="40" t="str">
        <f>D51</f>
        <v>FT</v>
      </c>
      <c r="E549" s="42" t="str">
        <f>E51</f>
        <v>TYPE C INSTALLATION</v>
      </c>
      <c r="F549" s="43"/>
      <c r="G549" s="43"/>
      <c r="H549" s="43"/>
      <c r="I549" s="43"/>
      <c r="J549" s="43"/>
      <c r="K549" s="43"/>
      <c r="L549" s="43"/>
      <c r="M549" s="43"/>
      <c r="N549" s="43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  <c r="AA549" s="152"/>
      <c r="AB549" s="152"/>
      <c r="AC549" s="152"/>
      <c r="AD549" s="152"/>
      <c r="AE549" s="152"/>
      <c r="AF549" s="152"/>
      <c r="AG549" s="152"/>
      <c r="AH549" s="152"/>
      <c r="AI549" s="152"/>
      <c r="AJ549" s="152"/>
      <c r="AK549" s="152"/>
      <c r="AL549" s="152"/>
      <c r="AM549" s="152"/>
      <c r="AN549" s="152"/>
      <c r="AO549" s="152"/>
      <c r="AP549" s="152"/>
      <c r="AQ549" s="152"/>
      <c r="AR549" s="152"/>
      <c r="AS549" s="152"/>
      <c r="AT549" s="152"/>
      <c r="AU549" s="152"/>
      <c r="AV549" s="152"/>
      <c r="AW549" s="152"/>
      <c r="AX549" s="152"/>
      <c r="AY549" s="152"/>
      <c r="AZ549" s="152"/>
      <c r="BA549" s="152"/>
      <c r="BB549" s="152"/>
      <c r="BC549" s="152"/>
      <c r="BD549" s="152"/>
      <c r="BE549" s="152"/>
      <c r="BF549" s="152"/>
      <c r="BG549" s="152"/>
      <c r="BH549" s="152"/>
      <c r="BI549" s="152"/>
      <c r="BJ549" s="152"/>
      <c r="BK549" s="152"/>
      <c r="BL549" s="152"/>
      <c r="BM549" s="152"/>
      <c r="BN549" s="152"/>
      <c r="BO549" s="152"/>
      <c r="BP549" s="152"/>
      <c r="BQ549" s="152"/>
      <c r="BR549" s="152"/>
      <c r="BS549" s="152"/>
      <c r="BT549" s="152"/>
      <c r="BU549" s="152"/>
      <c r="BV549" s="152"/>
      <c r="BW549" s="152"/>
      <c r="BX549" s="152"/>
    </row>
    <row r="550" spans="1:76" s="96" customFormat="1" x14ac:dyDescent="0.2">
      <c r="A550" s="18" t="s">
        <v>36</v>
      </c>
      <c r="B550" s="45"/>
      <c r="C550" s="46">
        <v>25</v>
      </c>
      <c r="D550" s="27" t="s">
        <v>7</v>
      </c>
      <c r="E550" s="18" t="s">
        <v>102</v>
      </c>
      <c r="F550" s="27"/>
      <c r="G550" s="27"/>
      <c r="H550" s="27"/>
      <c r="I550" s="27"/>
      <c r="J550" s="27"/>
      <c r="K550" s="27"/>
      <c r="L550" s="27"/>
      <c r="M550" s="27"/>
      <c r="N550" s="27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</row>
    <row r="551" spans="1:76" s="96" customFormat="1" x14ac:dyDescent="0.2">
      <c r="A551" s="18"/>
      <c r="B551" s="45"/>
      <c r="C551" s="54"/>
      <c r="D551" s="27"/>
      <c r="E551" s="18"/>
      <c r="F551" s="27"/>
      <c r="G551" s="27"/>
      <c r="H551" s="27"/>
      <c r="I551" s="27"/>
      <c r="J551" s="27"/>
      <c r="K551" s="27"/>
      <c r="L551" s="27"/>
      <c r="M551" s="27"/>
      <c r="N551" s="27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</row>
    <row r="552" spans="1:76" s="96" customFormat="1" x14ac:dyDescent="0.2">
      <c r="A552" s="18" t="s">
        <v>37</v>
      </c>
      <c r="B552" s="45"/>
      <c r="C552" s="46">
        <v>25</v>
      </c>
      <c r="D552" s="27" t="s">
        <v>7</v>
      </c>
      <c r="E552" s="18" t="s">
        <v>102</v>
      </c>
      <c r="F552" s="27"/>
      <c r="G552" s="27"/>
      <c r="H552" s="27"/>
      <c r="I552" s="27"/>
      <c r="J552" s="27"/>
      <c r="K552" s="27"/>
      <c r="L552" s="27"/>
      <c r="M552" s="27"/>
      <c r="N552" s="27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</row>
    <row r="553" spans="1:76" s="96" customFormat="1" x14ac:dyDescent="0.2">
      <c r="A553" s="27"/>
      <c r="B553" s="45"/>
      <c r="C553" s="25"/>
      <c r="D553" s="27"/>
      <c r="E553" s="18"/>
      <c r="F553" s="27"/>
      <c r="G553" s="27"/>
      <c r="H553" s="27"/>
      <c r="I553" s="27"/>
      <c r="J553" s="27"/>
      <c r="K553" s="27"/>
      <c r="L553" s="27"/>
      <c r="M553" s="27"/>
      <c r="N553" s="27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</row>
    <row r="554" spans="1:76" s="13" customFormat="1" x14ac:dyDescent="0.2">
      <c r="A554" s="21"/>
      <c r="B554" s="37"/>
      <c r="C554" s="36">
        <f>C550+C552</f>
        <v>50</v>
      </c>
      <c r="D554" s="21" t="s">
        <v>7</v>
      </c>
      <c r="E554" s="23" t="s">
        <v>6</v>
      </c>
      <c r="F554" s="21"/>
      <c r="G554" s="21"/>
      <c r="H554" s="21"/>
      <c r="I554" s="21"/>
      <c r="J554" s="21"/>
      <c r="K554" s="21"/>
      <c r="L554" s="21"/>
      <c r="M554" s="21"/>
      <c r="N554" s="21"/>
    </row>
    <row r="555" spans="1:76" s="24" customFormat="1" x14ac:dyDescent="0.2">
      <c r="A555" s="20"/>
      <c r="B555" s="35"/>
      <c r="C555" s="25"/>
      <c r="D555" s="20"/>
      <c r="E555" s="17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1:76" s="44" customFormat="1" x14ac:dyDescent="0.2">
      <c r="A556" s="40">
        <f>A53</f>
        <v>601</v>
      </c>
      <c r="B556" s="148">
        <f>B53</f>
        <v>21050</v>
      </c>
      <c r="C556" s="41">
        <f>ROUNDUP(C563,0)</f>
        <v>4</v>
      </c>
      <c r="D556" s="40" t="str">
        <f t="shared" ref="D556:E556" si="6">D53</f>
        <v>SY</v>
      </c>
      <c r="E556" s="42" t="str">
        <f t="shared" si="6"/>
        <v>TIED CONCRETE BLOCK MAT WITH TYPE 1 UNDERLAYMENT</v>
      </c>
      <c r="F556" s="43"/>
      <c r="G556" s="43"/>
      <c r="H556" s="43"/>
      <c r="I556" s="43"/>
      <c r="J556" s="43"/>
      <c r="K556" s="43"/>
      <c r="L556" s="43"/>
      <c r="M556" s="43"/>
      <c r="N556" s="4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  <c r="BO556" s="33"/>
      <c r="BP556" s="33"/>
      <c r="BQ556" s="33"/>
      <c r="BR556" s="33"/>
      <c r="BS556" s="33"/>
      <c r="BT556" s="33"/>
      <c r="BU556" s="33"/>
      <c r="BV556" s="33"/>
      <c r="BW556" s="33"/>
      <c r="BX556" s="33"/>
    </row>
    <row r="557" spans="1:76" s="28" customFormat="1" x14ac:dyDescent="0.2">
      <c r="A557" s="18" t="s">
        <v>241</v>
      </c>
      <c r="B557" s="45"/>
      <c r="C557" s="46">
        <f>4*4</f>
        <v>16</v>
      </c>
      <c r="D557" s="27" t="s">
        <v>8</v>
      </c>
      <c r="E557" s="18" t="s">
        <v>248</v>
      </c>
      <c r="F557" s="27"/>
      <c r="G557" s="27"/>
      <c r="H557" s="27"/>
      <c r="I557" s="27"/>
      <c r="J557" s="27"/>
      <c r="K557" s="27"/>
      <c r="L557" s="27"/>
      <c r="M557" s="27"/>
      <c r="N557" s="27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  <c r="BM557" s="24"/>
      <c r="BN557" s="24"/>
      <c r="BO557" s="24"/>
      <c r="BP557" s="24"/>
      <c r="BQ557" s="24"/>
      <c r="BR557" s="24"/>
      <c r="BS557" s="24"/>
      <c r="BT557" s="24"/>
      <c r="BU557" s="24"/>
      <c r="BV557" s="24"/>
      <c r="BW557" s="24"/>
      <c r="BX557" s="24"/>
    </row>
    <row r="558" spans="1:76" s="28" customFormat="1" x14ac:dyDescent="0.2">
      <c r="B558" s="45"/>
      <c r="C558" s="46">
        <v>1</v>
      </c>
      <c r="D558" s="27" t="s">
        <v>25</v>
      </c>
      <c r="E558" s="18" t="s">
        <v>249</v>
      </c>
      <c r="F558" s="27"/>
      <c r="G558" s="27"/>
      <c r="H558" s="27"/>
      <c r="I558" s="27"/>
      <c r="J558" s="27"/>
      <c r="K558" s="27"/>
      <c r="L558" s="27"/>
      <c r="M558" s="27"/>
      <c r="N558" s="27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</row>
    <row r="559" spans="1:76" s="28" customFormat="1" x14ac:dyDescent="0.2">
      <c r="A559" s="28" t="s">
        <v>243</v>
      </c>
      <c r="B559" s="45"/>
      <c r="C559" s="46">
        <f>4*4</f>
        <v>16</v>
      </c>
      <c r="D559" s="27" t="s">
        <v>9</v>
      </c>
      <c r="E559" s="18" t="s">
        <v>248</v>
      </c>
      <c r="F559" s="27"/>
      <c r="G559" s="27"/>
      <c r="H559" s="27"/>
      <c r="I559" s="27"/>
      <c r="J559" s="27"/>
      <c r="K559" s="27"/>
      <c r="L559" s="27"/>
      <c r="M559" s="27"/>
      <c r="N559" s="27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</row>
    <row r="560" spans="1:76" s="28" customFormat="1" x14ac:dyDescent="0.2">
      <c r="B560" s="45"/>
      <c r="C560" s="46">
        <v>1</v>
      </c>
      <c r="D560" s="27" t="s">
        <v>25</v>
      </c>
      <c r="E560" s="18" t="s">
        <v>249</v>
      </c>
      <c r="F560" s="27"/>
      <c r="G560" s="27"/>
      <c r="H560" s="27"/>
      <c r="I560" s="27"/>
      <c r="J560" s="27"/>
      <c r="K560" s="27"/>
      <c r="L560" s="27"/>
      <c r="M560" s="27"/>
      <c r="N560" s="27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BH560" s="24"/>
      <c r="BI560" s="24"/>
      <c r="BJ560" s="24"/>
      <c r="BK560" s="24"/>
      <c r="BL560" s="24"/>
      <c r="BM560" s="24"/>
      <c r="BN560" s="24"/>
      <c r="BO560" s="24"/>
      <c r="BP560" s="24"/>
      <c r="BQ560" s="24"/>
      <c r="BR560" s="24"/>
      <c r="BS560" s="24"/>
      <c r="BT560" s="24"/>
      <c r="BU560" s="24"/>
      <c r="BV560" s="24"/>
      <c r="BW560" s="24"/>
      <c r="BX560" s="24"/>
    </row>
    <row r="561" spans="1:76" s="28" customFormat="1" x14ac:dyDescent="0.2">
      <c r="A561" s="27"/>
      <c r="B561" s="45"/>
      <c r="C561" s="25"/>
      <c r="D561" s="27"/>
      <c r="E561" s="18"/>
      <c r="F561" s="27"/>
      <c r="G561" s="27"/>
      <c r="H561" s="27"/>
      <c r="I561" s="27"/>
      <c r="J561" s="27"/>
      <c r="K561" s="27"/>
      <c r="L561" s="27"/>
      <c r="M561" s="27"/>
      <c r="N561" s="27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BH561" s="24"/>
      <c r="BI561" s="24"/>
      <c r="BJ561" s="24"/>
      <c r="BK561" s="24"/>
      <c r="BL561" s="24"/>
      <c r="BM561" s="24"/>
      <c r="BN561" s="24"/>
      <c r="BO561" s="24"/>
      <c r="BP561" s="24"/>
      <c r="BQ561" s="24"/>
      <c r="BR561" s="24"/>
      <c r="BS561" s="24"/>
      <c r="BT561" s="24"/>
      <c r="BU561" s="24"/>
      <c r="BV561" s="24"/>
      <c r="BW561" s="24"/>
      <c r="BX561" s="24"/>
    </row>
    <row r="562" spans="1:76" s="28" customFormat="1" x14ac:dyDescent="0.2">
      <c r="A562" s="27"/>
      <c r="B562" s="45"/>
      <c r="C562" s="36">
        <f>C557*C558+C559*C560</f>
        <v>32</v>
      </c>
      <c r="D562" s="27" t="s">
        <v>8</v>
      </c>
      <c r="E562" s="18" t="s">
        <v>6</v>
      </c>
      <c r="F562" s="27"/>
      <c r="G562" s="27"/>
      <c r="H562" s="27"/>
      <c r="I562" s="27"/>
      <c r="J562" s="27"/>
      <c r="K562" s="27"/>
      <c r="L562" s="27"/>
      <c r="M562" s="27"/>
      <c r="N562" s="27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</row>
    <row r="563" spans="1:76" s="22" customFormat="1" x14ac:dyDescent="0.2">
      <c r="A563" s="21"/>
      <c r="B563" s="37"/>
      <c r="C563" s="36">
        <f>C562/9</f>
        <v>3.5555555555555554</v>
      </c>
      <c r="D563" s="21" t="s">
        <v>9</v>
      </c>
      <c r="E563" s="23" t="s">
        <v>6</v>
      </c>
      <c r="F563" s="21"/>
      <c r="G563" s="21"/>
      <c r="H563" s="21"/>
      <c r="I563" s="21"/>
      <c r="J563" s="21"/>
      <c r="K563" s="21"/>
      <c r="L563" s="21"/>
      <c r="M563" s="21"/>
      <c r="N563" s="21"/>
    </row>
    <row r="564" spans="1:76" s="24" customFormat="1" x14ac:dyDescent="0.2"/>
    <row r="565" spans="1:76" s="44" customFormat="1" x14ac:dyDescent="0.2">
      <c r="A565" s="40">
        <f>A54</f>
        <v>601</v>
      </c>
      <c r="B565" s="148">
        <f>B54</f>
        <v>20000</v>
      </c>
      <c r="C565" s="41">
        <f>ROUNDUP(C570,0)</f>
        <v>73</v>
      </c>
      <c r="D565" s="40" t="str">
        <f>D54</f>
        <v>SY</v>
      </c>
      <c r="E565" s="42" t="str">
        <f>E54</f>
        <v>CRUSHED AGGREGATE SLOPE PROTECTION</v>
      </c>
      <c r="F565" s="43"/>
      <c r="G565" s="43"/>
      <c r="H565" s="43"/>
      <c r="I565" s="43"/>
      <c r="J565" s="43"/>
      <c r="K565" s="43"/>
      <c r="L565" s="43"/>
      <c r="M565" s="43"/>
      <c r="N565" s="4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  <c r="BO565" s="33"/>
      <c r="BP565" s="33"/>
      <c r="BQ565" s="33"/>
      <c r="BR565" s="33"/>
      <c r="BS565" s="33"/>
      <c r="BT565" s="33"/>
      <c r="BU565" s="33"/>
      <c r="BV565" s="33"/>
      <c r="BW565" s="33"/>
      <c r="BX565" s="33"/>
    </row>
    <row r="566" spans="1:76" s="28" customFormat="1" x14ac:dyDescent="0.2">
      <c r="A566" s="18"/>
      <c r="B566" s="45"/>
      <c r="C566" s="46">
        <v>653</v>
      </c>
      <c r="D566" s="27" t="s">
        <v>8</v>
      </c>
      <c r="E566" s="18" t="s">
        <v>250</v>
      </c>
      <c r="F566" s="27"/>
      <c r="G566" s="27"/>
      <c r="H566" s="27"/>
      <c r="I566" s="27"/>
      <c r="J566" s="27"/>
      <c r="K566" s="27"/>
      <c r="L566" s="27"/>
      <c r="M566" s="27"/>
      <c r="N566" s="27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BH566" s="24"/>
      <c r="BI566" s="24"/>
      <c r="BJ566" s="24"/>
      <c r="BK566" s="24"/>
      <c r="BL566" s="24"/>
      <c r="BM566" s="24"/>
      <c r="BN566" s="24"/>
      <c r="BO566" s="24"/>
      <c r="BP566" s="24"/>
      <c r="BQ566" s="24"/>
      <c r="BR566" s="24"/>
      <c r="BS566" s="24"/>
      <c r="BT566" s="24"/>
      <c r="BU566" s="24"/>
      <c r="BV566" s="24"/>
      <c r="BW566" s="24"/>
      <c r="BX566" s="24"/>
    </row>
    <row r="567" spans="1:76" s="28" customFormat="1" x14ac:dyDescent="0.2">
      <c r="A567" s="205" t="s">
        <v>251</v>
      </c>
      <c r="B567" s="45"/>
      <c r="C567" s="46">
        <v>0</v>
      </c>
      <c r="D567" s="27" t="s">
        <v>7</v>
      </c>
      <c r="E567" s="18" t="s">
        <v>252</v>
      </c>
      <c r="F567" s="27"/>
      <c r="G567" s="27"/>
      <c r="H567" s="27"/>
      <c r="I567" s="27"/>
      <c r="J567" s="27"/>
      <c r="K567" s="27"/>
      <c r="L567" s="27"/>
      <c r="M567" s="27"/>
      <c r="N567" s="27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  <c r="BF567" s="24"/>
      <c r="BG567" s="24"/>
      <c r="BH567" s="24"/>
      <c r="BI567" s="24"/>
      <c r="BJ567" s="24"/>
      <c r="BK567" s="24"/>
      <c r="BL567" s="24"/>
      <c r="BM567" s="24"/>
      <c r="BN567" s="24"/>
      <c r="BO567" s="24"/>
      <c r="BP567" s="24"/>
      <c r="BQ567" s="24"/>
      <c r="BR567" s="24"/>
      <c r="BS567" s="24"/>
      <c r="BT567" s="24"/>
      <c r="BU567" s="24"/>
      <c r="BV567" s="24"/>
      <c r="BW567" s="24"/>
      <c r="BX567" s="24"/>
    </row>
    <row r="568" spans="1:76" s="28" customFormat="1" x14ac:dyDescent="0.2">
      <c r="A568" s="205"/>
      <c r="B568" s="45"/>
      <c r="C568" s="25"/>
      <c r="D568" s="27"/>
      <c r="E568" s="18"/>
      <c r="F568" s="27"/>
      <c r="G568" s="27"/>
      <c r="H568" s="27"/>
      <c r="I568" s="27"/>
      <c r="J568" s="27"/>
      <c r="K568" s="27"/>
      <c r="L568" s="27"/>
      <c r="M568" s="27"/>
      <c r="N568" s="27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BH568" s="24"/>
      <c r="BI568" s="24"/>
      <c r="BJ568" s="24"/>
      <c r="BK568" s="24"/>
      <c r="BL568" s="24"/>
      <c r="BM568" s="24"/>
      <c r="BN568" s="24"/>
      <c r="BO568" s="24"/>
      <c r="BP568" s="24"/>
      <c r="BQ568" s="24"/>
      <c r="BR568" s="24"/>
      <c r="BS568" s="24"/>
      <c r="BT568" s="24"/>
      <c r="BU568" s="24"/>
      <c r="BV568" s="24"/>
      <c r="BW568" s="24"/>
      <c r="BX568" s="24"/>
    </row>
    <row r="569" spans="1:76" s="28" customFormat="1" x14ac:dyDescent="0.2">
      <c r="A569" s="205"/>
      <c r="B569" s="45"/>
      <c r="C569" s="36">
        <f>C566+C567</f>
        <v>653</v>
      </c>
      <c r="D569" s="27" t="s">
        <v>8</v>
      </c>
      <c r="E569" s="18" t="s">
        <v>6</v>
      </c>
      <c r="F569" s="27"/>
      <c r="G569" s="27"/>
      <c r="H569" s="27"/>
      <c r="I569" s="27"/>
      <c r="J569" s="27"/>
      <c r="K569" s="27"/>
      <c r="L569" s="27"/>
      <c r="M569" s="27"/>
      <c r="N569" s="27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BH569" s="24"/>
      <c r="BI569" s="24"/>
      <c r="BJ569" s="24"/>
      <c r="BK569" s="24"/>
      <c r="BL569" s="24"/>
      <c r="BM569" s="24"/>
      <c r="BN569" s="24"/>
      <c r="BO569" s="24"/>
      <c r="BP569" s="24"/>
      <c r="BQ569" s="24"/>
      <c r="BR569" s="24"/>
      <c r="BS569" s="24"/>
      <c r="BT569" s="24"/>
      <c r="BU569" s="24"/>
      <c r="BV569" s="24"/>
      <c r="BW569" s="24"/>
      <c r="BX569" s="24"/>
    </row>
    <row r="570" spans="1:76" s="22" customFormat="1" x14ac:dyDescent="0.2">
      <c r="A570" s="21"/>
      <c r="B570" s="37"/>
      <c r="C570" s="36">
        <f>C569/9</f>
        <v>72.555555555555557</v>
      </c>
      <c r="D570" s="21" t="s">
        <v>9</v>
      </c>
      <c r="E570" s="23" t="s">
        <v>6</v>
      </c>
      <c r="F570" s="21"/>
      <c r="G570" s="21"/>
      <c r="H570" s="21"/>
      <c r="I570" s="21"/>
      <c r="J570" s="21"/>
      <c r="K570" s="21"/>
      <c r="L570" s="21"/>
      <c r="M570" s="21"/>
      <c r="N570" s="21"/>
    </row>
    <row r="571" spans="1:76" s="24" customFormat="1" x14ac:dyDescent="0.2"/>
    <row r="572" spans="1:76" s="44" customFormat="1" x14ac:dyDescent="0.2">
      <c r="A572" s="40">
        <f>A55</f>
        <v>601</v>
      </c>
      <c r="B572" s="148">
        <f>B55</f>
        <v>32200</v>
      </c>
      <c r="C572" s="41">
        <f>ROUNDUP(C579,0)</f>
        <v>86</v>
      </c>
      <c r="D572" s="40" t="str">
        <f>D55</f>
        <v>CY</v>
      </c>
      <c r="E572" s="42" t="str">
        <f>E55</f>
        <v>ROCK CHANNEL PROTECTION, TYPE C WITH FILTER</v>
      </c>
      <c r="F572" s="43"/>
      <c r="G572" s="43"/>
      <c r="H572" s="43"/>
      <c r="I572" s="43"/>
      <c r="J572" s="43"/>
      <c r="K572" s="43"/>
      <c r="L572" s="43"/>
      <c r="M572" s="43"/>
      <c r="N572" s="4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  <c r="BO572" s="33"/>
      <c r="BP572" s="33"/>
      <c r="BQ572" s="33"/>
      <c r="BR572" s="33"/>
      <c r="BS572" s="33"/>
      <c r="BT572" s="33"/>
      <c r="BU572" s="33"/>
      <c r="BV572" s="33"/>
      <c r="BW572" s="33"/>
      <c r="BX572" s="33"/>
    </row>
    <row r="573" spans="1:76" s="28" customFormat="1" x14ac:dyDescent="0.2">
      <c r="A573" s="172" t="s">
        <v>241</v>
      </c>
      <c r="B573" s="45"/>
      <c r="C573" s="46">
        <f>343+632</f>
        <v>975</v>
      </c>
      <c r="D573" s="27" t="s">
        <v>8</v>
      </c>
      <c r="E573" s="18" t="s">
        <v>245</v>
      </c>
      <c r="F573" s="27"/>
      <c r="G573" s="27"/>
      <c r="H573" s="27"/>
      <c r="I573" s="27"/>
      <c r="J573" s="27"/>
      <c r="K573" s="27"/>
      <c r="L573" s="27"/>
      <c r="M573" s="27"/>
      <c r="N573" s="27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  <c r="BM573" s="24"/>
      <c r="BN573" s="24"/>
      <c r="BO573" s="24"/>
      <c r="BP573" s="24"/>
      <c r="BQ573" s="24"/>
      <c r="BR573" s="24"/>
      <c r="BS573" s="24"/>
      <c r="BT573" s="24"/>
      <c r="BU573" s="24"/>
      <c r="BV573" s="24"/>
      <c r="BW573" s="24"/>
      <c r="BX573" s="24"/>
    </row>
    <row r="574" spans="1:76" s="28" customFormat="1" x14ac:dyDescent="0.2">
      <c r="A574" s="172"/>
      <c r="B574" s="45"/>
      <c r="C574" s="46">
        <v>2</v>
      </c>
      <c r="D574" s="27" t="s">
        <v>7</v>
      </c>
      <c r="E574" s="18" t="s">
        <v>244</v>
      </c>
      <c r="F574" s="27"/>
      <c r="G574" s="27"/>
      <c r="H574" s="27"/>
      <c r="I574" s="27"/>
      <c r="J574" s="27"/>
      <c r="K574" s="27"/>
      <c r="L574" s="27"/>
      <c r="M574" s="27"/>
      <c r="N574" s="27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</row>
    <row r="575" spans="1:76" s="28" customFormat="1" x14ac:dyDescent="0.2">
      <c r="A575" s="172" t="s">
        <v>243</v>
      </c>
      <c r="B575" s="45"/>
      <c r="C575" s="46">
        <v>185</v>
      </c>
      <c r="D575" s="27" t="s">
        <v>8</v>
      </c>
      <c r="E575" s="18" t="s">
        <v>246</v>
      </c>
      <c r="F575" s="27"/>
      <c r="G575" s="27"/>
      <c r="H575" s="27"/>
      <c r="I575" s="27"/>
      <c r="J575" s="27"/>
      <c r="K575" s="27"/>
      <c r="L575" s="27"/>
      <c r="M575" s="27"/>
      <c r="N575" s="27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BH575" s="24"/>
      <c r="BI575" s="24"/>
      <c r="BJ575" s="24"/>
      <c r="BK575" s="24"/>
      <c r="BL575" s="24"/>
      <c r="BM575" s="24"/>
      <c r="BN575" s="24"/>
      <c r="BO575" s="24"/>
      <c r="BP575" s="24"/>
      <c r="BQ575" s="24"/>
      <c r="BR575" s="24"/>
      <c r="BS575" s="24"/>
      <c r="BT575" s="24"/>
      <c r="BU575" s="24"/>
      <c r="BV575" s="24"/>
      <c r="BW575" s="24"/>
      <c r="BX575" s="24"/>
    </row>
    <row r="576" spans="1:76" s="28" customFormat="1" x14ac:dyDescent="0.2">
      <c r="A576" s="18"/>
      <c r="B576" s="45"/>
      <c r="C576" s="46">
        <v>2</v>
      </c>
      <c r="D576" s="27" t="s">
        <v>7</v>
      </c>
      <c r="E576" s="18" t="s">
        <v>244</v>
      </c>
      <c r="F576" s="27"/>
      <c r="G576" s="27"/>
      <c r="H576" s="27"/>
      <c r="I576" s="27"/>
      <c r="J576" s="27"/>
      <c r="K576" s="27"/>
      <c r="L576" s="27"/>
      <c r="M576" s="27"/>
      <c r="N576" s="27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  <c r="BF576" s="24"/>
      <c r="BG576" s="24"/>
      <c r="BH576" s="24"/>
      <c r="BI576" s="24"/>
      <c r="BJ576" s="24"/>
      <c r="BK576" s="24"/>
      <c r="BL576" s="24"/>
      <c r="BM576" s="24"/>
      <c r="BN576" s="24"/>
      <c r="BO576" s="24"/>
      <c r="BP576" s="24"/>
      <c r="BQ576" s="24"/>
      <c r="BR576" s="24"/>
      <c r="BS576" s="24"/>
      <c r="BT576" s="24"/>
      <c r="BU576" s="24"/>
      <c r="BV576" s="24"/>
      <c r="BW576" s="24"/>
      <c r="BX576" s="24"/>
    </row>
    <row r="577" spans="1:76" s="28" customFormat="1" x14ac:dyDescent="0.2">
      <c r="A577" s="27"/>
      <c r="B577" s="45"/>
      <c r="C577" s="25"/>
      <c r="D577" s="27"/>
      <c r="E577" s="18"/>
      <c r="F577" s="27"/>
      <c r="G577" s="27"/>
      <c r="H577" s="27"/>
      <c r="I577" s="27"/>
      <c r="J577" s="27"/>
      <c r="K577" s="27"/>
      <c r="L577" s="27"/>
      <c r="M577" s="27"/>
      <c r="N577" s="27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  <c r="BF577" s="24"/>
      <c r="BG577" s="24"/>
      <c r="BH577" s="24"/>
      <c r="BI577" s="24"/>
      <c r="BJ577" s="24"/>
      <c r="BK577" s="24"/>
      <c r="BL577" s="24"/>
      <c r="BM577" s="24"/>
      <c r="BN577" s="24"/>
      <c r="BO577" s="24"/>
      <c r="BP577" s="24"/>
      <c r="BQ577" s="24"/>
      <c r="BR577" s="24"/>
      <c r="BS577" s="24"/>
      <c r="BT577" s="24"/>
      <c r="BU577" s="24"/>
      <c r="BV577" s="24"/>
      <c r="BW577" s="24"/>
      <c r="BX577" s="24"/>
    </row>
    <row r="578" spans="1:76" s="28" customFormat="1" x14ac:dyDescent="0.2">
      <c r="A578" s="27"/>
      <c r="B578" s="45"/>
      <c r="C578" s="36">
        <f>C573*C574+C575*C576</f>
        <v>2320</v>
      </c>
      <c r="D578" s="27" t="s">
        <v>259</v>
      </c>
      <c r="E578" s="18" t="s">
        <v>6</v>
      </c>
      <c r="F578" s="27"/>
      <c r="G578" s="27"/>
      <c r="H578" s="27"/>
      <c r="I578" s="27"/>
      <c r="J578" s="27"/>
      <c r="K578" s="27"/>
      <c r="L578" s="27"/>
      <c r="M578" s="27"/>
      <c r="N578" s="27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  <c r="BF578" s="24"/>
      <c r="BG578" s="24"/>
      <c r="BH578" s="24"/>
      <c r="BI578" s="24"/>
      <c r="BJ578" s="24"/>
      <c r="BK578" s="24"/>
      <c r="BL578" s="24"/>
      <c r="BM578" s="24"/>
      <c r="BN578" s="24"/>
      <c r="BO578" s="24"/>
      <c r="BP578" s="24"/>
      <c r="BQ578" s="24"/>
      <c r="BR578" s="24"/>
      <c r="BS578" s="24"/>
      <c r="BT578" s="24"/>
      <c r="BU578" s="24"/>
      <c r="BV578" s="24"/>
      <c r="BW578" s="24"/>
      <c r="BX578" s="24"/>
    </row>
    <row r="579" spans="1:76" s="22" customFormat="1" x14ac:dyDescent="0.2">
      <c r="A579" s="21"/>
      <c r="B579" s="37"/>
      <c r="C579" s="36">
        <f>C578/27</f>
        <v>85.925925925925924</v>
      </c>
      <c r="D579" s="21" t="s">
        <v>20</v>
      </c>
      <c r="E579" s="23" t="s">
        <v>6</v>
      </c>
      <c r="F579" s="21"/>
      <c r="G579" s="21"/>
      <c r="H579" s="21"/>
      <c r="I579" s="21"/>
      <c r="J579" s="21"/>
      <c r="K579" s="21"/>
      <c r="L579" s="21"/>
      <c r="M579" s="21"/>
      <c r="N579" s="21"/>
    </row>
    <row r="580" spans="1:76" s="24" customFormat="1" x14ac:dyDescent="0.2"/>
    <row r="581" spans="1:76" s="44" customFormat="1" x14ac:dyDescent="0.2">
      <c r="A581" s="30">
        <f>A61</f>
        <v>894</v>
      </c>
      <c r="B581" s="39">
        <f>B61</f>
        <v>10000</v>
      </c>
      <c r="C581" s="31">
        <f>ROUNDUP(C587,0)</f>
        <v>4</v>
      </c>
      <c r="D581" s="30" t="str">
        <f t="shared" ref="D581:E581" si="7">D61</f>
        <v>EACH</v>
      </c>
      <c r="E581" s="32" t="str">
        <f t="shared" si="7"/>
        <v>THERMAL INTEGRITY PROFILING (TIP) TEST</v>
      </c>
      <c r="F581" s="34"/>
      <c r="G581" s="34"/>
      <c r="H581" s="34"/>
      <c r="I581" s="34"/>
      <c r="J581" s="34"/>
      <c r="K581" s="34"/>
      <c r="L581" s="34"/>
      <c r="M581" s="34"/>
      <c r="N581" s="34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  <c r="BO581" s="33"/>
      <c r="BP581" s="33"/>
      <c r="BQ581" s="33"/>
      <c r="BR581" s="33"/>
      <c r="BS581" s="33"/>
      <c r="BT581" s="33"/>
      <c r="BU581" s="33"/>
      <c r="BV581" s="33"/>
      <c r="BW581" s="33"/>
      <c r="BX581" s="33"/>
    </row>
    <row r="582" spans="1:76" s="12" customFormat="1" x14ac:dyDescent="0.2">
      <c r="A582" s="20" t="s">
        <v>202</v>
      </c>
      <c r="B582" s="35"/>
      <c r="C582" s="46">
        <v>1</v>
      </c>
      <c r="D582" s="20" t="s">
        <v>25</v>
      </c>
      <c r="E582" s="17" t="s">
        <v>197</v>
      </c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1:76" s="12" customFormat="1" x14ac:dyDescent="0.2">
      <c r="A583" s="20" t="s">
        <v>203</v>
      </c>
      <c r="B583" s="35"/>
      <c r="C583" s="46">
        <v>1</v>
      </c>
      <c r="D583" s="20" t="s">
        <v>25</v>
      </c>
      <c r="E583" s="17" t="s">
        <v>197</v>
      </c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1:76" s="12" customFormat="1" x14ac:dyDescent="0.2">
      <c r="A584" s="20" t="s">
        <v>204</v>
      </c>
      <c r="B584" s="35"/>
      <c r="C584" s="46">
        <v>1</v>
      </c>
      <c r="D584" s="20" t="s">
        <v>25</v>
      </c>
      <c r="E584" s="17" t="s">
        <v>197</v>
      </c>
      <c r="F584" s="20"/>
      <c r="G584" s="20"/>
      <c r="H584" s="20"/>
      <c r="I584" s="20"/>
      <c r="J584" s="20"/>
      <c r="K584" s="20"/>
      <c r="L584" s="20"/>
      <c r="M584" s="20"/>
      <c r="N584" s="20"/>
    </row>
    <row r="585" spans="1:76" s="12" customFormat="1" x14ac:dyDescent="0.2">
      <c r="A585" s="20" t="s">
        <v>205</v>
      </c>
      <c r="B585" s="35"/>
      <c r="C585" s="46">
        <v>1</v>
      </c>
      <c r="D585" s="20" t="s">
        <v>25</v>
      </c>
      <c r="E585" s="17" t="s">
        <v>197</v>
      </c>
      <c r="F585" s="20"/>
      <c r="G585" s="20"/>
      <c r="H585" s="20"/>
      <c r="I585" s="20"/>
      <c r="J585" s="20"/>
      <c r="K585" s="20"/>
      <c r="L585" s="20"/>
      <c r="M585" s="20"/>
      <c r="N585" s="20"/>
    </row>
    <row r="586" spans="1:76" s="12" customFormat="1" x14ac:dyDescent="0.2">
      <c r="A586" s="20"/>
      <c r="B586" s="35"/>
      <c r="C586" s="25"/>
      <c r="D586" s="20"/>
      <c r="F586" s="20"/>
      <c r="G586" s="20"/>
      <c r="H586" s="20"/>
      <c r="I586" s="20"/>
      <c r="J586" s="20"/>
      <c r="K586" s="20"/>
      <c r="L586" s="20"/>
      <c r="M586" s="20"/>
      <c r="N586" s="20"/>
    </row>
    <row r="587" spans="1:76" s="13" customFormat="1" x14ac:dyDescent="0.2">
      <c r="A587" s="21"/>
      <c r="B587" s="37"/>
      <c r="C587" s="36">
        <f>SUM(C582:C585)</f>
        <v>4</v>
      </c>
      <c r="D587" s="21" t="s">
        <v>25</v>
      </c>
      <c r="E587" s="23" t="s">
        <v>6</v>
      </c>
      <c r="F587" s="21"/>
      <c r="G587" s="21"/>
      <c r="H587" s="21"/>
      <c r="I587" s="21"/>
      <c r="J587" s="21"/>
      <c r="K587" s="21"/>
      <c r="L587" s="21"/>
      <c r="M587" s="21"/>
      <c r="N587" s="21"/>
    </row>
  </sheetData>
  <mergeCells count="10">
    <mergeCell ref="A567:A569"/>
    <mergeCell ref="H67:N68"/>
    <mergeCell ref="H72:N73"/>
    <mergeCell ref="E15:I15"/>
    <mergeCell ref="L4:N4"/>
    <mergeCell ref="L5:N5"/>
    <mergeCell ref="L6:N6"/>
    <mergeCell ref="L7:N7"/>
    <mergeCell ref="A12:N12"/>
    <mergeCell ref="A13:I14"/>
  </mergeCells>
  <printOptions horizontalCentered="1"/>
  <pageMargins left="0.5" right="0.25" top="0.25" bottom="0.5" header="0.3" footer="0.3"/>
  <pageSetup scale="70" fitToHeight="0" orientation="landscape" r:id="rId1"/>
  <headerFooter alignWithMargins="0">
    <oddFooter>Page &amp;P of &amp;N</oddFooter>
  </headerFooter>
  <rowBreaks count="11" manualBreakCount="11">
    <brk id="105" max="13" man="1"/>
    <brk id="155" max="13" man="1"/>
    <brk id="189" max="13" man="1"/>
    <brk id="232" max="13" man="1"/>
    <brk id="270" max="13" man="1"/>
    <brk id="315" max="13" man="1"/>
    <brk id="350" max="13" man="1"/>
    <brk id="394" max="13" man="1"/>
    <brk id="442" max="13" man="1"/>
    <brk id="488" max="13" man="1"/>
    <brk id="5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Stage 3</vt:lpstr>
      <vt:lpstr>'Stage 3'!Print_Area</vt:lpstr>
      <vt:lpstr>'Stage 3'!Print_Titles</vt:lpstr>
    </vt:vector>
  </TitlesOfParts>
  <Company>Barr &amp; Prevost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SEARCH ITEM LIST</dc:title>
  <dc:creator>Jennifer Miller</dc:creator>
  <cp:lastModifiedBy>Julia Hart</cp:lastModifiedBy>
  <cp:lastPrinted>2024-06-13T14:05:49Z</cp:lastPrinted>
  <dcterms:created xsi:type="dcterms:W3CDTF">2004-01-07T17:54:14Z</dcterms:created>
  <dcterms:modified xsi:type="dcterms:W3CDTF">2024-09-11T17:42:25Z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