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julia.hart\dms78873\"/>
    </mc:Choice>
  </mc:AlternateContent>
  <xr:revisionPtr revIDLastSave="0" documentId="13_ncr:1_{04500E4A-AFB9-4FF7-81FB-F481AA911663}" xr6:coauthVersionLast="47" xr6:coauthVersionMax="47" xr10:uidLastSave="{00000000-0000-0000-0000-000000000000}"/>
  <bookViews>
    <workbookView xWindow="-120" yWindow="-120" windowWidth="29040" windowHeight="15840" tabRatio="572" xr2:uid="{00000000-000D-0000-FFFF-FFFF00000000}"/>
  </bookViews>
  <sheets>
    <sheet name="Stage 3" sheetId="33" r:id="rId1"/>
  </sheets>
  <externalReferences>
    <externalReference r:id="rId2"/>
  </externalReferences>
  <definedNames>
    <definedName name="_xlnm.Print_Area" localSheetId="0">'Stage 3'!$A$1:$N$586</definedName>
    <definedName name="_xlnm.Print_Titles" localSheetId="0">'Stage 3'!$1:$10</definedName>
    <definedName name="TABLE" localSheetId="0">'Stage 3'!#REF!</definedName>
  </definedNames>
  <calcPr calcId="191029"/>
  <fileRecoveryPr autoRecover="0"/>
</workbook>
</file>

<file path=xl/calcChain.xml><?xml version="1.0" encoding="utf-8"?>
<calcChain xmlns="http://schemas.openxmlformats.org/spreadsheetml/2006/main">
  <c r="C137" i="33" l="1"/>
  <c r="P130" i="33"/>
  <c r="C23" i="33"/>
  <c r="L23" i="33"/>
  <c r="C134" i="33"/>
  <c r="C130" i="33"/>
  <c r="J22" i="33" s="1"/>
  <c r="C26" i="33"/>
  <c r="C532" i="33"/>
  <c r="C529" i="33"/>
  <c r="C526" i="33"/>
  <c r="C523" i="33"/>
  <c r="C359" i="33"/>
  <c r="C358" i="33"/>
  <c r="C328" i="33"/>
  <c r="C327" i="33"/>
  <c r="C329" i="33"/>
  <c r="C216" i="33"/>
  <c r="C273" i="33"/>
  <c r="C263" i="33"/>
  <c r="C259" i="33"/>
  <c r="C235" i="33"/>
  <c r="C221" i="33"/>
  <c r="E64" i="33"/>
  <c r="D64" i="33"/>
  <c r="B64" i="33"/>
  <c r="A64" i="33"/>
  <c r="C330" i="33" l="1"/>
  <c r="E118" i="33"/>
  <c r="D118" i="33"/>
  <c r="B118" i="33"/>
  <c r="A118" i="33"/>
  <c r="C470" i="33"/>
  <c r="C464" i="33"/>
  <c r="C461" i="33"/>
  <c r="C462" i="33"/>
  <c r="C468" i="33"/>
  <c r="C455" i="33"/>
  <c r="C458" i="33" s="1"/>
  <c r="C568" i="33"/>
  <c r="C569" i="33" s="1"/>
  <c r="E564" i="33"/>
  <c r="D564" i="33"/>
  <c r="B564" i="33"/>
  <c r="A564" i="33"/>
  <c r="C558" i="33"/>
  <c r="C556" i="33"/>
  <c r="E555" i="33"/>
  <c r="D555" i="33"/>
  <c r="B555" i="33"/>
  <c r="A555" i="33"/>
  <c r="C561" i="33" l="1"/>
  <c r="C562" i="33" s="1"/>
  <c r="C555" i="33" s="1"/>
  <c r="J52" i="33" s="1"/>
  <c r="C52" i="33" s="1"/>
  <c r="C577" i="33"/>
  <c r="E571" i="33"/>
  <c r="D571" i="33"/>
  <c r="B571" i="33"/>
  <c r="A571" i="33"/>
  <c r="C478" i="33"/>
  <c r="C477" i="33"/>
  <c r="C546" i="33"/>
  <c r="K60" i="33"/>
  <c r="J60" i="33"/>
  <c r="K45" i="33"/>
  <c r="J45" i="33"/>
  <c r="K59" i="33"/>
  <c r="J59" i="33"/>
  <c r="C58" i="33"/>
  <c r="C56" i="33"/>
  <c r="C71" i="33"/>
  <c r="C85" i="33"/>
  <c r="C109" i="33"/>
  <c r="C110" i="33" s="1"/>
  <c r="C107" i="33" s="1"/>
  <c r="C102" i="33"/>
  <c r="C103" i="33" s="1"/>
  <c r="C100" i="33" s="1"/>
  <c r="C95" i="33"/>
  <c r="C96" i="33" s="1"/>
  <c r="C93" i="33" s="1"/>
  <c r="C97" i="33" s="1"/>
  <c r="C88" i="33"/>
  <c r="C89" i="33" s="1"/>
  <c r="C86" i="33" s="1"/>
  <c r="C99" i="33"/>
  <c r="C578" i="33" l="1"/>
  <c r="C571" i="33" s="1"/>
  <c r="J54" i="33" s="1"/>
  <c r="C54" i="33" s="1"/>
  <c r="C104" i="33"/>
  <c r="C75" i="33" s="1"/>
  <c r="C70" i="33"/>
  <c r="C72" i="33" s="1"/>
  <c r="C73" i="33" s="1"/>
  <c r="C65" i="33"/>
  <c r="C67" i="33" s="1"/>
  <c r="C90" i="33"/>
  <c r="C513" i="33"/>
  <c r="C514" i="33" s="1"/>
  <c r="C516" i="33" s="1"/>
  <c r="C506" i="33"/>
  <c r="C507" i="33" s="1"/>
  <c r="C509" i="33" s="1"/>
  <c r="C499" i="33"/>
  <c r="C500" i="33" s="1"/>
  <c r="C502" i="33" s="1"/>
  <c r="C492" i="33"/>
  <c r="C493" i="33" s="1"/>
  <c r="C280" i="33"/>
  <c r="C279" i="33"/>
  <c r="C277" i="33"/>
  <c r="C276" i="33"/>
  <c r="C274" i="33"/>
  <c r="C257" i="33"/>
  <c r="C266" i="33"/>
  <c r="C265" i="33"/>
  <c r="C262" i="33"/>
  <c r="C260" i="33"/>
  <c r="C242" i="33"/>
  <c r="C241" i="33"/>
  <c r="C239" i="33"/>
  <c r="C238" i="33"/>
  <c r="C236" i="33"/>
  <c r="C233" i="33"/>
  <c r="C228" i="33"/>
  <c r="C227" i="33"/>
  <c r="C225" i="33"/>
  <c r="C224" i="33"/>
  <c r="C222" i="33"/>
  <c r="C202" i="33"/>
  <c r="C203" i="33" s="1"/>
  <c r="C195" i="33"/>
  <c r="C182" i="33"/>
  <c r="C181" i="33"/>
  <c r="C156" i="33"/>
  <c r="C150" i="33"/>
  <c r="C169" i="33"/>
  <c r="C173" i="33" s="1"/>
  <c r="C162" i="33"/>
  <c r="C166" i="33" s="1"/>
  <c r="K22" i="33"/>
  <c r="K46" i="33" l="1"/>
  <c r="C538" i="33"/>
  <c r="K47" i="33" s="1"/>
  <c r="C537" i="33"/>
  <c r="J47" i="33" s="1"/>
  <c r="C495" i="33"/>
  <c r="C283" i="33"/>
  <c r="C269" i="33"/>
  <c r="C245" i="33"/>
  <c r="C231" i="33"/>
  <c r="C518" i="33" l="1"/>
  <c r="J46" i="33"/>
  <c r="C540" i="33"/>
  <c r="L22" i="33" l="1"/>
  <c r="C143" i="33" l="1"/>
  <c r="C534" i="33" l="1"/>
  <c r="C520" i="33" s="1"/>
  <c r="E520" i="33"/>
  <c r="D520" i="33"/>
  <c r="B520" i="33"/>
  <c r="A520" i="33"/>
  <c r="C586" i="33"/>
  <c r="C580" i="33" s="1"/>
  <c r="C536" i="33"/>
  <c r="E580" i="33"/>
  <c r="D580" i="33"/>
  <c r="B580" i="33"/>
  <c r="A580" i="33"/>
  <c r="E536" i="33"/>
  <c r="D536" i="33"/>
  <c r="B536" i="33"/>
  <c r="A536" i="33"/>
  <c r="A542" i="33"/>
  <c r="B542" i="33"/>
  <c r="D542" i="33"/>
  <c r="E542" i="33"/>
  <c r="C542" i="33"/>
  <c r="M49" i="33" s="1"/>
  <c r="C553" i="33" l="1"/>
  <c r="C548" i="33" s="1"/>
  <c r="M50" i="33" s="1"/>
  <c r="E548" i="33"/>
  <c r="D548" i="33"/>
  <c r="B548" i="33"/>
  <c r="A548" i="33"/>
  <c r="E488" i="33"/>
  <c r="B488" i="33"/>
  <c r="A488" i="33"/>
  <c r="C484" i="33"/>
  <c r="C483" i="33"/>
  <c r="E482" i="33"/>
  <c r="D482" i="33"/>
  <c r="B482" i="33"/>
  <c r="A482" i="33"/>
  <c r="E476" i="33"/>
  <c r="D476" i="33"/>
  <c r="B476" i="33"/>
  <c r="A476" i="33"/>
  <c r="C471" i="33"/>
  <c r="E460" i="33"/>
  <c r="D460" i="33"/>
  <c r="B460" i="33"/>
  <c r="A460" i="33"/>
  <c r="E453" i="33"/>
  <c r="D453" i="33"/>
  <c r="B453" i="33"/>
  <c r="A453" i="33"/>
  <c r="C448" i="33"/>
  <c r="C449" i="33" s="1"/>
  <c r="C444" i="33"/>
  <c r="C445" i="33" s="1"/>
  <c r="C441" i="33"/>
  <c r="C436" i="33"/>
  <c r="C437" i="33" s="1"/>
  <c r="C433" i="33"/>
  <c r="C429" i="33"/>
  <c r="E426" i="33"/>
  <c r="D426" i="33"/>
  <c r="B426" i="33"/>
  <c r="A426" i="33"/>
  <c r="C422" i="33"/>
  <c r="C414" i="33"/>
  <c r="E407" i="33"/>
  <c r="D407" i="33"/>
  <c r="B407" i="33"/>
  <c r="A407" i="33"/>
  <c r="E394" i="33"/>
  <c r="D394" i="33"/>
  <c r="B394" i="33"/>
  <c r="A394" i="33"/>
  <c r="C390" i="33"/>
  <c r="C403" i="33" s="1"/>
  <c r="C387" i="33"/>
  <c r="C400" i="33" s="1"/>
  <c r="E385" i="33"/>
  <c r="D385" i="33"/>
  <c r="B385" i="33"/>
  <c r="A385" i="33"/>
  <c r="C383" i="33"/>
  <c r="C378" i="33" s="1"/>
  <c r="M34" i="33" s="1"/>
  <c r="E378" i="33"/>
  <c r="D378" i="33"/>
  <c r="B378" i="33"/>
  <c r="A378" i="33"/>
  <c r="C373" i="33"/>
  <c r="C367" i="33"/>
  <c r="C361" i="33"/>
  <c r="C356" i="33"/>
  <c r="C349" i="33"/>
  <c r="C342" i="33"/>
  <c r="C336" i="33"/>
  <c r="C323" i="33"/>
  <c r="C318" i="33"/>
  <c r="C317" i="33"/>
  <c r="E315" i="33"/>
  <c r="D315" i="33"/>
  <c r="B315" i="33"/>
  <c r="A315" i="33"/>
  <c r="C309" i="33"/>
  <c r="C301" i="33"/>
  <c r="C296" i="33"/>
  <c r="C299" i="33" s="1"/>
  <c r="C293" i="33"/>
  <c r="E288" i="33"/>
  <c r="D288" i="33"/>
  <c r="B288" i="33"/>
  <c r="A288" i="33"/>
  <c r="C250" i="33"/>
  <c r="C252" i="33"/>
  <c r="C255" i="33" s="1"/>
  <c r="C217" i="33"/>
  <c r="C209" i="33"/>
  <c r="C564" i="33" s="1"/>
  <c r="J53" i="33" s="1"/>
  <c r="E208" i="33"/>
  <c r="D208" i="33"/>
  <c r="B208" i="33"/>
  <c r="A208" i="33"/>
  <c r="E190" i="33"/>
  <c r="D190" i="33"/>
  <c r="B190" i="33"/>
  <c r="A190" i="33"/>
  <c r="C184" i="33"/>
  <c r="C183" i="33"/>
  <c r="C180" i="33"/>
  <c r="E179" i="33"/>
  <c r="D179" i="33"/>
  <c r="B179" i="33"/>
  <c r="A179" i="33"/>
  <c r="C172" i="33"/>
  <c r="C165" i="33"/>
  <c r="C147" i="33"/>
  <c r="E145" i="33"/>
  <c r="D145" i="33"/>
  <c r="B145" i="33"/>
  <c r="A145" i="33"/>
  <c r="E128" i="33"/>
  <c r="D128" i="33"/>
  <c r="B128" i="33"/>
  <c r="A128" i="33"/>
  <c r="C106" i="33"/>
  <c r="E84" i="33"/>
  <c r="B84" i="33"/>
  <c r="A84" i="33"/>
  <c r="E81" i="33"/>
  <c r="C81" i="33"/>
  <c r="B81" i="33"/>
  <c r="A81" i="33"/>
  <c r="L31" i="33"/>
  <c r="L30" i="33"/>
  <c r="J28" i="33"/>
  <c r="N27" i="33"/>
  <c r="M27" i="33"/>
  <c r="N25" i="33"/>
  <c r="M25" i="33"/>
  <c r="N24" i="33"/>
  <c r="M24" i="33"/>
  <c r="L24" i="33"/>
  <c r="N22" i="33"/>
  <c r="M22" i="33"/>
  <c r="C22" i="33" s="1"/>
  <c r="C187" i="33" l="1"/>
  <c r="C111" i="33"/>
  <c r="C113" i="33" s="1"/>
  <c r="C116" i="33" s="1"/>
  <c r="C84" i="33" s="1"/>
  <c r="P19" i="33" s="1"/>
  <c r="C304" i="33"/>
  <c r="C312" i="33" s="1"/>
  <c r="C121" i="33"/>
  <c r="C53" i="33"/>
  <c r="C50" i="33"/>
  <c r="C45" i="33"/>
  <c r="C60" i="33"/>
  <c r="C34" i="33"/>
  <c r="C46" i="33"/>
  <c r="C49" i="33"/>
  <c r="C212" i="33"/>
  <c r="C285" i="33" s="1"/>
  <c r="C286" i="33" s="1"/>
  <c r="C208" i="33" s="1"/>
  <c r="J29" i="33" s="1"/>
  <c r="C29" i="33" s="1"/>
  <c r="C66" i="33"/>
  <c r="C68" i="33" s="1"/>
  <c r="J16" i="33" s="1"/>
  <c r="C47" i="33"/>
  <c r="C395" i="33"/>
  <c r="C397" i="33" s="1"/>
  <c r="C148" i="33"/>
  <c r="C152" i="33"/>
  <c r="C153" i="33"/>
  <c r="C158" i="33"/>
  <c r="C159" i="33"/>
  <c r="C486" i="33"/>
  <c r="C482" i="33" s="1"/>
  <c r="J43" i="33" s="1"/>
  <c r="C43" i="33" s="1"/>
  <c r="C453" i="33"/>
  <c r="J39" i="33" s="1"/>
  <c r="C39" i="33" s="1"/>
  <c r="C488" i="33"/>
  <c r="C465" i="33"/>
  <c r="C473" i="33" s="1"/>
  <c r="C474" i="33" s="1"/>
  <c r="C460" i="33" s="1"/>
  <c r="J41" i="33" s="1"/>
  <c r="C41" i="33" s="1"/>
  <c r="C324" i="33"/>
  <c r="C325" i="33" s="1"/>
  <c r="C392" i="33"/>
  <c r="C385" i="33" s="1"/>
  <c r="J35" i="33" s="1"/>
  <c r="C35" i="33" s="1"/>
  <c r="C424" i="33"/>
  <c r="C407" i="33" s="1"/>
  <c r="J37" i="33" s="1"/>
  <c r="C37" i="33" s="1"/>
  <c r="C167" i="33"/>
  <c r="C174" i="33"/>
  <c r="C451" i="33"/>
  <c r="C426" i="33" s="1"/>
  <c r="J38" i="33" s="1"/>
  <c r="C38" i="33" s="1"/>
  <c r="C480" i="33"/>
  <c r="C476" i="33" s="1"/>
  <c r="J42" i="33" s="1"/>
  <c r="C42" i="33" s="1"/>
  <c r="C316" i="33"/>
  <c r="C321" i="33" s="1"/>
  <c r="C123" i="33" l="1"/>
  <c r="C122" i="33"/>
  <c r="C405" i="33"/>
  <c r="C394" i="33" s="1"/>
  <c r="L36" i="33" s="1"/>
  <c r="C36" i="33" s="1"/>
  <c r="C375" i="33"/>
  <c r="C376" i="33" s="1"/>
  <c r="C315" i="33" s="1"/>
  <c r="L32" i="33" s="1"/>
  <c r="C32" i="33" s="1"/>
  <c r="C76" i="33"/>
  <c r="K16" i="33" s="1"/>
  <c r="C16" i="33" s="1"/>
  <c r="C160" i="33"/>
  <c r="C154" i="33"/>
  <c r="C313" i="33"/>
  <c r="C288" i="33" s="1"/>
  <c r="K30" i="33" s="1"/>
  <c r="C30" i="33" s="1"/>
  <c r="C188" i="33"/>
  <c r="C179" i="33" s="1"/>
  <c r="L27" i="33" s="1"/>
  <c r="C27" i="33" s="1"/>
  <c r="C126" i="33" l="1"/>
  <c r="P20" i="33" s="1"/>
  <c r="C118" i="33"/>
  <c r="K20" i="33" s="1"/>
  <c r="C20" i="33" s="1"/>
  <c r="C78" i="33"/>
  <c r="C79" i="33" s="1"/>
  <c r="C64" i="33" s="1"/>
  <c r="C176" i="33"/>
  <c r="C177" i="33" s="1"/>
  <c r="C145" i="33" s="1"/>
  <c r="L25" i="33" s="1"/>
  <c r="C25" i="33" s="1"/>
  <c r="C128" i="33"/>
  <c r="C196" i="33" l="1"/>
  <c r="C205" i="33" s="1"/>
  <c r="C206" i="33" s="1"/>
  <c r="C190" i="33" s="1"/>
  <c r="K28" i="33" s="1"/>
  <c r="C28" i="33" s="1"/>
</calcChain>
</file>

<file path=xl/sharedStrings.xml><?xml version="1.0" encoding="utf-8"?>
<sst xmlns="http://schemas.openxmlformats.org/spreadsheetml/2006/main" count="970" uniqueCount="273">
  <si>
    <t>ITEM</t>
  </si>
  <si>
    <t>UNIT</t>
  </si>
  <si>
    <t>DESCRIPTION</t>
  </si>
  <si>
    <t>FT</t>
  </si>
  <si>
    <t>QUANTITY</t>
  </si>
  <si>
    <t>EXT.</t>
  </si>
  <si>
    <t>total</t>
  </si>
  <si>
    <t>ft</t>
  </si>
  <si>
    <t>sf</t>
  </si>
  <si>
    <t>sy</t>
  </si>
  <si>
    <t>cy</t>
  </si>
  <si>
    <t>cf</t>
  </si>
  <si>
    <t>ea</t>
  </si>
  <si>
    <t>Date:</t>
  </si>
  <si>
    <t>Project:</t>
  </si>
  <si>
    <t>Bridge No.:</t>
  </si>
  <si>
    <t>SFN:</t>
  </si>
  <si>
    <t>SY</t>
  </si>
  <si>
    <t>LS</t>
  </si>
  <si>
    <t>LB</t>
  </si>
  <si>
    <t>CY</t>
  </si>
  <si>
    <t>SEE SHT.</t>
  </si>
  <si>
    <t>$</t>
  </si>
  <si>
    <t>lb</t>
  </si>
  <si>
    <t>total area</t>
  </si>
  <si>
    <t>each</t>
  </si>
  <si>
    <t>length of footing</t>
  </si>
  <si>
    <t>width of footing</t>
  </si>
  <si>
    <t>height of footing</t>
  </si>
  <si>
    <t>POROUS BACKFILL WITH GEOTEXTILE FABRIC</t>
  </si>
  <si>
    <t>width of backfill</t>
  </si>
  <si>
    <t>length of stem</t>
  </si>
  <si>
    <t>UNCLASSIFIED EXCAVATION</t>
  </si>
  <si>
    <t>$/cy</t>
  </si>
  <si>
    <t>SF</t>
  </si>
  <si>
    <t>1" PREFORMED EXPANSION JOINT FILLER</t>
  </si>
  <si>
    <t>rear abutment</t>
  </si>
  <si>
    <t>forward abutment</t>
  </si>
  <si>
    <t>6" PERFORATED CORRUGATED PLASTIC PIPE</t>
  </si>
  <si>
    <t>abutments</t>
  </si>
  <si>
    <t>rear abutment footing</t>
  </si>
  <si>
    <t>volume of footing</t>
  </si>
  <si>
    <t>rear abutment stem</t>
  </si>
  <si>
    <t>volume of stem</t>
  </si>
  <si>
    <t>forward abutment footing</t>
  </si>
  <si>
    <t>forward abutment stem</t>
  </si>
  <si>
    <t>total length of pipe</t>
  </si>
  <si>
    <t>total volume of backfill</t>
  </si>
  <si>
    <t>subtotal sealing area</t>
  </si>
  <si>
    <t>total sealing area</t>
  </si>
  <si>
    <t>unclassified excavation unit cost</t>
  </si>
  <si>
    <t>total cost</t>
  </si>
  <si>
    <t>CLASS QC2 CONCRETE WITH QC/QA, SUPERSTRUCTURE</t>
  </si>
  <si>
    <t>1/2" PREFORMED EXPANSION JOINT FILLER</t>
  </si>
  <si>
    <t>6" NON-PERFORATED CORRUGATED PLASTIC PIPE, INCLUDING SPECIALS</t>
  </si>
  <si>
    <t>subtotal weight</t>
  </si>
  <si>
    <t>thickness of deck</t>
  </si>
  <si>
    <t>bridge deck</t>
  </si>
  <si>
    <t>width of stem</t>
  </si>
  <si>
    <t>number of abutments</t>
  </si>
  <si>
    <t>width of joint filler</t>
  </si>
  <si>
    <t>length of joint filler</t>
  </si>
  <si>
    <t>area of joint filler for rear abutment</t>
  </si>
  <si>
    <t>height of bridge deck</t>
  </si>
  <si>
    <t>underside of bridge deck</t>
  </si>
  <si>
    <t>NYLON REINFORCED NEOPRENE SHEETING</t>
  </si>
  <si>
    <t>on proposed footing</t>
  </si>
  <si>
    <t xml:space="preserve">width of stem </t>
  </si>
  <si>
    <t>COFFERDAMS AND EXCAVATION BRACING</t>
  </si>
  <si>
    <t>superstructure</t>
  </si>
  <si>
    <t>pier</t>
  </si>
  <si>
    <t>railing</t>
  </si>
  <si>
    <t>width of abutment</t>
  </si>
  <si>
    <t>subtotal area</t>
  </si>
  <si>
    <t>2LMN, Inc.</t>
  </si>
  <si>
    <t>Calculated:</t>
  </si>
  <si>
    <t>Stage Review Submission:</t>
  </si>
  <si>
    <t>Checked:</t>
  </si>
  <si>
    <t>PID/Job No.:</t>
  </si>
  <si>
    <t>Concurred:</t>
  </si>
  <si>
    <t>Back Checked:</t>
  </si>
  <si>
    <t>Released:</t>
  </si>
  <si>
    <t>ABUT.</t>
  </si>
  <si>
    <t>PIERS</t>
  </si>
  <si>
    <t>SUPER.</t>
  </si>
  <si>
    <t>GENERAL</t>
  </si>
  <si>
    <t>length of approach slab</t>
  </si>
  <si>
    <t>length</t>
  </si>
  <si>
    <t>volume of portion above keyway</t>
  </si>
  <si>
    <t>2" PREFORMED EXPANSION JOINT FILLER</t>
  </si>
  <si>
    <t>approach slab thickness</t>
  </si>
  <si>
    <t>height of neoprene sheeting</t>
  </si>
  <si>
    <t>width centered on joints</t>
  </si>
  <si>
    <t>height from elevations</t>
  </si>
  <si>
    <t>width centered on joint</t>
  </si>
  <si>
    <t>area of waterproofing</t>
  </si>
  <si>
    <t>width of bearing</t>
  </si>
  <si>
    <t>average length of bearing</t>
  </si>
  <si>
    <t>number of ends</t>
  </si>
  <si>
    <t>area joint filler between bridge railing and abutment</t>
  </si>
  <si>
    <t>ARMORLESS PREFORMED JOINT SEAL</t>
  </si>
  <si>
    <t>width of approach slab</t>
  </si>
  <si>
    <t>TYPE C INSTALLATION</t>
  </si>
  <si>
    <t>ARCA_105889_LUC-23-11.75</t>
  </si>
  <si>
    <t>Rear Abutment</t>
  </si>
  <si>
    <t>max height</t>
  </si>
  <si>
    <t>min height</t>
  </si>
  <si>
    <t>total length</t>
  </si>
  <si>
    <t>Wall of Pier 1</t>
  </si>
  <si>
    <t>Wall of Pier 2</t>
  </si>
  <si>
    <t>volume of deck</t>
  </si>
  <si>
    <t>height of stem</t>
  </si>
  <si>
    <t>Pier 1</t>
  </si>
  <si>
    <t>Pier 2</t>
  </si>
  <si>
    <t>cross sectional area of SBR-1-20 parapet</t>
  </si>
  <si>
    <t>cross section of sections "C-C" and "D-D"</t>
  </si>
  <si>
    <t>Length of sections "C-C" and "D-D"</t>
  </si>
  <si>
    <t>Transition length</t>
  </si>
  <si>
    <t>bridge railing</t>
  </si>
  <si>
    <t>distance behind barrier</t>
  </si>
  <si>
    <t xml:space="preserve">rear abutment to </t>
  </si>
  <si>
    <t xml:space="preserve">forward abutment to </t>
  </si>
  <si>
    <t>EMBANKMENT</t>
  </si>
  <si>
    <t>max depth of fill</t>
  </si>
  <si>
    <t xml:space="preserve">volume of fill </t>
  </si>
  <si>
    <t>cu ft</t>
  </si>
  <si>
    <t>total fill volume</t>
  </si>
  <si>
    <t>min height of stem</t>
  </si>
  <si>
    <t>max height of stem</t>
  </si>
  <si>
    <t>left wingwall</t>
  </si>
  <si>
    <t>right wingwall</t>
  </si>
  <si>
    <t>pier 1 footing</t>
  </si>
  <si>
    <t>pier 2 footing</t>
  </si>
  <si>
    <t>number of shafts</t>
  </si>
  <si>
    <t>volume</t>
  </si>
  <si>
    <t>pier 1</t>
  </si>
  <si>
    <t>pier 2</t>
  </si>
  <si>
    <t>foundation excavation volume</t>
  </si>
  <si>
    <t>length of forward abutment foundation</t>
  </si>
  <si>
    <t>length of pier 1 foundation</t>
  </si>
  <si>
    <t>length of pier 2 foundation</t>
  </si>
  <si>
    <t>total excavation</t>
  </si>
  <si>
    <t>Length of rectangular portion of stem</t>
  </si>
  <si>
    <t>min height of pier</t>
  </si>
  <si>
    <t>max height of pier</t>
  </si>
  <si>
    <t>plan area</t>
  </si>
  <si>
    <t>height of pier</t>
  </si>
  <si>
    <t>volume of pier</t>
  </si>
  <si>
    <t>width</t>
  </si>
  <si>
    <t>length of interior bridge deck edge</t>
  </si>
  <si>
    <t>length of exterior bridge deck edge</t>
  </si>
  <si>
    <t xml:space="preserve">   stem</t>
  </si>
  <si>
    <t>area</t>
  </si>
  <si>
    <t xml:space="preserve">   left wingwall</t>
  </si>
  <si>
    <t xml:space="preserve">   right wingwall</t>
  </si>
  <si>
    <t>Forward Abutment</t>
  </si>
  <si>
    <t>rectangular length</t>
  </si>
  <si>
    <t>radius of ends</t>
  </si>
  <si>
    <t>perimeter</t>
  </si>
  <si>
    <t>surface area</t>
  </si>
  <si>
    <t>rear abutment to</t>
  </si>
  <si>
    <t>to right wingwall</t>
  </si>
  <si>
    <t>height of joint filler between bridge abutment and left wingwall</t>
  </si>
  <si>
    <t>height of joint filler between bridge abutment and right wingwall</t>
  </si>
  <si>
    <t>length of joint filler at abutment</t>
  </si>
  <si>
    <t>length of sheeting</t>
  </si>
  <si>
    <t>left height of backfill</t>
  </si>
  <si>
    <t>right height of backfill</t>
  </si>
  <si>
    <t>volume for rear abutment</t>
  </si>
  <si>
    <t>volume for forward abutment</t>
  </si>
  <si>
    <t>length of pipe at rear abutment</t>
  </si>
  <si>
    <t>length of pipe at forward abutment</t>
  </si>
  <si>
    <t>bottom of foundation (top of shaft)</t>
  </si>
  <si>
    <t>length per shaft</t>
  </si>
  <si>
    <t>Estimated Quantities- Southbound Ramp</t>
  </si>
  <si>
    <t xml:space="preserve">DRILLED SHAFTS, MISC.: DEMONSTRATION DRILLED SHAFT </t>
  </si>
  <si>
    <t>EACH</t>
  </si>
  <si>
    <t>THERMAL INTEGRITY PROFILING (TIP) TEST</t>
  </si>
  <si>
    <t>Designer:</t>
  </si>
  <si>
    <t>Checker:</t>
  </si>
  <si>
    <t>CRUSHED AGGREGATE SLOPE PROTECTION</t>
  </si>
  <si>
    <t>deck area (from MicroStation)</t>
  </si>
  <si>
    <t>SBR-1-20 Railing</t>
  </si>
  <si>
    <t>perimeter of railing</t>
  </si>
  <si>
    <t>length of railing</t>
  </si>
  <si>
    <t>REINFORCED CONCRETE APPROACH SLABS WITH QC/QA (T=17"), AS PER PLAN</t>
  </si>
  <si>
    <t>JAH</t>
  </si>
  <si>
    <t>ESTIMATED QUANTITIES (03/NHS/08)</t>
  </si>
  <si>
    <t>CLASS QC1 CONCRETE WITH QC/QA, PIER ABOVE FOOTINGS</t>
  </si>
  <si>
    <t>CLASS QC1 CONCRETE WITH QC/QA, ABUTMENT INCLUDING FOOTING, AS PER PLAN</t>
  </si>
  <si>
    <t>CLASS QC1 CONCRETE WITH QC/QA, FOOTING</t>
  </si>
  <si>
    <t>CLASS QC2 CONCRETE WITH QC/QA, BRIDGE DECK (PARAPET)</t>
  </si>
  <si>
    <t>SEALING OF CONCRETE SURFACES (EPOXY-URETHANE)</t>
  </si>
  <si>
    <t>ROCK CHANNEL PROTECTION, TYPE C WITH FILTER</t>
  </si>
  <si>
    <t>DRILLED SHAFTS, 42" DIAMETER, ABOVE BEDROCK</t>
  </si>
  <si>
    <t>DRILLED SHAFTS, 36" DIAMETER, INTO BEDROCK</t>
  </si>
  <si>
    <t>Perform testing on one shaft at each substructure unit</t>
  </si>
  <si>
    <t>length, perform one demonstration shaft for shaft + rock socket at bridge at one abutment</t>
  </si>
  <si>
    <t>length, perform one demonstration shaft for shaft + rock socket at bridge at one pier</t>
  </si>
  <si>
    <t>RA</t>
  </si>
  <si>
    <t>FA</t>
  </si>
  <si>
    <t>P1</t>
  </si>
  <si>
    <t>P2</t>
  </si>
  <si>
    <t>Rock sockets</t>
  </si>
  <si>
    <t>length of rock socket</t>
  </si>
  <si>
    <t>SOUTHBOUND</t>
  </si>
  <si>
    <t>Lump Sum Cost</t>
  </si>
  <si>
    <t>diaphragm</t>
  </si>
  <si>
    <t>light pilaster</t>
  </si>
  <si>
    <t>drilled shafts</t>
  </si>
  <si>
    <t>rear abutment wingwalls</t>
  </si>
  <si>
    <t>forward abutment wingwalls</t>
  </si>
  <si>
    <t>upper length</t>
  </si>
  <si>
    <t>upper width</t>
  </si>
  <si>
    <t>upper avg height</t>
  </si>
  <si>
    <t>middle avg length</t>
  </si>
  <si>
    <t>middle width</t>
  </si>
  <si>
    <t>middle height</t>
  </si>
  <si>
    <t>bottom length</t>
  </si>
  <si>
    <t>bottom width</t>
  </si>
  <si>
    <t>bottom height</t>
  </si>
  <si>
    <t>top</t>
  </si>
  <si>
    <t>lower</t>
  </si>
  <si>
    <t>footing length - width under stem</t>
  </si>
  <si>
    <t>footing width</t>
  </si>
  <si>
    <t>footing height</t>
  </si>
  <si>
    <t>tip elevation</t>
  </si>
  <si>
    <r>
      <t xml:space="preserve">Estimated Quantities </t>
    </r>
    <r>
      <rPr>
        <b/>
        <i/>
        <u/>
        <sz val="20"/>
        <color rgb="FFFF0000"/>
        <rFont val="Verdana"/>
        <family val="2"/>
      </rPr>
      <t>LUC-23-11.75</t>
    </r>
    <r>
      <rPr>
        <b/>
        <i/>
        <u/>
        <sz val="20"/>
        <rFont val="Verdana"/>
        <family val="2"/>
      </rPr>
      <t xml:space="preserve"> - SOUTHBOUND RAMP D</t>
    </r>
  </si>
  <si>
    <t>(MAJORITY OF THIS PICKED UP BY ROADWAY, ONLY ACCOUNT FOR MATERIAL IN FRONT OF ABUT AND WINGWALLS)</t>
  </si>
  <si>
    <t>foundation depth</t>
  </si>
  <si>
    <t>Drilled shaft cap not under existing ground, no excavation</t>
  </si>
  <si>
    <t>length of rear abutment foundation + wingwalls</t>
  </si>
  <si>
    <t>excavation width (assume 1:1)</t>
  </si>
  <si>
    <t>This may be rock excavation</t>
  </si>
  <si>
    <t>existing ground elevation</t>
  </si>
  <si>
    <t>bottom of footing elevation</t>
  </si>
  <si>
    <t>PRECAST REINFORCED CONCRETE OUTLET</t>
  </si>
  <si>
    <t>volume of fill (same as excavation)</t>
  </si>
  <si>
    <t>lengthof abutment</t>
  </si>
  <si>
    <t>width of fill (assume 1:1)</t>
  </si>
  <si>
    <t>STRUCTURE GROUNDING SYSTEM</t>
  </si>
  <si>
    <t>measured in DGN</t>
  </si>
  <si>
    <t>rear</t>
  </si>
  <si>
    <t>forward</t>
  </si>
  <si>
    <t>depth</t>
  </si>
  <si>
    <t>TIED CONCRETE BLOCK MAT WITH TYPE 1 UNDERLAYMENT</t>
  </si>
  <si>
    <t>tied mat area 4'x4'</t>
  </si>
  <si>
    <t>number</t>
  </si>
  <si>
    <t>none on southbound ramp</t>
  </si>
  <si>
    <t>area at rear abutment (only used on side with path, from abutment wall to path edge)</t>
  </si>
  <si>
    <t>area at forward abutment (only used on side with path, from abutment wall to path edge)</t>
  </si>
  <si>
    <t>measured in DGN - none - used crushed agg here</t>
  </si>
  <si>
    <t>length of abutment stem &amp; wingwalls</t>
  </si>
  <si>
    <t>length of SBR-1-20 on bridge</t>
  </si>
  <si>
    <t>JBM</t>
  </si>
  <si>
    <t>@ pier 2 only</t>
  </si>
  <si>
    <t>top of rock elevaion</t>
  </si>
  <si>
    <t>area of footing</t>
  </si>
  <si>
    <t>ELASTOMERIC BEARING PAD, MISC.: 1.5" THICK STRIP BEARING</t>
  </si>
  <si>
    <t xml:space="preserve">Total length </t>
  </si>
  <si>
    <t>Total length</t>
  </si>
  <si>
    <t>CF</t>
  </si>
  <si>
    <t>SEMI-INTEGRAL DIAPHRAGM GUIDE</t>
  </si>
  <si>
    <t xml:space="preserve">subtotal weight </t>
  </si>
  <si>
    <t>20 / 22</t>
  </si>
  <si>
    <t>ROCK EXCAVATION</t>
  </si>
  <si>
    <t>3 / 22</t>
  </si>
  <si>
    <t>NO. 4 DEFORMED GFRP REINFORCEMENT</t>
  </si>
  <si>
    <t>GFRP</t>
  </si>
  <si>
    <t>LUC-00184-00.180 (SB on Ramp)</t>
  </si>
  <si>
    <t>EPOXY COATED STEEL REINFORCEMENT</t>
  </si>
  <si>
    <t>a</t>
  </si>
  <si>
    <t>REV 9/6/2024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</si>
</sst>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0000"/>
    <numFmt numFmtId="167" formatCode="&quot;$&quot;#,##0.00"/>
    <numFmt numFmtId="168" formatCode="#,##0.00\'"/>
    <numFmt numFmtId="169" formatCode="#,##0.00\ &quot;cf&quot;"/>
    <numFmt numFmtId="170" formatCode="#,##0.00\ &quot;cy&quot;"/>
    <numFmt numFmtId="171" formatCode="#,##0.00\ &quot;ft&quot;"/>
    <numFmt numFmtId="172" formatCode="#,##0.00\ &quot;in&quot;"/>
    <numFmt numFmtId="173" formatCode="#,##0.00\ &quot;sf&quot;"/>
    <numFmt numFmtId="174" formatCode="#,##0.00\ &quot;sy&quot;"/>
    <numFmt numFmtId="175" formatCode="#,##0.00\&quot;&quot;&quot;"/>
    <numFmt numFmtId="176" formatCode="0.00&quot;:1&quot;"/>
    <numFmt numFmtId="177" formatCode="0.00\°"/>
    <numFmt numFmtId="178" formatCode="#,##0.00\'\ \R\t;#,##0.00\'\ \L\t"/>
    <numFmt numFmtId="179" formatCode="0&quot;:1&quot;"/>
    <numFmt numFmtId="180" formatCode="0\+00"/>
    <numFmt numFmtId="181" formatCode="0\+00.00"/>
    <numFmt numFmtId="182" formatCode="0\+00.0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24"/>
      <name val="Verdana"/>
      <family val="2"/>
    </font>
    <font>
      <i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i/>
      <u/>
      <sz val="20"/>
      <name val="Verdana"/>
      <family val="2"/>
    </font>
    <font>
      <i/>
      <sz val="22"/>
      <color indexed="18"/>
      <name val="BankGothic Md BT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1"/>
      <color rgb="FF000000"/>
      <name val="Cambria"/>
      <family val="1"/>
    </font>
    <font>
      <i/>
      <sz val="11"/>
      <color rgb="FF16365C"/>
      <name val="Calibri"/>
      <family val="2"/>
    </font>
    <font>
      <b/>
      <i/>
      <sz val="11"/>
      <color rgb="FF16365C"/>
      <name val="Calibri"/>
      <family val="2"/>
    </font>
    <font>
      <sz val="11"/>
      <color rgb="FF3F3F76"/>
      <name val="Calibri"/>
      <family val="2"/>
      <scheme val="minor"/>
    </font>
    <font>
      <b/>
      <i/>
      <u/>
      <sz val="20"/>
      <color rgb="FFFF0000"/>
      <name val="Verdana"/>
      <family val="2"/>
    </font>
    <font>
      <sz val="11"/>
      <color rgb="FFFA7D00"/>
      <name val="Calibri"/>
      <family val="2"/>
      <scheme val="minor"/>
    </font>
    <font>
      <sz val="11"/>
      <color rgb="FFFF0000"/>
      <name val="Cambria"/>
      <family val="1"/>
    </font>
    <font>
      <i/>
      <sz val="11"/>
      <color rgb="FFFF0000"/>
      <name val="Calibri"/>
      <family val="2"/>
    </font>
    <font>
      <sz val="14"/>
      <name val="Webdings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009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CC99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3" fillId="6" borderId="33" applyNumberFormat="0" applyProtection="0">
      <alignment horizont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5" fillId="0" borderId="40" applyNumberFormat="0" applyFill="0" applyAlignment="0" applyProtection="0"/>
  </cellStyleXfs>
  <cellXfs count="242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1" fontId="6" fillId="0" borderId="0" xfId="0" applyNumberFormat="1" applyFont="1" applyAlignment="1">
      <alignment horizontal="centerContinuous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11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4" fontId="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5" fontId="2" fillId="2" borderId="0" xfId="0" applyNumberFormat="1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2" fontId="2" fillId="0" borderId="2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4" fontId="2" fillId="0" borderId="1" xfId="5" applyFont="1" applyBorder="1" applyAlignment="1">
      <alignment horizontal="center" vertical="center"/>
    </xf>
    <xf numFmtId="0" fontId="16" fillId="0" borderId="0" xfId="0" applyFont="1" applyAlignment="1">
      <alignment horizontal="centerContinuous" vertical="center"/>
    </xf>
    <xf numFmtId="2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7" fillId="0" borderId="6" xfId="6" applyFont="1" applyBorder="1"/>
    <xf numFmtId="0" fontId="18" fillId="0" borderId="7" xfId="6" applyFont="1" applyBorder="1"/>
    <xf numFmtId="0" fontId="2" fillId="0" borderId="8" xfId="3" applyBorder="1" applyAlignment="1">
      <alignment horizontal="right"/>
    </xf>
    <xf numFmtId="0" fontId="18" fillId="4" borderId="22" xfId="6" applyFont="1" applyFill="1" applyBorder="1"/>
    <xf numFmtId="0" fontId="18" fillId="4" borderId="0" xfId="6" applyFont="1" applyFill="1"/>
    <xf numFmtId="0" fontId="18" fillId="4" borderId="23" xfId="6" applyFont="1" applyFill="1" applyBorder="1"/>
    <xf numFmtId="0" fontId="20" fillId="0" borderId="24" xfId="6" applyFont="1" applyBorder="1" applyAlignment="1">
      <alignment horizontal="right"/>
    </xf>
    <xf numFmtId="0" fontId="21" fillId="5" borderId="13" xfId="6" applyFont="1" applyFill="1" applyBorder="1" applyAlignment="1">
      <alignment horizontal="center" vertical="center"/>
    </xf>
    <xf numFmtId="0" fontId="20" fillId="0" borderId="13" xfId="6" applyFont="1" applyBorder="1" applyAlignment="1">
      <alignment horizontal="right"/>
    </xf>
    <xf numFmtId="14" fontId="21" fillId="5" borderId="13" xfId="6" applyNumberFormat="1" applyFont="1" applyFill="1" applyBorder="1" applyAlignment="1">
      <alignment horizontal="center" vertical="center" shrinkToFit="1"/>
    </xf>
    <xf numFmtId="0" fontId="18" fillId="0" borderId="13" xfId="6" applyFont="1" applyBorder="1"/>
    <xf numFmtId="0" fontId="20" fillId="0" borderId="5" xfId="6" applyFont="1" applyBorder="1" applyAlignment="1">
      <alignment horizontal="right"/>
    </xf>
    <xf numFmtId="0" fontId="21" fillId="5" borderId="14" xfId="6" applyFont="1" applyFill="1" applyBorder="1" applyAlignment="1">
      <alignment horizontal="center" vertical="center"/>
    </xf>
    <xf numFmtId="0" fontId="20" fillId="0" borderId="14" xfId="6" applyFont="1" applyBorder="1" applyAlignment="1">
      <alignment horizontal="right"/>
    </xf>
    <xf numFmtId="14" fontId="21" fillId="5" borderId="14" xfId="6" applyNumberFormat="1" applyFont="1" applyFill="1" applyBorder="1" applyAlignment="1">
      <alignment horizontal="center" vertical="center"/>
    </xf>
    <xf numFmtId="0" fontId="18" fillId="0" borderId="14" xfId="6" applyFont="1" applyBorder="1"/>
    <xf numFmtId="0" fontId="21" fillId="0" borderId="14" xfId="6" applyFont="1" applyBorder="1" applyAlignment="1">
      <alignment horizontal="left" indent="2"/>
    </xf>
    <xf numFmtId="0" fontId="21" fillId="0" borderId="26" xfId="6" applyFont="1" applyBorder="1" applyAlignment="1">
      <alignment horizontal="left" indent="2"/>
    </xf>
    <xf numFmtId="0" fontId="21" fillId="5" borderId="14" xfId="6" applyFont="1" applyFill="1" applyBorder="1" applyAlignment="1">
      <alignment horizontal="left" indent="2"/>
    </xf>
    <xf numFmtId="0" fontId="18" fillId="5" borderId="14" xfId="6" applyFont="1" applyFill="1" applyBorder="1"/>
    <xf numFmtId="0" fontId="18" fillId="5" borderId="26" xfId="6" applyFont="1" applyFill="1" applyBorder="1"/>
    <xf numFmtId="0" fontId="20" fillId="0" borderId="18" xfId="6" applyFont="1" applyBorder="1" applyAlignment="1">
      <alignment horizontal="right"/>
    </xf>
    <xf numFmtId="0" fontId="22" fillId="5" borderId="27" xfId="6" applyFont="1" applyFill="1" applyBorder="1" applyAlignment="1">
      <alignment horizontal="left" indent="2"/>
    </xf>
    <xf numFmtId="0" fontId="18" fillId="5" borderId="27" xfId="6" applyFont="1" applyFill="1" applyBorder="1"/>
    <xf numFmtId="0" fontId="18" fillId="5" borderId="28" xfId="6" applyFont="1" applyFill="1" applyBorder="1"/>
    <xf numFmtId="165" fontId="11" fillId="2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165" fontId="11" fillId="2" borderId="1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7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1" fillId="2" borderId="34" xfId="0" applyFont="1" applyFill="1" applyBorder="1" applyAlignment="1">
      <alignment horizontal="center" vertical="center"/>
    </xf>
    <xf numFmtId="165" fontId="11" fillId="2" borderId="21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165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vertical="center"/>
    </xf>
    <xf numFmtId="165" fontId="3" fillId="2" borderId="1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" fontId="12" fillId="0" borderId="38" xfId="0" applyNumberFormat="1" applyFont="1" applyBorder="1" applyAlignment="1">
      <alignment horizontal="center" vertical="center"/>
    </xf>
    <xf numFmtId="0" fontId="19" fillId="0" borderId="6" xfId="6" applyFont="1" applyBorder="1" applyAlignment="1">
      <alignment horizontal="left"/>
    </xf>
    <xf numFmtId="0" fontId="19" fillId="0" borderId="7" xfId="6" applyFont="1" applyBorder="1" applyAlignment="1">
      <alignment horizontal="centerContinuous"/>
    </xf>
    <xf numFmtId="0" fontId="19" fillId="0" borderId="7" xfId="6" applyFont="1" applyBorder="1" applyAlignment="1">
      <alignment horizontal="center"/>
    </xf>
    <xf numFmtId="0" fontId="6" fillId="0" borderId="7" xfId="0" applyFont="1" applyBorder="1"/>
    <xf numFmtId="14" fontId="4" fillId="0" borderId="8" xfId="0" applyNumberFormat="1" applyFont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2" fontId="2" fillId="3" borderId="30" xfId="0" applyNumberFormat="1" applyFont="1" applyFill="1" applyBorder="1" applyAlignment="1">
      <alignment horizontal="center" vertical="center"/>
    </xf>
    <xf numFmtId="2" fontId="2" fillId="7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6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2" fontId="25" fillId="0" borderId="40" xfId="23" applyNumberFormat="1" applyAlignment="1">
      <alignment horizontal="center" vertical="center"/>
    </xf>
    <xf numFmtId="2" fontId="25" fillId="0" borderId="40" xfId="23" applyNumberFormat="1" applyFill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167" fontId="2" fillId="0" borderId="0" xfId="0" applyNumberFormat="1" applyFont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165" fontId="13" fillId="2" borderId="21" xfId="0" applyNumberFormat="1" applyFont="1" applyFill="1" applyBorder="1" applyAlignment="1">
      <alignment horizontal="center" vertical="center"/>
    </xf>
    <xf numFmtId="3" fontId="13" fillId="2" borderId="21" xfId="0" applyNumberFormat="1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1" fontId="4" fillId="2" borderId="29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left" vertical="center"/>
    </xf>
    <xf numFmtId="1" fontId="4" fillId="0" borderId="29" xfId="0" applyNumberFormat="1" applyFont="1" applyBorder="1" applyAlignment="1">
      <alignment horizontal="left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1" fontId="4" fillId="2" borderId="16" xfId="1" applyNumberFormat="1" applyFont="1" applyFill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0" fontId="2" fillId="2" borderId="30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13" fillId="2" borderId="2" xfId="0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center"/>
    </xf>
    <xf numFmtId="1" fontId="13" fillId="2" borderId="29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3" fillId="2" borderId="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" fontId="12" fillId="0" borderId="39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1" fontId="2" fillId="0" borderId="1" xfId="5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0" fontId="26" fillId="0" borderId="5" xfId="6" applyFont="1" applyBorder="1" applyAlignment="1">
      <alignment horizontal="right"/>
    </xf>
    <xf numFmtId="0" fontId="27" fillId="5" borderId="14" xfId="6" applyFont="1" applyFill="1" applyBorder="1" applyAlignment="1">
      <alignment horizontal="center" vertical="center"/>
    </xf>
    <xf numFmtId="0" fontId="26" fillId="0" borderId="14" xfId="6" applyFont="1" applyBorder="1" applyAlignment="1">
      <alignment horizontal="right"/>
    </xf>
    <xf numFmtId="14" fontId="27" fillId="5" borderId="14" xfId="6" applyNumberFormat="1" applyFont="1" applyFill="1" applyBorder="1" applyAlignment="1">
      <alignment horizontal="center" vertical="center"/>
    </xf>
    <xf numFmtId="1" fontId="4" fillId="2" borderId="4" xfId="0" quotePrefix="1" applyNumberFormat="1" applyFont="1" applyFill="1" applyBorder="1" applyAlignment="1">
      <alignment horizontal="center" vertical="center"/>
    </xf>
    <xf numFmtId="14" fontId="4" fillId="0" borderId="11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5" borderId="13" xfId="6" applyFont="1" applyFill="1" applyBorder="1" applyAlignment="1">
      <alignment horizontal="center"/>
    </xf>
    <xf numFmtId="0" fontId="21" fillId="5" borderId="25" xfId="6" applyFont="1" applyFill="1" applyBorder="1" applyAlignment="1">
      <alignment horizontal="center"/>
    </xf>
    <xf numFmtId="0" fontId="21" fillId="5" borderId="14" xfId="6" applyFont="1" applyFill="1" applyBorder="1" applyAlignment="1">
      <alignment horizontal="center"/>
    </xf>
    <xf numFmtId="0" fontId="21" fillId="5" borderId="26" xfId="6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4">
    <cellStyle name="0.00'" xfId="8" xr:uid="{00000000-0005-0000-0000-000000000000}"/>
    <cellStyle name="0.00 cf" xfId="9" xr:uid="{00000000-0005-0000-0000-000001000000}"/>
    <cellStyle name="0.00 cy" xfId="10" xr:uid="{00000000-0005-0000-0000-000002000000}"/>
    <cellStyle name="0.00 ft" xfId="11" xr:uid="{00000000-0005-0000-0000-000003000000}"/>
    <cellStyle name="0.00 in" xfId="12" xr:uid="{00000000-0005-0000-0000-000004000000}"/>
    <cellStyle name="0.00 sf" xfId="13" xr:uid="{00000000-0005-0000-0000-000005000000}"/>
    <cellStyle name="0.00 sy" xfId="14" xr:uid="{00000000-0005-0000-0000-000006000000}"/>
    <cellStyle name="0.00&quot;" xfId="15" xr:uid="{00000000-0005-0000-0000-000007000000}"/>
    <cellStyle name="0.00:1" xfId="16" xr:uid="{00000000-0005-0000-0000-000008000000}"/>
    <cellStyle name="0.00°" xfId="17" xr:uid="{00000000-0005-0000-0000-000009000000}"/>
    <cellStyle name="0.00'Lt\Rt" xfId="18" xr:uid="{00000000-0005-0000-0000-00000A000000}"/>
    <cellStyle name="0:1" xfId="19" xr:uid="{00000000-0005-0000-0000-00000B000000}"/>
    <cellStyle name="0+00" xfId="20" xr:uid="{00000000-0005-0000-0000-00000C000000}"/>
    <cellStyle name="0+00.00" xfId="21" xr:uid="{00000000-0005-0000-0000-00000D000000}"/>
    <cellStyle name="0+00.0000" xfId="22" xr:uid="{00000000-0005-0000-0000-00000E000000}"/>
    <cellStyle name="Comma" xfId="1" builtinId="3"/>
    <cellStyle name="Comma 2" xfId="2" xr:uid="{00000000-0005-0000-0000-000011000000}"/>
    <cellStyle name="Comma 2 2" xfId="4" xr:uid="{00000000-0005-0000-0000-000012000000}"/>
    <cellStyle name="Currency" xfId="5" builtinId="4"/>
    <cellStyle name="Input" xfId="7" builtinId="20" customBuiltin="1"/>
    <cellStyle name="Linked Cell" xfId="23" builtinId="24"/>
    <cellStyle name="Normal" xfId="0" builtinId="0"/>
    <cellStyle name="Normal 2" xfId="3" xr:uid="{00000000-0005-0000-0000-000018000000}"/>
    <cellStyle name="Normal 4" xfId="6" xr:uid="{00000000-0005-0000-0000-000019000000}"/>
  </cellStyles>
  <dxfs count="0"/>
  <tableStyles count="0" defaultTableStyle="TableStyleMedium9" defaultPivotStyle="PivotStyleLight16"/>
  <colors>
    <mruColors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Projects\ARCA_105889_LUC-23-11.75\400-Engineering\Structures\SFN_4805136\Docs\Spreadsheet\SFN%204805136%20Estimated%20Quantities.xlsx" TargetMode="External"/><Relationship Id="rId1" Type="http://schemas.openxmlformats.org/officeDocument/2006/relationships/externalLinkPath" Target="file:///V:\Projects\ARCA_105889_LUC-23-11.75\400-Engineering\Structures\SFN_4805136\Docs\Spreadsheet\SFN%204805136%20Estimated%20Quanti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ge 3"/>
      <sheetName val="Stage 2"/>
      <sheetName val="Stage 2 (BLANK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04565-E951-4353-B5AB-6936D8AE4CFC}">
  <sheetPr>
    <pageSetUpPr fitToPage="1"/>
  </sheetPr>
  <dimension ref="A1:BX586"/>
  <sheetViews>
    <sheetView tabSelected="1" view="pageBreakPreview" zoomScaleNormal="80" zoomScaleSheetLayoutView="100" workbookViewId="0">
      <selection activeCell="M51" sqref="M51"/>
    </sheetView>
  </sheetViews>
  <sheetFormatPr defaultColWidth="9.140625" defaultRowHeight="12.75" x14ac:dyDescent="0.2"/>
  <cols>
    <col min="1" max="1" width="14.42578125" style="2" customWidth="1"/>
    <col min="2" max="2" width="10.7109375" style="2" customWidth="1"/>
    <col min="3" max="4" width="12.28515625" style="2" bestFit="1" customWidth="1"/>
    <col min="5" max="8" width="12.7109375" style="2" customWidth="1"/>
    <col min="9" max="9" width="34.28515625" style="2" customWidth="1"/>
    <col min="10" max="13" width="10.7109375" style="2" customWidth="1"/>
    <col min="14" max="14" width="14.28515625" style="2" bestFit="1" customWidth="1"/>
    <col min="15" max="15" width="9.140625" style="2"/>
    <col min="16" max="16" width="17.28515625" style="2" bestFit="1" customWidth="1"/>
    <col min="17" max="16384" width="9.140625" style="2"/>
  </cols>
  <sheetData>
    <row r="1" spans="1:16" s="1" customFormat="1" ht="27.75" x14ac:dyDescent="0.4">
      <c r="A1" s="68" t="s">
        <v>74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</row>
    <row r="2" spans="1:16" s="1" customFormat="1" ht="4.5" customHeight="1" thickBot="1" x14ac:dyDescent="0.3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</row>
    <row r="3" spans="1:16" s="1" customFormat="1" ht="4.5" customHeight="1" x14ac:dyDescent="0.3">
      <c r="A3" s="149"/>
      <c r="B3" s="150"/>
      <c r="C3" s="150"/>
      <c r="D3" s="151"/>
      <c r="E3" s="150"/>
      <c r="F3" s="150"/>
      <c r="G3" s="150"/>
      <c r="H3" s="152"/>
      <c r="I3" s="152"/>
      <c r="J3" s="150"/>
      <c r="K3" s="150"/>
      <c r="L3" s="150"/>
      <c r="M3" s="150"/>
      <c r="N3" s="70"/>
    </row>
    <row r="4" spans="1:16" s="1" customFormat="1" ht="15" x14ac:dyDescent="0.25">
      <c r="A4" s="74" t="s">
        <v>75</v>
      </c>
      <c r="B4" s="75" t="s">
        <v>186</v>
      </c>
      <c r="C4" s="76" t="s">
        <v>13</v>
      </c>
      <c r="D4" s="77">
        <v>45370</v>
      </c>
      <c r="E4" s="78" t="s">
        <v>272</v>
      </c>
      <c r="F4" s="78"/>
      <c r="G4" s="78"/>
      <c r="H4" s="78"/>
      <c r="I4" s="76" t="s">
        <v>76</v>
      </c>
      <c r="J4" s="235">
        <v>3</v>
      </c>
      <c r="K4" s="235"/>
      <c r="L4" s="235"/>
      <c r="M4" s="235"/>
      <c r="N4" s="236"/>
    </row>
    <row r="5" spans="1:16" s="1" customFormat="1" ht="15" x14ac:dyDescent="0.25">
      <c r="A5" s="79" t="s">
        <v>77</v>
      </c>
      <c r="B5" s="80" t="s">
        <v>254</v>
      </c>
      <c r="C5" s="81" t="s">
        <v>13</v>
      </c>
      <c r="D5" s="82">
        <v>45378</v>
      </c>
      <c r="E5" s="83"/>
      <c r="F5" s="78"/>
      <c r="G5" s="78"/>
      <c r="H5" s="78"/>
      <c r="I5" s="81" t="s">
        <v>78</v>
      </c>
      <c r="J5" s="235">
        <v>105889</v>
      </c>
      <c r="K5" s="235"/>
      <c r="L5" s="235"/>
      <c r="M5" s="235"/>
      <c r="N5" s="236"/>
    </row>
    <row r="6" spans="1:16" s="1" customFormat="1" ht="15" x14ac:dyDescent="0.25">
      <c r="A6" s="79" t="s">
        <v>79</v>
      </c>
      <c r="B6" s="80" t="s">
        <v>186</v>
      </c>
      <c r="C6" s="81" t="s">
        <v>13</v>
      </c>
      <c r="D6" s="82">
        <v>45378</v>
      </c>
      <c r="E6" s="83"/>
      <c r="F6" s="78"/>
      <c r="G6" s="78"/>
      <c r="H6" s="78"/>
      <c r="I6" s="81" t="s">
        <v>15</v>
      </c>
      <c r="J6" s="237" t="s">
        <v>269</v>
      </c>
      <c r="K6" s="237"/>
      <c r="L6" s="237"/>
      <c r="M6" s="237"/>
      <c r="N6" s="238"/>
    </row>
    <row r="7" spans="1:16" s="1" customFormat="1" ht="15" x14ac:dyDescent="0.25">
      <c r="A7" s="212" t="s">
        <v>80</v>
      </c>
      <c r="B7" s="213" t="s">
        <v>254</v>
      </c>
      <c r="C7" s="214" t="s">
        <v>13</v>
      </c>
      <c r="D7" s="215">
        <v>45378</v>
      </c>
      <c r="E7" s="78" t="s">
        <v>272</v>
      </c>
      <c r="F7" s="78"/>
      <c r="G7" s="78"/>
      <c r="H7" s="78"/>
      <c r="I7" s="81" t="s">
        <v>16</v>
      </c>
      <c r="J7" s="235">
        <v>4805137</v>
      </c>
      <c r="K7" s="235"/>
      <c r="L7" s="235"/>
      <c r="M7" s="235"/>
      <c r="N7" s="236"/>
    </row>
    <row r="8" spans="1:16" s="1" customFormat="1" ht="15" x14ac:dyDescent="0.25">
      <c r="A8" s="212" t="s">
        <v>81</v>
      </c>
      <c r="B8" s="213" t="s">
        <v>254</v>
      </c>
      <c r="C8" s="214" t="s">
        <v>13</v>
      </c>
      <c r="D8" s="215">
        <v>45378</v>
      </c>
      <c r="E8" s="83"/>
      <c r="F8" s="83"/>
      <c r="G8" s="83"/>
      <c r="H8" s="83"/>
      <c r="I8" s="84"/>
      <c r="J8" s="84"/>
      <c r="K8" s="84"/>
      <c r="L8" s="84"/>
      <c r="M8" s="84"/>
      <c r="N8" s="85"/>
    </row>
    <row r="9" spans="1:16" s="1" customFormat="1" ht="15" x14ac:dyDescent="0.25">
      <c r="A9" s="79" t="s">
        <v>14</v>
      </c>
      <c r="B9" s="86" t="s">
        <v>103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</row>
    <row r="10" spans="1:16" s="1" customFormat="1" ht="15.75" thickBot="1" x14ac:dyDescent="0.3">
      <c r="A10" s="89"/>
      <c r="B10" s="90" t="s">
        <v>174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2"/>
    </row>
    <row r="11" spans="1:16" ht="29.25" x14ac:dyDescent="0.2">
      <c r="A11" s="65" t="s">
        <v>227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1:16" ht="15.75" thickBot="1" x14ac:dyDescent="0.25">
      <c r="A12" s="239"/>
      <c r="B12" s="239"/>
      <c r="C12" s="239"/>
      <c r="D12" s="239"/>
      <c r="E12" s="239"/>
      <c r="F12" s="239"/>
      <c r="G12" s="239"/>
      <c r="H12" s="239"/>
      <c r="I12" s="239"/>
      <c r="J12" s="144"/>
      <c r="K12" s="144"/>
      <c r="L12" s="144"/>
      <c r="M12" s="144"/>
      <c r="N12" s="144"/>
    </row>
    <row r="13" spans="1:16" ht="18.75" customHeight="1" x14ac:dyDescent="0.2">
      <c r="A13" s="231" t="s">
        <v>187</v>
      </c>
      <c r="B13" s="232"/>
      <c r="C13" s="232"/>
      <c r="D13" s="232"/>
      <c r="E13" s="232"/>
      <c r="F13" s="232"/>
      <c r="G13" s="232"/>
      <c r="H13" s="232"/>
      <c r="I13" s="232"/>
      <c r="J13" s="232"/>
      <c r="K13" s="137" t="s">
        <v>178</v>
      </c>
      <c r="L13" s="137" t="s">
        <v>186</v>
      </c>
      <c r="M13" s="137" t="s">
        <v>13</v>
      </c>
      <c r="N13" s="153">
        <v>45541</v>
      </c>
    </row>
    <row r="14" spans="1:16" ht="19.5" customHeight="1" thickBot="1" x14ac:dyDescent="0.25">
      <c r="A14" s="233"/>
      <c r="B14" s="234"/>
      <c r="C14" s="234"/>
      <c r="D14" s="234"/>
      <c r="E14" s="234"/>
      <c r="F14" s="234"/>
      <c r="G14" s="234"/>
      <c r="H14" s="234"/>
      <c r="I14" s="234"/>
      <c r="J14" s="234"/>
      <c r="K14" s="138" t="s">
        <v>179</v>
      </c>
      <c r="L14" s="138" t="s">
        <v>254</v>
      </c>
      <c r="M14" s="138" t="s">
        <v>13</v>
      </c>
      <c r="N14" s="217">
        <v>45541</v>
      </c>
    </row>
    <row r="15" spans="1:16" x14ac:dyDescent="0.2">
      <c r="A15" s="145" t="s">
        <v>0</v>
      </c>
      <c r="B15" s="146" t="s">
        <v>5</v>
      </c>
      <c r="C15" s="147" t="s">
        <v>4</v>
      </c>
      <c r="D15" s="147" t="s">
        <v>1</v>
      </c>
      <c r="E15" s="222" t="s">
        <v>2</v>
      </c>
      <c r="F15" s="222"/>
      <c r="G15" s="222"/>
      <c r="H15" s="222"/>
      <c r="I15" s="222"/>
      <c r="J15" s="147" t="s">
        <v>82</v>
      </c>
      <c r="K15" s="147" t="s">
        <v>83</v>
      </c>
      <c r="L15" s="147" t="s">
        <v>84</v>
      </c>
      <c r="M15" s="147" t="s">
        <v>85</v>
      </c>
      <c r="N15" s="148" t="s">
        <v>21</v>
      </c>
      <c r="P15" s="159" t="s">
        <v>206</v>
      </c>
    </row>
    <row r="16" spans="1:16" s="33" customFormat="1" x14ac:dyDescent="0.2">
      <c r="A16" s="52">
        <v>203</v>
      </c>
      <c r="B16" s="95">
        <v>2000</v>
      </c>
      <c r="C16" s="34">
        <f>SUM(J16:M16)</f>
        <v>148</v>
      </c>
      <c r="D16" s="97" t="s">
        <v>20</v>
      </c>
      <c r="E16" s="100" t="s">
        <v>122</v>
      </c>
      <c r="F16" s="110"/>
      <c r="G16" s="110"/>
      <c r="H16" s="110"/>
      <c r="I16" s="111"/>
      <c r="J16" s="182">
        <f>ROUND((C68+C73)/27,0)</f>
        <v>34</v>
      </c>
      <c r="K16" s="179">
        <f>ROUND((C75+C76)/27,0)</f>
        <v>114</v>
      </c>
      <c r="L16" s="179"/>
      <c r="M16" s="179"/>
      <c r="N16" s="183"/>
      <c r="P16" s="166"/>
    </row>
    <row r="17" spans="1:16" x14ac:dyDescent="0.2">
      <c r="A17" s="145"/>
      <c r="B17" s="146"/>
      <c r="C17" s="146"/>
      <c r="D17" s="204"/>
      <c r="E17" s="204"/>
      <c r="F17" s="205"/>
      <c r="G17" s="205"/>
      <c r="H17" s="205"/>
      <c r="I17" s="206"/>
      <c r="J17" s="206"/>
      <c r="K17" s="146"/>
      <c r="L17" s="146"/>
      <c r="M17" s="146"/>
      <c r="N17" s="207"/>
      <c r="P17" s="159"/>
    </row>
    <row r="18" spans="1:16" s="10" customFormat="1" x14ac:dyDescent="0.2">
      <c r="A18" s="5">
        <v>503</v>
      </c>
      <c r="B18" s="93">
        <v>11100</v>
      </c>
      <c r="C18" s="34" t="s">
        <v>18</v>
      </c>
      <c r="D18" s="97"/>
      <c r="E18" s="29" t="s">
        <v>68</v>
      </c>
      <c r="F18" s="30"/>
      <c r="G18" s="30"/>
      <c r="H18" s="30"/>
      <c r="I18" s="31"/>
      <c r="J18" s="182"/>
      <c r="K18" s="179" t="s">
        <v>18</v>
      </c>
      <c r="L18" s="179"/>
      <c r="M18" s="179"/>
      <c r="N18" s="183"/>
      <c r="P18" s="160">
        <v>30000</v>
      </c>
    </row>
    <row r="19" spans="1:16" s="8" customFormat="1" x14ac:dyDescent="0.2">
      <c r="A19" s="107">
        <v>503</v>
      </c>
      <c r="B19" s="94">
        <v>21300</v>
      </c>
      <c r="C19" s="34" t="s">
        <v>18</v>
      </c>
      <c r="D19" s="97"/>
      <c r="E19" s="223" t="s">
        <v>32</v>
      </c>
      <c r="F19" s="224"/>
      <c r="G19" s="224"/>
      <c r="H19" s="224"/>
      <c r="I19" s="225"/>
      <c r="J19" s="180" t="s">
        <v>18</v>
      </c>
      <c r="K19" s="21" t="s">
        <v>18</v>
      </c>
      <c r="L19" s="21"/>
      <c r="M19" s="21"/>
      <c r="N19" s="181"/>
      <c r="P19" s="166">
        <f>C84</f>
        <v>9000</v>
      </c>
    </row>
    <row r="20" spans="1:16" s="8" customFormat="1" x14ac:dyDescent="0.2">
      <c r="A20" s="62">
        <v>503</v>
      </c>
      <c r="B20" s="96">
        <v>31100</v>
      </c>
      <c r="C20" s="34">
        <f>SUM(J20:M20)</f>
        <v>23</v>
      </c>
      <c r="D20" s="97" t="s">
        <v>20</v>
      </c>
      <c r="E20" s="164" t="s">
        <v>265</v>
      </c>
      <c r="F20" s="104"/>
      <c r="G20" s="104"/>
      <c r="H20" s="104"/>
      <c r="I20" s="105"/>
      <c r="J20" s="180"/>
      <c r="K20" s="172">
        <f>C118</f>
        <v>23</v>
      </c>
      <c r="L20" s="21"/>
      <c r="M20" s="21"/>
      <c r="N20" s="181"/>
      <c r="P20" s="208">
        <f>C118</f>
        <v>23</v>
      </c>
    </row>
    <row r="21" spans="1:16" s="10" customFormat="1" x14ac:dyDescent="0.2">
      <c r="A21" s="5"/>
      <c r="B21" s="93"/>
      <c r="C21" s="7"/>
      <c r="D21" s="97"/>
      <c r="E21" s="226"/>
      <c r="F21" s="227"/>
      <c r="G21" s="227"/>
      <c r="H21" s="227"/>
      <c r="I21" s="228"/>
      <c r="J21" s="180"/>
      <c r="K21" s="21"/>
      <c r="L21" s="21"/>
      <c r="M21" s="21"/>
      <c r="N21" s="181"/>
    </row>
    <row r="22" spans="1:16" s="26" customFormat="1" x14ac:dyDescent="0.2">
      <c r="A22" s="52">
        <v>509</v>
      </c>
      <c r="B22" s="95">
        <v>10000</v>
      </c>
      <c r="C22" s="156">
        <f>SUM(J22:M22)</f>
        <v>210859</v>
      </c>
      <c r="D22" s="97" t="s">
        <v>19</v>
      </c>
      <c r="E22" s="226" t="s">
        <v>270</v>
      </c>
      <c r="F22" s="229"/>
      <c r="G22" s="229"/>
      <c r="H22" s="229"/>
      <c r="I22" s="230"/>
      <c r="J22" s="161">
        <f>C129+C130</f>
        <v>56679</v>
      </c>
      <c r="K22" s="161">
        <f>C136+C137</f>
        <v>30848</v>
      </c>
      <c r="L22" s="161">
        <f>C132+C134+C139+C141</f>
        <v>123332</v>
      </c>
      <c r="M22" s="172" t="str">
        <f>IF('Stage 3'!R22="","",'Stage 3'!R22)</f>
        <v/>
      </c>
      <c r="N22" s="173" t="str">
        <f>IF('Stage 3'!S22="","",'Stage 3'!S22)</f>
        <v/>
      </c>
    </row>
    <row r="23" spans="1:16" s="26" customFormat="1" x14ac:dyDescent="0.2">
      <c r="A23" s="52">
        <v>509</v>
      </c>
      <c r="B23" s="95">
        <v>30020</v>
      </c>
      <c r="C23" s="156">
        <f>SUM(J23:M23)</f>
        <v>6536</v>
      </c>
      <c r="D23" s="97" t="s">
        <v>3</v>
      </c>
      <c r="E23" s="100" t="s">
        <v>267</v>
      </c>
      <c r="F23" s="110"/>
      <c r="G23" s="110"/>
      <c r="H23" s="110"/>
      <c r="I23" s="111"/>
      <c r="J23" s="174"/>
      <c r="K23" s="161"/>
      <c r="L23" s="161">
        <f>C140</f>
        <v>6536</v>
      </c>
      <c r="M23" s="172"/>
      <c r="N23" s="173"/>
    </row>
    <row r="24" spans="1:16" s="26" customFormat="1" x14ac:dyDescent="0.2">
      <c r="A24" s="52"/>
      <c r="B24" s="95"/>
      <c r="C24" s="34"/>
      <c r="D24" s="97"/>
      <c r="E24" s="100"/>
      <c r="F24" s="110"/>
      <c r="G24" s="110"/>
      <c r="H24" s="110"/>
      <c r="I24" s="111"/>
      <c r="J24" s="171"/>
      <c r="K24" s="172"/>
      <c r="L24" s="172" t="str">
        <f>IF('Stage 3'!Q24="","",'Stage 3'!Q24)</f>
        <v/>
      </c>
      <c r="M24" s="172" t="str">
        <f>IF('Stage 3'!R24="","",'Stage 3'!R24)</f>
        <v/>
      </c>
      <c r="N24" s="173" t="str">
        <f>IF('Stage 3'!S24="","",'Stage 3'!S24)</f>
        <v/>
      </c>
    </row>
    <row r="25" spans="1:16" s="26" customFormat="1" x14ac:dyDescent="0.2">
      <c r="A25" s="62">
        <v>511</v>
      </c>
      <c r="B25" s="96">
        <v>32212</v>
      </c>
      <c r="C25" s="156">
        <f t="shared" ref="C25:C30" si="0">SUM(J25:M25)</f>
        <v>395</v>
      </c>
      <c r="D25" s="98" t="s">
        <v>20</v>
      </c>
      <c r="E25" s="103" t="s">
        <v>52</v>
      </c>
      <c r="F25" s="112"/>
      <c r="G25" s="112"/>
      <c r="H25" s="112"/>
      <c r="I25" s="106"/>
      <c r="J25" s="174"/>
      <c r="K25" s="161"/>
      <c r="L25" s="161">
        <f>C145</f>
        <v>395</v>
      </c>
      <c r="M25" s="161" t="str">
        <f>IF('Stage 3'!R25="","",'Stage 3'!R25)</f>
        <v/>
      </c>
      <c r="N25" s="175" t="str">
        <f>IF('Stage 3'!S25="","",'Stage 3'!S25)</f>
        <v/>
      </c>
    </row>
    <row r="26" spans="1:16" s="26" customFormat="1" x14ac:dyDescent="0.2">
      <c r="A26" s="62">
        <v>511</v>
      </c>
      <c r="B26" s="96">
        <v>33500</v>
      </c>
      <c r="C26" s="156">
        <f>SUM(J26:M26)</f>
        <v>2</v>
      </c>
      <c r="D26" s="98" t="s">
        <v>176</v>
      </c>
      <c r="E26" s="103" t="s">
        <v>262</v>
      </c>
      <c r="F26" s="112"/>
      <c r="G26" s="112"/>
      <c r="H26" s="112"/>
      <c r="I26" s="106"/>
      <c r="J26" s="171">
        <v>2</v>
      </c>
      <c r="K26" s="172"/>
      <c r="L26" s="172"/>
      <c r="M26" s="172"/>
      <c r="N26" s="173"/>
    </row>
    <row r="27" spans="1:16" s="26" customFormat="1" x14ac:dyDescent="0.2">
      <c r="A27" s="62">
        <v>511</v>
      </c>
      <c r="B27" s="96">
        <v>34450</v>
      </c>
      <c r="C27" s="156">
        <f t="shared" si="0"/>
        <v>64</v>
      </c>
      <c r="D27" s="98" t="s">
        <v>20</v>
      </c>
      <c r="E27" s="103" t="s">
        <v>191</v>
      </c>
      <c r="F27" s="112"/>
      <c r="G27" s="112"/>
      <c r="H27" s="112"/>
      <c r="I27" s="106"/>
      <c r="J27" s="171"/>
      <c r="K27" s="172"/>
      <c r="L27" s="172">
        <f>C179</f>
        <v>64</v>
      </c>
      <c r="M27" s="172" t="str">
        <f>IF('Stage 3'!R27="","",'Stage 3'!R27)</f>
        <v/>
      </c>
      <c r="N27" s="173" t="str">
        <f>IF('Stage 3'!S27="","",'Stage 3'!S27)</f>
        <v/>
      </c>
    </row>
    <row r="28" spans="1:16" s="26" customFormat="1" x14ac:dyDescent="0.2">
      <c r="A28" s="62">
        <v>511</v>
      </c>
      <c r="B28" s="96">
        <v>40512</v>
      </c>
      <c r="C28" s="156">
        <f t="shared" si="0"/>
        <v>84</v>
      </c>
      <c r="D28" s="98" t="s">
        <v>20</v>
      </c>
      <c r="E28" s="103" t="s">
        <v>188</v>
      </c>
      <c r="F28" s="112"/>
      <c r="G28" s="112"/>
      <c r="H28" s="112"/>
      <c r="I28" s="106"/>
      <c r="J28" s="171" t="str">
        <f>IF('Stage 3'!O28="","",'Stage 3'!O28)</f>
        <v/>
      </c>
      <c r="K28" s="172">
        <f>C190</f>
        <v>84</v>
      </c>
      <c r="L28" s="172"/>
      <c r="M28" s="172"/>
      <c r="N28" s="173"/>
    </row>
    <row r="29" spans="1:16" s="26" customFormat="1" x14ac:dyDescent="0.2">
      <c r="A29" s="62">
        <v>511</v>
      </c>
      <c r="B29" s="96">
        <v>43513</v>
      </c>
      <c r="C29" s="156">
        <f t="shared" si="0"/>
        <v>219</v>
      </c>
      <c r="D29" s="98" t="s">
        <v>20</v>
      </c>
      <c r="E29" s="103" t="s">
        <v>189</v>
      </c>
      <c r="F29" s="112"/>
      <c r="G29" s="112"/>
      <c r="H29" s="112"/>
      <c r="I29" s="106"/>
      <c r="J29" s="172">
        <f>C208</f>
        <v>219</v>
      </c>
      <c r="K29" s="172"/>
      <c r="L29" s="172"/>
      <c r="M29" s="172"/>
      <c r="N29" s="216" t="s">
        <v>266</v>
      </c>
    </row>
    <row r="30" spans="1:16" s="26" customFormat="1" x14ac:dyDescent="0.2">
      <c r="A30" s="62">
        <v>511</v>
      </c>
      <c r="B30" s="96">
        <v>46512</v>
      </c>
      <c r="C30" s="156">
        <f t="shared" si="0"/>
        <v>28</v>
      </c>
      <c r="D30" s="98" t="s">
        <v>20</v>
      </c>
      <c r="E30" s="103" t="s">
        <v>190</v>
      </c>
      <c r="F30" s="112"/>
      <c r="G30" s="112"/>
      <c r="H30" s="112"/>
      <c r="I30" s="106"/>
      <c r="J30" s="171"/>
      <c r="K30" s="172">
        <f>C288</f>
        <v>28</v>
      </c>
      <c r="L30" s="172" t="str">
        <f>IF('Stage 3'!Q30="","",'Stage 3'!Q30)</f>
        <v/>
      </c>
      <c r="M30" s="172"/>
      <c r="N30" s="173"/>
    </row>
    <row r="31" spans="1:16" s="26" customFormat="1" x14ac:dyDescent="0.2">
      <c r="A31" s="62"/>
      <c r="B31" s="96"/>
      <c r="C31" s="63"/>
      <c r="D31" s="98"/>
      <c r="E31" s="103"/>
      <c r="F31" s="112"/>
      <c r="G31" s="112"/>
      <c r="H31" s="112"/>
      <c r="I31" s="106"/>
      <c r="J31" s="171"/>
      <c r="K31" s="172"/>
      <c r="L31" s="172" t="str">
        <f>IF('Stage 3'!Q31="","",'Stage 3'!Q31)</f>
        <v/>
      </c>
      <c r="M31" s="172"/>
      <c r="N31" s="173"/>
    </row>
    <row r="32" spans="1:16" s="8" customFormat="1" x14ac:dyDescent="0.2">
      <c r="A32" s="107">
        <v>512</v>
      </c>
      <c r="B32" s="94">
        <v>10100</v>
      </c>
      <c r="C32" s="156">
        <f>SUM(J32:M32)</f>
        <v>563</v>
      </c>
      <c r="D32" s="99" t="s">
        <v>17</v>
      </c>
      <c r="E32" s="223" t="s">
        <v>192</v>
      </c>
      <c r="F32" s="224"/>
      <c r="G32" s="224"/>
      <c r="H32" s="224"/>
      <c r="I32" s="225"/>
      <c r="J32" s="171"/>
      <c r="K32" s="172"/>
      <c r="L32" s="172">
        <f>C315</f>
        <v>563</v>
      </c>
      <c r="M32" s="172"/>
      <c r="N32" s="173"/>
    </row>
    <row r="33" spans="1:15" s="10" customFormat="1" x14ac:dyDescent="0.2">
      <c r="A33" s="5"/>
      <c r="B33" s="93"/>
      <c r="C33" s="7"/>
      <c r="D33" s="6"/>
      <c r="E33" s="113"/>
      <c r="F33" s="101"/>
      <c r="G33" s="101"/>
      <c r="H33" s="101"/>
      <c r="I33" s="102"/>
      <c r="J33" s="171"/>
      <c r="K33" s="172"/>
      <c r="L33" s="172"/>
      <c r="M33" s="172"/>
      <c r="N33" s="173"/>
      <c r="O33" s="8"/>
    </row>
    <row r="34" spans="1:15" s="10" customFormat="1" x14ac:dyDescent="0.2">
      <c r="A34" s="11">
        <v>516</v>
      </c>
      <c r="B34" s="9">
        <v>10010</v>
      </c>
      <c r="C34" s="156">
        <f t="shared" ref="C34:C39" si="1">SUM(J34:M34)</f>
        <v>56</v>
      </c>
      <c r="D34" s="21" t="s">
        <v>3</v>
      </c>
      <c r="E34" s="29" t="s">
        <v>100</v>
      </c>
      <c r="F34" s="30"/>
      <c r="G34" s="30"/>
      <c r="H34" s="30"/>
      <c r="I34" s="31"/>
      <c r="J34" s="171"/>
      <c r="K34" s="172"/>
      <c r="L34" s="172"/>
      <c r="M34" s="172">
        <f>C378</f>
        <v>56</v>
      </c>
      <c r="N34" s="173"/>
      <c r="O34" s="8"/>
    </row>
    <row r="35" spans="1:15" s="10" customFormat="1" x14ac:dyDescent="0.2">
      <c r="A35" s="5">
        <v>516</v>
      </c>
      <c r="B35" s="93">
        <v>13200</v>
      </c>
      <c r="C35" s="156">
        <f t="shared" si="1"/>
        <v>64</v>
      </c>
      <c r="D35" s="97" t="s">
        <v>34</v>
      </c>
      <c r="E35" s="100" t="s">
        <v>53</v>
      </c>
      <c r="F35" s="101"/>
      <c r="G35" s="101"/>
      <c r="H35" s="101"/>
      <c r="I35" s="102"/>
      <c r="J35" s="171">
        <f>C385</f>
        <v>64</v>
      </c>
      <c r="K35" s="172"/>
      <c r="L35" s="172"/>
      <c r="M35" s="172"/>
      <c r="N35" s="173"/>
      <c r="O35" s="8"/>
    </row>
    <row r="36" spans="1:15" s="8" customFormat="1" x14ac:dyDescent="0.2">
      <c r="A36" s="107">
        <v>516</v>
      </c>
      <c r="B36" s="94">
        <v>13600</v>
      </c>
      <c r="C36" s="156">
        <f t="shared" si="1"/>
        <v>80</v>
      </c>
      <c r="D36" s="98" t="s">
        <v>34</v>
      </c>
      <c r="E36" s="103" t="s">
        <v>35</v>
      </c>
      <c r="F36" s="104"/>
      <c r="G36" s="104"/>
      <c r="H36" s="104"/>
      <c r="I36" s="105"/>
      <c r="J36" s="171"/>
      <c r="K36" s="172"/>
      <c r="L36" s="172">
        <f>C394</f>
        <v>80</v>
      </c>
      <c r="M36" s="172"/>
      <c r="N36" s="173"/>
    </row>
    <row r="37" spans="1:15" s="8" customFormat="1" x14ac:dyDescent="0.2">
      <c r="A37" s="107">
        <v>516</v>
      </c>
      <c r="B37" s="94">
        <v>13900</v>
      </c>
      <c r="C37" s="156">
        <f t="shared" si="1"/>
        <v>59</v>
      </c>
      <c r="D37" s="98" t="s">
        <v>34</v>
      </c>
      <c r="E37" s="103" t="s">
        <v>89</v>
      </c>
      <c r="F37" s="104"/>
      <c r="G37" s="104"/>
      <c r="H37" s="104"/>
      <c r="I37" s="105"/>
      <c r="J37" s="171">
        <f>C407</f>
        <v>59</v>
      </c>
      <c r="K37" s="172"/>
      <c r="L37" s="172"/>
      <c r="M37" s="172"/>
      <c r="N37" s="173"/>
    </row>
    <row r="38" spans="1:15" s="10" customFormat="1" x14ac:dyDescent="0.2">
      <c r="A38" s="5">
        <v>516</v>
      </c>
      <c r="B38" s="95">
        <v>25000</v>
      </c>
      <c r="C38" s="156">
        <f t="shared" si="1"/>
        <v>249</v>
      </c>
      <c r="D38" s="97" t="s">
        <v>34</v>
      </c>
      <c r="E38" s="100" t="s">
        <v>65</v>
      </c>
      <c r="F38" s="101"/>
      <c r="G38" s="101"/>
      <c r="H38" s="101"/>
      <c r="I38" s="102"/>
      <c r="J38" s="171">
        <f>C426</f>
        <v>249</v>
      </c>
      <c r="K38" s="172"/>
      <c r="L38" s="172"/>
      <c r="M38" s="172"/>
      <c r="N38" s="173"/>
      <c r="O38" s="8"/>
    </row>
    <row r="39" spans="1:15" s="10" customFormat="1" x14ac:dyDescent="0.2">
      <c r="A39" s="5">
        <v>516</v>
      </c>
      <c r="B39" s="95">
        <v>42600</v>
      </c>
      <c r="C39" s="156">
        <f t="shared" si="1"/>
        <v>63</v>
      </c>
      <c r="D39" s="97" t="s">
        <v>3</v>
      </c>
      <c r="E39" s="100" t="s">
        <v>258</v>
      </c>
      <c r="F39" s="101"/>
      <c r="G39" s="101"/>
      <c r="H39" s="101"/>
      <c r="I39" s="102"/>
      <c r="J39" s="171">
        <f>C453</f>
        <v>63</v>
      </c>
      <c r="K39" s="172"/>
      <c r="L39" s="172"/>
      <c r="M39" s="172"/>
      <c r="N39" s="216" t="s">
        <v>266</v>
      </c>
      <c r="O39" s="8"/>
    </row>
    <row r="40" spans="1:15" s="10" customFormat="1" x14ac:dyDescent="0.2">
      <c r="A40" s="5"/>
      <c r="B40" s="93"/>
      <c r="C40" s="7"/>
      <c r="D40" s="97"/>
      <c r="E40" s="100"/>
      <c r="F40" s="101"/>
      <c r="G40" s="101"/>
      <c r="H40" s="101"/>
      <c r="I40" s="102"/>
      <c r="J40" s="174"/>
      <c r="K40" s="161"/>
      <c r="L40" s="161"/>
      <c r="M40" s="161"/>
      <c r="N40" s="175"/>
      <c r="O40" s="8"/>
    </row>
    <row r="41" spans="1:15" s="8" customFormat="1" x14ac:dyDescent="0.2">
      <c r="A41" s="107">
        <v>518</v>
      </c>
      <c r="B41" s="94">
        <v>21200</v>
      </c>
      <c r="C41" s="156">
        <f t="shared" ref="C41:C43" si="2">SUM(J41:M41)</f>
        <v>129</v>
      </c>
      <c r="D41" s="98" t="s">
        <v>20</v>
      </c>
      <c r="E41" s="103" t="s">
        <v>29</v>
      </c>
      <c r="F41" s="104"/>
      <c r="G41" s="104"/>
      <c r="H41" s="104"/>
      <c r="I41" s="105"/>
      <c r="J41" s="174">
        <f>C460</f>
        <v>129</v>
      </c>
      <c r="K41" s="161"/>
      <c r="L41" s="161"/>
      <c r="M41" s="161"/>
      <c r="N41" s="175"/>
    </row>
    <row r="42" spans="1:15" s="8" customFormat="1" x14ac:dyDescent="0.2">
      <c r="A42" s="107">
        <v>518</v>
      </c>
      <c r="B42" s="94">
        <v>40000</v>
      </c>
      <c r="C42" s="156">
        <f t="shared" si="2"/>
        <v>112</v>
      </c>
      <c r="D42" s="98" t="s">
        <v>3</v>
      </c>
      <c r="E42" s="103" t="s">
        <v>38</v>
      </c>
      <c r="F42" s="104"/>
      <c r="G42" s="104"/>
      <c r="H42" s="104"/>
      <c r="I42" s="105"/>
      <c r="J42" s="174">
        <f>C476</f>
        <v>112</v>
      </c>
      <c r="K42" s="161"/>
      <c r="L42" s="161"/>
      <c r="M42" s="161"/>
      <c r="N42" s="175"/>
    </row>
    <row r="43" spans="1:15" s="8" customFormat="1" x14ac:dyDescent="0.2">
      <c r="A43" s="107">
        <v>518</v>
      </c>
      <c r="B43" s="94">
        <v>40010</v>
      </c>
      <c r="C43" s="156">
        <f t="shared" si="2"/>
        <v>16</v>
      </c>
      <c r="D43" s="98" t="s">
        <v>3</v>
      </c>
      <c r="E43" s="103" t="s">
        <v>54</v>
      </c>
      <c r="F43" s="104"/>
      <c r="G43" s="104"/>
      <c r="H43" s="104"/>
      <c r="I43" s="105"/>
      <c r="J43" s="174">
        <f>C482</f>
        <v>16</v>
      </c>
      <c r="K43" s="161"/>
      <c r="L43" s="161"/>
      <c r="M43" s="161"/>
      <c r="N43" s="175"/>
    </row>
    <row r="44" spans="1:15" s="8" customFormat="1" x14ac:dyDescent="0.2">
      <c r="A44" s="107"/>
      <c r="B44" s="94"/>
      <c r="C44" s="61"/>
      <c r="D44" s="98"/>
      <c r="E44" s="103"/>
      <c r="F44" s="104"/>
      <c r="G44" s="104"/>
      <c r="H44" s="104"/>
      <c r="I44" s="105"/>
      <c r="J44" s="174"/>
      <c r="K44" s="161"/>
      <c r="L44" s="161"/>
      <c r="M44" s="161"/>
      <c r="N44" s="175"/>
    </row>
    <row r="45" spans="1:15" s="26" customFormat="1" x14ac:dyDescent="0.2">
      <c r="A45" s="62">
        <v>524</v>
      </c>
      <c r="B45" s="96">
        <v>94704</v>
      </c>
      <c r="C45" s="156">
        <f t="shared" ref="C45:C47" si="3">SUM(J45:M45)</f>
        <v>177</v>
      </c>
      <c r="D45" s="98" t="s">
        <v>3</v>
      </c>
      <c r="E45" s="103" t="s">
        <v>195</v>
      </c>
      <c r="F45" s="112"/>
      <c r="G45" s="112"/>
      <c r="H45" s="112"/>
      <c r="I45" s="106"/>
      <c r="J45" s="174">
        <f>ROUND(C522*C523+C525*C526,0)</f>
        <v>103</v>
      </c>
      <c r="K45" s="161">
        <f>ROUND(C528*C529+C531*C532,0)</f>
        <v>74</v>
      </c>
      <c r="L45" s="161"/>
      <c r="M45" s="161"/>
      <c r="N45" s="175"/>
    </row>
    <row r="46" spans="1:15" s="26" customFormat="1" x14ac:dyDescent="0.2">
      <c r="A46" s="62">
        <v>524</v>
      </c>
      <c r="B46" s="96">
        <v>94802</v>
      </c>
      <c r="C46" s="156">
        <f t="shared" si="3"/>
        <v>61.07</v>
      </c>
      <c r="D46" s="98" t="s">
        <v>3</v>
      </c>
      <c r="E46" s="103" t="s">
        <v>194</v>
      </c>
      <c r="F46" s="112"/>
      <c r="G46" s="112"/>
      <c r="H46" s="112"/>
      <c r="I46" s="106"/>
      <c r="J46" s="174">
        <f>C495+C502</f>
        <v>56</v>
      </c>
      <c r="K46" s="161">
        <f>C509+C516</f>
        <v>5.07</v>
      </c>
      <c r="L46" s="161"/>
      <c r="M46" s="161"/>
      <c r="N46" s="175"/>
    </row>
    <row r="47" spans="1:15" s="26" customFormat="1" hidden="1" x14ac:dyDescent="0.2">
      <c r="A47" s="62">
        <v>524</v>
      </c>
      <c r="B47" s="96">
        <v>95000</v>
      </c>
      <c r="C47" s="156">
        <f t="shared" si="3"/>
        <v>8</v>
      </c>
      <c r="D47" s="98" t="s">
        <v>3</v>
      </c>
      <c r="E47" s="103" t="s">
        <v>175</v>
      </c>
      <c r="F47" s="112"/>
      <c r="G47" s="112"/>
      <c r="H47" s="112"/>
      <c r="I47" s="106"/>
      <c r="J47" s="174">
        <f>ROUND(C537,0)</f>
        <v>6</v>
      </c>
      <c r="K47" s="161">
        <f>ROUND(C538,0)</f>
        <v>2</v>
      </c>
      <c r="L47" s="161"/>
      <c r="M47" s="161"/>
      <c r="N47" s="175"/>
    </row>
    <row r="48" spans="1:15" s="26" customFormat="1" x14ac:dyDescent="0.2">
      <c r="A48" s="62"/>
      <c r="B48" s="96"/>
      <c r="C48" s="63"/>
      <c r="D48" s="98"/>
      <c r="E48" s="103"/>
      <c r="F48" s="112"/>
      <c r="G48" s="112"/>
      <c r="H48" s="112"/>
      <c r="I48" s="106"/>
      <c r="J48" s="174"/>
      <c r="K48" s="161"/>
      <c r="L48" s="161"/>
      <c r="M48" s="161"/>
      <c r="N48" s="175"/>
    </row>
    <row r="49" spans="1:15" s="10" customFormat="1" x14ac:dyDescent="0.2">
      <c r="A49" s="5">
        <v>526</v>
      </c>
      <c r="B49" s="93">
        <v>30011</v>
      </c>
      <c r="C49" s="156">
        <f t="shared" ref="C49:C50" si="4">SUM(J49:M49)</f>
        <v>187</v>
      </c>
      <c r="D49" s="97" t="s">
        <v>17</v>
      </c>
      <c r="E49" s="100" t="s">
        <v>185</v>
      </c>
      <c r="F49" s="101"/>
      <c r="G49" s="101"/>
      <c r="H49" s="101"/>
      <c r="I49" s="102"/>
      <c r="J49" s="171"/>
      <c r="K49" s="172"/>
      <c r="L49" s="172"/>
      <c r="M49" s="172">
        <f>C542</f>
        <v>187</v>
      </c>
      <c r="N49" s="216" t="s">
        <v>264</v>
      </c>
      <c r="O49" s="8"/>
    </row>
    <row r="50" spans="1:15" s="33" customFormat="1" x14ac:dyDescent="0.2">
      <c r="A50" s="52">
        <v>526</v>
      </c>
      <c r="B50" s="95">
        <v>90030</v>
      </c>
      <c r="C50" s="156">
        <f t="shared" si="4"/>
        <v>56</v>
      </c>
      <c r="D50" s="97" t="s">
        <v>3</v>
      </c>
      <c r="E50" s="100" t="s">
        <v>102</v>
      </c>
      <c r="F50" s="110"/>
      <c r="G50" s="110"/>
      <c r="H50" s="110"/>
      <c r="I50" s="111"/>
      <c r="J50" s="171"/>
      <c r="K50" s="172"/>
      <c r="L50" s="172"/>
      <c r="M50" s="172">
        <f>C548</f>
        <v>56</v>
      </c>
      <c r="N50" s="173"/>
      <c r="O50" s="26"/>
    </row>
    <row r="51" spans="1:15" s="8" customFormat="1" x14ac:dyDescent="0.2">
      <c r="A51" s="5"/>
      <c r="B51" s="93"/>
      <c r="C51" s="7"/>
      <c r="D51" s="6"/>
      <c r="E51" s="113"/>
      <c r="F51" s="101"/>
      <c r="G51" s="101"/>
      <c r="H51" s="101"/>
      <c r="I51" s="102"/>
      <c r="J51" s="171"/>
      <c r="K51" s="172"/>
      <c r="L51" s="172"/>
      <c r="M51" s="172"/>
      <c r="N51" s="173"/>
    </row>
    <row r="52" spans="1:15" s="8" customFormat="1" x14ac:dyDescent="0.2">
      <c r="A52" s="5">
        <v>601</v>
      </c>
      <c r="B52" s="93">
        <v>21050</v>
      </c>
      <c r="C52" s="156">
        <f>SUM(J52:M52)</f>
        <v>4</v>
      </c>
      <c r="D52" s="97" t="s">
        <v>17</v>
      </c>
      <c r="E52" s="100" t="s">
        <v>245</v>
      </c>
      <c r="F52" s="101"/>
      <c r="G52" s="101"/>
      <c r="H52" s="101"/>
      <c r="I52" s="102"/>
      <c r="J52" s="171">
        <f>C555</f>
        <v>4</v>
      </c>
      <c r="K52" s="172"/>
      <c r="L52" s="172"/>
      <c r="M52" s="172"/>
      <c r="N52" s="173"/>
    </row>
    <row r="53" spans="1:15" s="15" customFormat="1" hidden="1" x14ac:dyDescent="0.2">
      <c r="A53" s="189">
        <v>601</v>
      </c>
      <c r="B53" s="190">
        <v>20000</v>
      </c>
      <c r="C53" s="169">
        <f>SUM(J53:M53)</f>
        <v>0</v>
      </c>
      <c r="D53" s="191" t="s">
        <v>17</v>
      </c>
      <c r="E53" s="192" t="s">
        <v>180</v>
      </c>
      <c r="F53" s="193"/>
      <c r="G53" s="193"/>
      <c r="H53" s="193"/>
      <c r="I53" s="194"/>
      <c r="J53" s="195">
        <f>C564</f>
        <v>0</v>
      </c>
      <c r="K53" s="196"/>
      <c r="L53" s="196"/>
      <c r="M53" s="196"/>
      <c r="N53" s="197"/>
    </row>
    <row r="54" spans="1:15" s="26" customFormat="1" x14ac:dyDescent="0.2">
      <c r="A54" s="154">
        <v>601</v>
      </c>
      <c r="B54" s="155">
        <v>32200</v>
      </c>
      <c r="C54" s="156">
        <f>SUM(J54:M54)</f>
        <v>78</v>
      </c>
      <c r="D54" s="136" t="s">
        <v>20</v>
      </c>
      <c r="E54" s="103" t="s">
        <v>193</v>
      </c>
      <c r="F54" s="112"/>
      <c r="G54" s="112"/>
      <c r="H54" s="112"/>
      <c r="I54" s="106"/>
      <c r="J54" s="161">
        <f>C571</f>
        <v>78</v>
      </c>
      <c r="K54" s="176"/>
      <c r="L54" s="176"/>
      <c r="M54" s="176"/>
      <c r="N54" s="177"/>
    </row>
    <row r="55" spans="1:15" s="26" customFormat="1" x14ac:dyDescent="0.2">
      <c r="A55" s="154"/>
      <c r="B55" s="155"/>
      <c r="C55" s="156"/>
      <c r="D55" s="136"/>
      <c r="E55" s="103"/>
      <c r="F55" s="112"/>
      <c r="G55" s="112"/>
      <c r="H55" s="112"/>
      <c r="I55" s="106"/>
      <c r="J55" s="176"/>
      <c r="K55" s="176"/>
      <c r="L55" s="176"/>
      <c r="M55" s="176"/>
      <c r="N55" s="177"/>
    </row>
    <row r="56" spans="1:15" s="26" customFormat="1" x14ac:dyDescent="0.2">
      <c r="A56" s="154">
        <v>611</v>
      </c>
      <c r="B56" s="155">
        <v>99710</v>
      </c>
      <c r="C56" s="156">
        <f>SUM(J56:M56)</f>
        <v>2</v>
      </c>
      <c r="D56" s="136" t="s">
        <v>176</v>
      </c>
      <c r="E56" s="103" t="s">
        <v>236</v>
      </c>
      <c r="F56" s="112"/>
      <c r="G56" s="112"/>
      <c r="H56" s="112"/>
      <c r="I56" s="106"/>
      <c r="J56" s="161">
        <v>2</v>
      </c>
      <c r="K56" s="176"/>
      <c r="L56" s="176"/>
      <c r="M56" s="176"/>
      <c r="N56" s="177"/>
    </row>
    <row r="57" spans="1:15" s="26" customFormat="1" x14ac:dyDescent="0.2">
      <c r="A57" s="154"/>
      <c r="B57" s="155"/>
      <c r="C57" s="156"/>
      <c r="D57" s="136"/>
      <c r="E57" s="100"/>
      <c r="F57" s="101"/>
      <c r="G57" s="101"/>
      <c r="H57" s="101"/>
      <c r="I57" s="102"/>
      <c r="J57" s="178"/>
      <c r="K57" s="176"/>
      <c r="L57" s="176"/>
      <c r="M57" s="176"/>
      <c r="N57" s="177"/>
    </row>
    <row r="58" spans="1:15" s="15" customFormat="1" hidden="1" x14ac:dyDescent="0.2">
      <c r="A58" s="167">
        <v>625</v>
      </c>
      <c r="B58" s="168">
        <v>33000</v>
      </c>
      <c r="C58" s="169">
        <f>SUM(J58:M58)</f>
        <v>0</v>
      </c>
      <c r="D58" s="170" t="s">
        <v>176</v>
      </c>
      <c r="E58" s="114" t="s">
        <v>240</v>
      </c>
      <c r="F58" s="115"/>
      <c r="G58" s="115"/>
      <c r="H58" s="115"/>
      <c r="I58" s="116"/>
      <c r="J58" s="178"/>
      <c r="K58" s="176"/>
      <c r="L58" s="176"/>
      <c r="M58" s="161"/>
      <c r="N58" s="177"/>
    </row>
    <row r="59" spans="1:15" s="26" customFormat="1" hidden="1" x14ac:dyDescent="0.2">
      <c r="A59" s="154"/>
      <c r="B59" s="155"/>
      <c r="C59" s="156"/>
      <c r="D59" s="136"/>
      <c r="E59" s="100"/>
      <c r="F59" s="110"/>
      <c r="G59" s="110"/>
      <c r="H59" s="110"/>
      <c r="I59" s="111"/>
      <c r="J59" s="171" t="str">
        <f>IF('[1]Stage 3'!O58="","",'[1]Stage 3'!O58)</f>
        <v/>
      </c>
      <c r="K59" s="172" t="str">
        <f>IF('[1]Stage 3'!P58="","",'[1]Stage 3'!P58)</f>
        <v/>
      </c>
      <c r="L59" s="172"/>
      <c r="M59" s="172"/>
      <c r="N59" s="173"/>
    </row>
    <row r="60" spans="1:15" s="8" customFormat="1" x14ac:dyDescent="0.2">
      <c r="A60" s="134">
        <v>894</v>
      </c>
      <c r="B60" s="135">
        <v>10000</v>
      </c>
      <c r="C60" s="156">
        <f>SUM(J60:M60)</f>
        <v>4</v>
      </c>
      <c r="D60" s="136" t="s">
        <v>176</v>
      </c>
      <c r="E60" s="100" t="s">
        <v>177</v>
      </c>
      <c r="F60" s="101"/>
      <c r="G60" s="101"/>
      <c r="H60" s="101"/>
      <c r="I60" s="102"/>
      <c r="J60" s="174">
        <f>C581+C582</f>
        <v>2</v>
      </c>
      <c r="K60" s="161">
        <f>C583+C584</f>
        <v>2</v>
      </c>
      <c r="L60" s="161"/>
      <c r="M60" s="161"/>
      <c r="N60" s="175"/>
    </row>
    <row r="61" spans="1:15" s="8" customFormat="1" ht="13.5" thickBot="1" x14ac:dyDescent="0.25">
      <c r="A61" s="119"/>
      <c r="B61" s="120"/>
      <c r="C61" s="12"/>
      <c r="D61" s="13"/>
      <c r="E61" s="219"/>
      <c r="F61" s="220"/>
      <c r="G61" s="220"/>
      <c r="H61" s="220"/>
      <c r="I61" s="221"/>
      <c r="J61" s="184"/>
      <c r="K61" s="184"/>
      <c r="L61" s="184"/>
      <c r="M61" s="184"/>
      <c r="N61" s="185"/>
    </row>
    <row r="62" spans="1:15" s="8" customFormat="1" x14ac:dyDescent="0.2">
      <c r="A62" s="2"/>
      <c r="B62" s="2"/>
      <c r="C62" s="2"/>
      <c r="D62" s="2"/>
      <c r="E62" s="2"/>
      <c r="F62" s="2"/>
      <c r="G62" s="2"/>
      <c r="H62" s="2"/>
      <c r="I62" s="14"/>
      <c r="J62" s="14"/>
      <c r="K62" s="14"/>
      <c r="L62" s="14"/>
      <c r="M62" s="14"/>
      <c r="N62" s="14"/>
    </row>
    <row r="63" spans="1:15" s="15" customFormat="1" x14ac:dyDescent="0.2">
      <c r="A63" s="121"/>
      <c r="B63" s="121"/>
      <c r="C63" s="66"/>
      <c r="D63" s="22"/>
      <c r="E63" s="127"/>
      <c r="F63" s="22"/>
      <c r="G63" s="22"/>
      <c r="H63" s="22"/>
      <c r="I63" s="22"/>
      <c r="J63" s="2"/>
      <c r="K63" s="2"/>
      <c r="L63" s="2"/>
      <c r="M63" s="2"/>
      <c r="N63" s="2"/>
    </row>
    <row r="64" spans="1:15" s="133" customFormat="1" x14ac:dyDescent="0.2">
      <c r="A64" s="35">
        <f>A16</f>
        <v>203</v>
      </c>
      <c r="B64" s="44">
        <f>B16</f>
        <v>2000</v>
      </c>
      <c r="C64" s="132">
        <f>C79</f>
        <v>147.71910401234638</v>
      </c>
      <c r="D64" s="35" t="str">
        <f t="shared" ref="D64:E64" si="5">D16</f>
        <v>CY</v>
      </c>
      <c r="E64" s="37" t="str">
        <f t="shared" si="5"/>
        <v>EMBANKMENT</v>
      </c>
      <c r="F64" s="35"/>
      <c r="G64" s="35"/>
      <c r="H64" s="35"/>
      <c r="I64" s="35"/>
      <c r="J64" s="35"/>
      <c r="K64" s="35"/>
      <c r="L64" s="35"/>
      <c r="M64" s="35"/>
      <c r="N64" s="35"/>
    </row>
    <row r="65" spans="1:14" s="126" customFormat="1" x14ac:dyDescent="0.2">
      <c r="A65" s="125" t="s">
        <v>36</v>
      </c>
      <c r="B65" s="123"/>
      <c r="C65" s="124">
        <f>C89</f>
        <v>5.5</v>
      </c>
      <c r="D65" s="122" t="s">
        <v>7</v>
      </c>
      <c r="E65" s="125" t="s">
        <v>123</v>
      </c>
      <c r="F65" s="122"/>
      <c r="I65" s="122"/>
      <c r="J65" s="2"/>
      <c r="K65" s="2"/>
      <c r="L65" s="2"/>
      <c r="M65" s="2"/>
      <c r="N65" s="2"/>
    </row>
    <row r="66" spans="1:14" s="26" customFormat="1" x14ac:dyDescent="0.2">
      <c r="A66" s="19"/>
      <c r="B66" s="40"/>
      <c r="C66" s="27">
        <f>C209</f>
        <v>34.166666666666664</v>
      </c>
      <c r="D66" s="22" t="s">
        <v>7</v>
      </c>
      <c r="E66" s="19" t="s">
        <v>238</v>
      </c>
      <c r="F66" s="22"/>
      <c r="G66" s="22"/>
      <c r="H66" s="241" t="s">
        <v>228</v>
      </c>
      <c r="I66" s="241"/>
      <c r="J66" s="241"/>
      <c r="K66" s="241"/>
      <c r="L66" s="241"/>
      <c r="M66" s="241"/>
      <c r="N66" s="241"/>
    </row>
    <row r="67" spans="1:14" s="26" customFormat="1" x14ac:dyDescent="0.2">
      <c r="B67" s="40"/>
      <c r="C67" s="27">
        <f>C65</f>
        <v>5.5</v>
      </c>
      <c r="D67" s="22" t="s">
        <v>7</v>
      </c>
      <c r="E67" s="19" t="s">
        <v>239</v>
      </c>
      <c r="F67" s="22"/>
      <c r="G67" s="22"/>
      <c r="H67" s="241"/>
      <c r="I67" s="241"/>
      <c r="J67" s="241"/>
      <c r="K67" s="241"/>
      <c r="L67" s="241"/>
      <c r="M67" s="241"/>
      <c r="N67" s="241"/>
    </row>
    <row r="68" spans="1:14" s="26" customFormat="1" x14ac:dyDescent="0.2">
      <c r="A68" s="22"/>
      <c r="B68" s="40"/>
      <c r="C68" s="27">
        <f>0.5*C65*C66*C67</f>
        <v>516.77083333333326</v>
      </c>
      <c r="D68" s="22" t="s">
        <v>125</v>
      </c>
      <c r="E68" s="19" t="s">
        <v>124</v>
      </c>
      <c r="F68" s="22"/>
      <c r="G68" s="22"/>
      <c r="H68" s="22"/>
      <c r="I68" s="22"/>
      <c r="J68" s="2"/>
      <c r="K68" s="2"/>
      <c r="L68" s="2"/>
      <c r="M68" s="2"/>
      <c r="N68" s="2"/>
    </row>
    <row r="69" spans="1:14" s="26" customFormat="1" x14ac:dyDescent="0.2">
      <c r="A69" s="22"/>
      <c r="B69" s="40"/>
      <c r="C69" s="27"/>
      <c r="D69" s="22"/>
      <c r="E69" s="22"/>
      <c r="F69" s="22"/>
      <c r="G69" s="22"/>
      <c r="H69" s="22"/>
      <c r="I69" s="22"/>
      <c r="J69" s="2"/>
      <c r="K69" s="2"/>
      <c r="L69" s="2"/>
      <c r="M69" s="2"/>
      <c r="N69" s="2"/>
    </row>
    <row r="70" spans="1:14" s="26" customFormat="1" x14ac:dyDescent="0.2">
      <c r="A70" s="19" t="s">
        <v>37</v>
      </c>
      <c r="B70" s="40"/>
      <c r="C70" s="27">
        <f>C94-C95</f>
        <v>5</v>
      </c>
      <c r="D70" s="22" t="s">
        <v>7</v>
      </c>
      <c r="E70" s="19" t="s">
        <v>123</v>
      </c>
      <c r="F70" s="22"/>
      <c r="G70" s="22"/>
      <c r="H70" s="22"/>
      <c r="I70" s="22"/>
      <c r="J70" s="2"/>
      <c r="K70" s="2"/>
      <c r="L70" s="2"/>
      <c r="M70" s="2"/>
      <c r="N70" s="2"/>
    </row>
    <row r="71" spans="1:14" s="26" customFormat="1" x14ac:dyDescent="0.2">
      <c r="A71" s="19"/>
      <c r="B71" s="40"/>
      <c r="C71" s="27">
        <f>C247</f>
        <v>31.577000000000002</v>
      </c>
      <c r="D71" s="22" t="s">
        <v>7</v>
      </c>
      <c r="E71" s="19" t="s">
        <v>238</v>
      </c>
      <c r="F71" s="22"/>
      <c r="G71" s="22"/>
      <c r="H71" s="241" t="s">
        <v>228</v>
      </c>
      <c r="I71" s="241"/>
      <c r="J71" s="241"/>
      <c r="K71" s="241"/>
      <c r="L71" s="241"/>
      <c r="M71" s="241"/>
      <c r="N71" s="241"/>
    </row>
    <row r="72" spans="1:14" s="26" customFormat="1" x14ac:dyDescent="0.2">
      <c r="B72" s="40"/>
      <c r="C72" s="27">
        <f>C70</f>
        <v>5</v>
      </c>
      <c r="D72" s="22" t="s">
        <v>7</v>
      </c>
      <c r="E72" s="19" t="s">
        <v>239</v>
      </c>
      <c r="F72" s="22"/>
      <c r="G72" s="22"/>
      <c r="H72" s="241"/>
      <c r="I72" s="241"/>
      <c r="J72" s="241"/>
      <c r="K72" s="241"/>
      <c r="L72" s="241"/>
      <c r="M72" s="241"/>
      <c r="N72" s="241"/>
    </row>
    <row r="73" spans="1:14" s="26" customFormat="1" x14ac:dyDescent="0.2">
      <c r="A73" s="22"/>
      <c r="B73" s="40"/>
      <c r="C73" s="27">
        <f>0.5*C70*C71*C72</f>
        <v>394.71250000000003</v>
      </c>
      <c r="D73" s="22" t="s">
        <v>11</v>
      </c>
      <c r="E73" s="19" t="s">
        <v>124</v>
      </c>
      <c r="F73" s="22"/>
      <c r="G73" s="22"/>
      <c r="H73" s="22"/>
      <c r="I73" s="22"/>
      <c r="J73" s="2"/>
      <c r="K73" s="2"/>
      <c r="L73" s="2"/>
      <c r="M73" s="2"/>
      <c r="N73" s="2"/>
    </row>
    <row r="74" spans="1:14" s="26" customFormat="1" x14ac:dyDescent="0.2">
      <c r="A74" s="22"/>
      <c r="B74" s="40"/>
      <c r="C74" s="27"/>
      <c r="D74" s="22"/>
      <c r="E74" s="19"/>
      <c r="F74" s="22"/>
      <c r="G74" s="22"/>
      <c r="H74" s="22"/>
      <c r="I74" s="22"/>
      <c r="J74" s="22"/>
      <c r="K74" s="22"/>
      <c r="L74" s="22"/>
      <c r="M74" s="22"/>
      <c r="N74" s="22"/>
    </row>
    <row r="75" spans="1:14" s="26" customFormat="1" x14ac:dyDescent="0.2">
      <c r="A75" s="19" t="s">
        <v>112</v>
      </c>
      <c r="B75" s="40"/>
      <c r="C75" s="27">
        <f>C104</f>
        <v>852.77714166667863</v>
      </c>
      <c r="D75" s="22" t="s">
        <v>11</v>
      </c>
      <c r="E75" s="19" t="s">
        <v>237</v>
      </c>
      <c r="F75" s="22"/>
      <c r="G75" s="22"/>
      <c r="H75" s="22"/>
      <c r="I75" s="22"/>
      <c r="J75" s="22"/>
      <c r="K75" s="22"/>
      <c r="L75" s="22"/>
      <c r="M75" s="22"/>
      <c r="N75" s="22"/>
    </row>
    <row r="76" spans="1:14" s="26" customFormat="1" x14ac:dyDescent="0.2">
      <c r="A76" s="19" t="s">
        <v>113</v>
      </c>
      <c r="B76" s="40"/>
      <c r="C76" s="27">
        <f>C111</f>
        <v>2224.15533333334</v>
      </c>
      <c r="D76" s="22" t="s">
        <v>11</v>
      </c>
      <c r="E76" s="19" t="s">
        <v>237</v>
      </c>
      <c r="F76" s="22"/>
      <c r="G76" s="22"/>
      <c r="H76" s="22"/>
      <c r="I76" s="22"/>
      <c r="J76" s="22"/>
      <c r="K76" s="22"/>
      <c r="L76" s="22"/>
      <c r="M76" s="22"/>
      <c r="N76" s="22"/>
    </row>
    <row r="77" spans="1:14" s="26" customFormat="1" x14ac:dyDescent="0.2">
      <c r="A77" s="22"/>
      <c r="B77" s="40"/>
      <c r="C77" s="27"/>
      <c r="D77" s="22"/>
      <c r="E77" s="19"/>
      <c r="F77" s="22"/>
      <c r="G77" s="22"/>
      <c r="H77" s="22"/>
      <c r="I77" s="22"/>
      <c r="J77" s="2"/>
      <c r="K77" s="2"/>
      <c r="L77" s="2"/>
      <c r="M77" s="2"/>
      <c r="N77" s="2"/>
    </row>
    <row r="78" spans="1:14" s="26" customFormat="1" x14ac:dyDescent="0.2">
      <c r="A78" s="22"/>
      <c r="B78" s="40"/>
      <c r="C78" s="27">
        <f>C68+C73+C75+C76</f>
        <v>3988.4158083333518</v>
      </c>
      <c r="D78" s="22" t="s">
        <v>11</v>
      </c>
      <c r="E78" s="19" t="s">
        <v>126</v>
      </c>
      <c r="F78" s="22"/>
      <c r="G78" s="22"/>
      <c r="H78" s="22"/>
      <c r="I78" s="22"/>
      <c r="J78" s="22"/>
      <c r="K78" s="22"/>
      <c r="L78" s="22"/>
      <c r="M78" s="22"/>
      <c r="N78" s="22"/>
    </row>
    <row r="79" spans="1:14" s="24" customFormat="1" x14ac:dyDescent="0.2">
      <c r="A79" s="23"/>
      <c r="B79" s="42"/>
      <c r="C79" s="209">
        <f>C78/27</f>
        <v>147.71910401234638</v>
      </c>
      <c r="D79" s="23" t="s">
        <v>10</v>
      </c>
      <c r="E79" s="25"/>
      <c r="F79" s="23"/>
      <c r="G79" s="23"/>
      <c r="H79" s="23"/>
      <c r="I79" s="23"/>
      <c r="J79" s="23"/>
      <c r="K79" s="23"/>
      <c r="L79" s="23"/>
      <c r="M79" s="23"/>
      <c r="N79" s="23"/>
    </row>
    <row r="80" spans="1:14" s="24" customFormat="1" x14ac:dyDescent="0.2">
      <c r="A80" s="23"/>
      <c r="B80" s="42"/>
      <c r="C80" s="28"/>
      <c r="D80" s="23"/>
      <c r="E80" s="25"/>
      <c r="F80" s="23"/>
      <c r="G80" s="23"/>
      <c r="H80" s="23"/>
      <c r="I80" s="23"/>
      <c r="J80" s="2"/>
      <c r="K80" s="2"/>
      <c r="L80" s="2"/>
      <c r="M80" s="2"/>
      <c r="N80" s="2"/>
    </row>
    <row r="81" spans="1:14" s="38" customFormat="1" x14ac:dyDescent="0.2">
      <c r="A81" s="35">
        <f>A18</f>
        <v>503</v>
      </c>
      <c r="B81" s="44">
        <f>B18</f>
        <v>11100</v>
      </c>
      <c r="C81" s="132">
        <f>ROUNDUP(C82,1)</f>
        <v>30000</v>
      </c>
      <c r="D81" s="39" t="s">
        <v>18</v>
      </c>
      <c r="E81" s="37" t="str">
        <f>E18</f>
        <v>COFFERDAMS AND EXCAVATION BRACING</v>
      </c>
      <c r="F81" s="35"/>
      <c r="G81" s="35"/>
      <c r="H81" s="35"/>
      <c r="I81" s="35"/>
      <c r="J81" s="35"/>
      <c r="K81" s="35"/>
      <c r="L81" s="35"/>
      <c r="M81" s="35"/>
      <c r="N81" s="35"/>
    </row>
    <row r="82" spans="1:14" s="26" customFormat="1" x14ac:dyDescent="0.2">
      <c r="A82" s="22"/>
      <c r="B82" s="40"/>
      <c r="C82" s="64">
        <v>30000</v>
      </c>
      <c r="D82" s="22" t="s">
        <v>22</v>
      </c>
      <c r="E82" s="19" t="s">
        <v>51</v>
      </c>
      <c r="F82" s="22"/>
      <c r="G82" s="22"/>
      <c r="H82" s="22"/>
      <c r="I82" s="22"/>
      <c r="J82" s="22"/>
      <c r="K82" s="22"/>
      <c r="L82" s="22"/>
      <c r="M82" s="22"/>
      <c r="N82" s="22"/>
    </row>
    <row r="83" spans="1:14" s="38" customFormat="1" x14ac:dyDescent="0.2">
      <c r="A83" s="39"/>
      <c r="B83" s="54"/>
      <c r="C83" s="43"/>
      <c r="D83" s="39"/>
      <c r="E83" s="55"/>
      <c r="F83" s="39"/>
      <c r="G83" s="39"/>
      <c r="H83" s="39"/>
      <c r="I83" s="39"/>
      <c r="J83" s="39"/>
      <c r="K83" s="39"/>
      <c r="L83" s="39"/>
      <c r="M83" s="39"/>
      <c r="N83" s="39"/>
    </row>
    <row r="84" spans="1:14" s="38" customFormat="1" x14ac:dyDescent="0.2">
      <c r="A84" s="35">
        <f>A19</f>
        <v>503</v>
      </c>
      <c r="B84" s="44">
        <f>B19</f>
        <v>21300</v>
      </c>
      <c r="C84" s="132">
        <f>ROUNDUP(C116,-3)</f>
        <v>9000</v>
      </c>
      <c r="D84" s="39" t="s">
        <v>18</v>
      </c>
      <c r="E84" s="37" t="str">
        <f>E19</f>
        <v>UNCLASSIFIED EXCAVATION</v>
      </c>
      <c r="F84" s="35"/>
      <c r="G84" s="35"/>
      <c r="H84" s="39"/>
      <c r="I84" s="39"/>
      <c r="J84" s="39"/>
      <c r="K84" s="39"/>
      <c r="L84" s="39"/>
      <c r="M84" s="39"/>
      <c r="N84" s="39"/>
    </row>
    <row r="85" spans="1:14" s="26" customFormat="1" x14ac:dyDescent="0.2">
      <c r="A85" s="19" t="s">
        <v>36</v>
      </c>
      <c r="B85" s="40"/>
      <c r="C85" s="51">
        <f>34+10.625/12+19+4.625-4+20+2.5/12-4</f>
        <v>70.718749999999986</v>
      </c>
      <c r="D85" s="22" t="s">
        <v>7</v>
      </c>
      <c r="E85" s="19" t="s">
        <v>231</v>
      </c>
      <c r="F85" s="22"/>
      <c r="G85" s="22"/>
      <c r="H85" s="126"/>
      <c r="I85" s="122"/>
      <c r="J85" s="2"/>
      <c r="K85" s="2"/>
      <c r="L85" s="2"/>
      <c r="M85" s="2"/>
      <c r="N85" s="2"/>
    </row>
    <row r="86" spans="1:14" s="26" customFormat="1" x14ac:dyDescent="0.2">
      <c r="A86" s="19"/>
      <c r="B86" s="40"/>
      <c r="C86" s="27">
        <f>C89</f>
        <v>5.5</v>
      </c>
      <c r="D86" s="22" t="s">
        <v>7</v>
      </c>
      <c r="E86" s="19" t="s">
        <v>232</v>
      </c>
      <c r="F86" s="22"/>
      <c r="G86" s="22"/>
      <c r="H86" s="241"/>
      <c r="I86" s="241"/>
      <c r="J86" s="241"/>
      <c r="K86" s="241"/>
      <c r="L86" s="241"/>
      <c r="M86" s="241"/>
      <c r="N86" s="241"/>
    </row>
    <row r="87" spans="1:14" s="26" customFormat="1" x14ac:dyDescent="0.2">
      <c r="A87" s="19"/>
      <c r="B87" s="40"/>
      <c r="C87" s="51">
        <v>618</v>
      </c>
      <c r="D87" s="22" t="s">
        <v>7</v>
      </c>
      <c r="E87" s="19" t="s">
        <v>234</v>
      </c>
      <c r="F87" s="22"/>
      <c r="G87" s="22"/>
      <c r="H87" s="241"/>
      <c r="I87" s="241"/>
      <c r="J87" s="241"/>
      <c r="K87" s="241"/>
      <c r="L87" s="241"/>
      <c r="M87" s="241"/>
      <c r="N87" s="241"/>
    </row>
    <row r="88" spans="1:14" s="26" customFormat="1" ht="15.75" thickBot="1" x14ac:dyDescent="0.25">
      <c r="A88" s="19"/>
      <c r="B88" s="40"/>
      <c r="C88" s="163">
        <f>C490</f>
        <v>612.5</v>
      </c>
      <c r="D88" s="22" t="s">
        <v>7</v>
      </c>
      <c r="E88" s="19" t="s">
        <v>235</v>
      </c>
      <c r="F88" s="22"/>
      <c r="G88" s="22"/>
      <c r="H88" s="241"/>
      <c r="I88" s="241"/>
      <c r="J88" s="241"/>
      <c r="K88" s="241"/>
      <c r="L88" s="241"/>
      <c r="M88" s="241"/>
      <c r="N88" s="241"/>
    </row>
    <row r="89" spans="1:14" s="26" customFormat="1" ht="13.5" thickTop="1" x14ac:dyDescent="0.2">
      <c r="A89" s="22"/>
      <c r="B89" s="40"/>
      <c r="C89" s="27">
        <f>C87-C88</f>
        <v>5.5</v>
      </c>
      <c r="D89" s="22" t="s">
        <v>7</v>
      </c>
      <c r="E89" s="19" t="s">
        <v>229</v>
      </c>
      <c r="F89" s="22"/>
      <c r="G89" s="22"/>
      <c r="H89" s="241"/>
      <c r="I89" s="241"/>
      <c r="J89" s="241"/>
      <c r="K89" s="241"/>
      <c r="L89" s="241"/>
      <c r="M89" s="241"/>
      <c r="N89" s="241"/>
    </row>
    <row r="90" spans="1:14" s="26" customFormat="1" x14ac:dyDescent="0.2">
      <c r="A90" s="22"/>
      <c r="B90" s="40"/>
      <c r="C90" s="27">
        <f>0.5*C85*C86*C89</f>
        <v>1069.6210937499998</v>
      </c>
      <c r="D90" s="22" t="s">
        <v>11</v>
      </c>
      <c r="E90" s="19" t="s">
        <v>137</v>
      </c>
      <c r="F90" s="22"/>
      <c r="G90" s="22"/>
      <c r="H90" s="22"/>
      <c r="I90" s="22"/>
      <c r="J90" s="2"/>
      <c r="K90" s="2"/>
      <c r="L90" s="2"/>
      <c r="M90" s="2"/>
      <c r="N90" s="2"/>
    </row>
    <row r="91" spans="1:14" s="26" customFormat="1" x14ac:dyDescent="0.2">
      <c r="A91" s="22"/>
      <c r="B91" s="40"/>
      <c r="C91" s="27"/>
      <c r="D91" s="22"/>
      <c r="E91" s="19"/>
      <c r="F91" s="22"/>
      <c r="G91" s="22"/>
      <c r="H91" s="22"/>
      <c r="I91" s="22"/>
      <c r="J91" s="2"/>
      <c r="K91" s="2"/>
      <c r="L91" s="2"/>
      <c r="M91" s="2"/>
      <c r="N91" s="2"/>
    </row>
    <row r="92" spans="1:14" s="26" customFormat="1" x14ac:dyDescent="0.2">
      <c r="A92" s="19" t="s">
        <v>37</v>
      </c>
      <c r="B92" s="40"/>
      <c r="C92" s="51">
        <v>0</v>
      </c>
      <c r="D92" s="22" t="s">
        <v>7</v>
      </c>
      <c r="E92" s="19" t="s">
        <v>138</v>
      </c>
      <c r="F92" s="22"/>
      <c r="G92" s="22"/>
      <c r="H92" s="22"/>
      <c r="I92" s="22"/>
      <c r="J92" s="2"/>
      <c r="K92" s="2"/>
      <c r="L92" s="2"/>
      <c r="M92" s="2"/>
      <c r="N92" s="2"/>
    </row>
    <row r="93" spans="1:14" s="26" customFormat="1" x14ac:dyDescent="0.2">
      <c r="A93" s="19"/>
      <c r="B93" s="40"/>
      <c r="C93" s="27">
        <f>C96</f>
        <v>5</v>
      </c>
      <c r="D93" s="22" t="s">
        <v>7</v>
      </c>
      <c r="E93" s="19" t="s">
        <v>232</v>
      </c>
      <c r="F93" s="22"/>
      <c r="G93" s="22"/>
      <c r="H93" s="241" t="s">
        <v>230</v>
      </c>
      <c r="I93" s="241"/>
      <c r="J93" s="241"/>
      <c r="K93" s="241"/>
      <c r="L93" s="241"/>
      <c r="M93" s="241"/>
      <c r="N93" s="241"/>
    </row>
    <row r="94" spans="1:14" s="26" customFormat="1" x14ac:dyDescent="0.2">
      <c r="A94" s="19"/>
      <c r="B94" s="40"/>
      <c r="C94" s="51">
        <v>619</v>
      </c>
      <c r="D94" s="22" t="s">
        <v>7</v>
      </c>
      <c r="E94" s="19" t="s">
        <v>234</v>
      </c>
      <c r="F94" s="22"/>
      <c r="G94" s="22"/>
      <c r="H94" s="241"/>
      <c r="I94" s="241"/>
      <c r="J94" s="241"/>
      <c r="K94" s="241"/>
      <c r="L94" s="241"/>
      <c r="M94" s="241"/>
      <c r="N94" s="241"/>
    </row>
    <row r="95" spans="1:14" s="26" customFormat="1" ht="15.75" thickBot="1" x14ac:dyDescent="0.25">
      <c r="A95" s="19"/>
      <c r="B95" s="40"/>
      <c r="C95" s="163">
        <f>C497</f>
        <v>614</v>
      </c>
      <c r="D95" s="22" t="s">
        <v>7</v>
      </c>
      <c r="E95" s="19" t="s">
        <v>235</v>
      </c>
      <c r="F95" s="22"/>
      <c r="G95" s="22"/>
      <c r="H95" s="241"/>
      <c r="I95" s="241"/>
      <c r="J95" s="241"/>
      <c r="K95" s="241"/>
      <c r="L95" s="241"/>
      <c r="M95" s="241"/>
      <c r="N95" s="241"/>
    </row>
    <row r="96" spans="1:14" s="26" customFormat="1" ht="13.5" thickTop="1" x14ac:dyDescent="0.2">
      <c r="A96" s="22"/>
      <c r="B96" s="40"/>
      <c r="C96" s="27">
        <f>C94-C95</f>
        <v>5</v>
      </c>
      <c r="D96" s="22" t="s">
        <v>7</v>
      </c>
      <c r="E96" s="19" t="s">
        <v>229</v>
      </c>
      <c r="F96" s="22"/>
      <c r="G96" s="22"/>
      <c r="H96" s="241"/>
      <c r="I96" s="241"/>
      <c r="J96" s="241"/>
      <c r="K96" s="241"/>
      <c r="L96" s="241"/>
      <c r="M96" s="241"/>
      <c r="N96" s="241"/>
    </row>
    <row r="97" spans="1:14" s="26" customFormat="1" x14ac:dyDescent="0.2">
      <c r="A97" s="22"/>
      <c r="B97" s="40"/>
      <c r="C97" s="27">
        <f>0.5*C92*C93*C96</f>
        <v>0</v>
      </c>
      <c r="D97" s="22" t="s">
        <v>11</v>
      </c>
      <c r="E97" s="19" t="s">
        <v>137</v>
      </c>
      <c r="F97" s="22"/>
      <c r="G97" s="22"/>
      <c r="H97" s="22"/>
      <c r="I97" s="22"/>
      <c r="J97" s="2"/>
      <c r="K97" s="2"/>
      <c r="L97" s="2"/>
      <c r="M97" s="2"/>
      <c r="N97" s="2"/>
    </row>
    <row r="98" spans="1:14" s="26" customFormat="1" x14ac:dyDescent="0.2">
      <c r="A98" s="22"/>
      <c r="B98" s="40"/>
      <c r="C98" s="27"/>
      <c r="D98" s="22"/>
      <c r="E98" s="19"/>
      <c r="F98" s="22"/>
      <c r="G98" s="22"/>
      <c r="H98" s="22"/>
      <c r="I98" s="22"/>
      <c r="J98" s="2"/>
      <c r="K98" s="2"/>
      <c r="L98" s="2"/>
      <c r="M98" s="2"/>
      <c r="N98" s="2"/>
    </row>
    <row r="99" spans="1:14" s="26" customFormat="1" x14ac:dyDescent="0.2">
      <c r="A99" s="19" t="s">
        <v>135</v>
      </c>
      <c r="B99" s="40"/>
      <c r="C99" s="51">
        <f>31+5/12</f>
        <v>31.416666666666668</v>
      </c>
      <c r="D99" s="22" t="s">
        <v>7</v>
      </c>
      <c r="E99" s="19" t="s">
        <v>139</v>
      </c>
      <c r="F99" s="22"/>
      <c r="G99" s="22"/>
      <c r="H99" s="22"/>
      <c r="I99" s="22"/>
      <c r="J99" s="2"/>
      <c r="K99" s="2"/>
      <c r="L99" s="2"/>
      <c r="M99" s="2"/>
      <c r="N99" s="2"/>
    </row>
    <row r="100" spans="1:14" s="26" customFormat="1" x14ac:dyDescent="0.2">
      <c r="A100" s="19"/>
      <c r="B100" s="40"/>
      <c r="C100" s="27">
        <f>C103</f>
        <v>5.2100000000000364</v>
      </c>
      <c r="D100" s="22" t="s">
        <v>7</v>
      </c>
      <c r="E100" s="19" t="s">
        <v>232</v>
      </c>
      <c r="F100" s="22"/>
      <c r="G100" s="22"/>
      <c r="H100" s="241"/>
      <c r="I100" s="241"/>
      <c r="J100" s="241"/>
      <c r="K100" s="241"/>
      <c r="L100" s="241"/>
      <c r="M100" s="241"/>
      <c r="N100" s="241"/>
    </row>
    <row r="101" spans="1:14" s="26" customFormat="1" x14ac:dyDescent="0.2">
      <c r="A101" s="19"/>
      <c r="B101" s="40"/>
      <c r="C101" s="51">
        <v>616</v>
      </c>
      <c r="D101" s="22" t="s">
        <v>7</v>
      </c>
      <c r="E101" s="19" t="s">
        <v>234</v>
      </c>
      <c r="F101" s="22"/>
      <c r="G101" s="22"/>
      <c r="H101" s="241"/>
      <c r="I101" s="241"/>
      <c r="J101" s="241"/>
      <c r="K101" s="241"/>
      <c r="L101" s="241"/>
      <c r="M101" s="241"/>
      <c r="N101" s="241"/>
    </row>
    <row r="102" spans="1:14" s="26" customFormat="1" ht="15.75" thickBot="1" x14ac:dyDescent="0.25">
      <c r="A102" s="19"/>
      <c r="B102" s="40"/>
      <c r="C102" s="163">
        <f>C504</f>
        <v>610.79</v>
      </c>
      <c r="D102" s="22" t="s">
        <v>7</v>
      </c>
      <c r="E102" s="19" t="s">
        <v>235</v>
      </c>
      <c r="F102" s="22"/>
      <c r="G102" s="22"/>
      <c r="H102" s="241"/>
      <c r="I102" s="241"/>
      <c r="J102" s="241"/>
      <c r="K102" s="241"/>
      <c r="L102" s="241"/>
      <c r="M102" s="241"/>
      <c r="N102" s="241"/>
    </row>
    <row r="103" spans="1:14" s="26" customFormat="1" ht="13.5" thickTop="1" x14ac:dyDescent="0.2">
      <c r="A103" s="22"/>
      <c r="B103" s="40"/>
      <c r="C103" s="27">
        <f>C101-C102</f>
        <v>5.2100000000000364</v>
      </c>
      <c r="D103" s="22" t="s">
        <v>7</v>
      </c>
      <c r="E103" s="19" t="s">
        <v>229</v>
      </c>
      <c r="F103" s="22"/>
      <c r="G103" s="22"/>
      <c r="H103" s="241"/>
      <c r="I103" s="241"/>
      <c r="J103" s="241"/>
      <c r="K103" s="241"/>
      <c r="L103" s="241"/>
      <c r="M103" s="241"/>
      <c r="N103" s="241"/>
    </row>
    <row r="104" spans="1:14" s="26" customFormat="1" x14ac:dyDescent="0.2">
      <c r="A104" s="22"/>
      <c r="B104" s="40"/>
      <c r="C104" s="27">
        <f>0.5*C99*C100*C103*2</f>
        <v>852.77714166667863</v>
      </c>
      <c r="D104" s="22" t="s">
        <v>11</v>
      </c>
      <c r="E104" s="19" t="s">
        <v>137</v>
      </c>
      <c r="F104" s="22"/>
      <c r="G104" s="22"/>
      <c r="H104" s="22"/>
      <c r="I104" s="22"/>
      <c r="J104" s="2"/>
      <c r="K104" s="2"/>
      <c r="L104" s="2"/>
      <c r="M104" s="2"/>
      <c r="N104" s="2"/>
    </row>
    <row r="105" spans="1:14" s="26" customFormat="1" x14ac:dyDescent="0.2">
      <c r="A105" s="22"/>
      <c r="B105" s="40"/>
      <c r="C105" s="27"/>
      <c r="D105" s="22"/>
      <c r="E105" s="19"/>
      <c r="F105" s="22"/>
      <c r="G105" s="22"/>
      <c r="H105" s="22"/>
      <c r="I105" s="22"/>
      <c r="J105" s="2"/>
      <c r="K105" s="2"/>
      <c r="L105" s="2"/>
      <c r="M105" s="2"/>
      <c r="N105" s="2"/>
    </row>
    <row r="106" spans="1:14" s="26" customFormat="1" x14ac:dyDescent="0.2">
      <c r="A106" s="19" t="s">
        <v>136</v>
      </c>
      <c r="B106" s="40"/>
      <c r="C106" s="51">
        <f>28+4/12</f>
        <v>28.333333333333332</v>
      </c>
      <c r="D106" s="22" t="s">
        <v>7</v>
      </c>
      <c r="E106" s="19" t="s">
        <v>140</v>
      </c>
      <c r="F106" s="22"/>
      <c r="G106" s="22"/>
      <c r="H106" s="22"/>
      <c r="I106" s="22"/>
      <c r="J106" s="2"/>
      <c r="K106" s="2"/>
      <c r="L106" s="2"/>
      <c r="M106" s="2"/>
      <c r="N106" s="2"/>
    </row>
    <row r="107" spans="1:14" s="26" customFormat="1" x14ac:dyDescent="0.2">
      <c r="A107" s="19"/>
      <c r="B107" s="40"/>
      <c r="C107" s="27">
        <f>C110</f>
        <v>8.8600000000000136</v>
      </c>
      <c r="D107" s="22" t="s">
        <v>7</v>
      </c>
      <c r="E107" s="19" t="s">
        <v>232</v>
      </c>
      <c r="F107" s="22"/>
      <c r="G107" s="22"/>
      <c r="H107" s="241" t="s">
        <v>233</v>
      </c>
      <c r="I107" s="241"/>
      <c r="J107" s="241"/>
      <c r="K107" s="241"/>
      <c r="L107" s="241"/>
      <c r="M107" s="241"/>
      <c r="N107" s="241"/>
    </row>
    <row r="108" spans="1:14" s="26" customFormat="1" x14ac:dyDescent="0.2">
      <c r="A108" s="19"/>
      <c r="B108" s="40"/>
      <c r="C108" s="51">
        <v>614</v>
      </c>
      <c r="D108" s="22" t="s">
        <v>7</v>
      </c>
      <c r="E108" s="19" t="s">
        <v>234</v>
      </c>
      <c r="F108" s="22"/>
      <c r="G108" s="22"/>
      <c r="H108" s="241"/>
      <c r="I108" s="241"/>
      <c r="J108" s="241"/>
      <c r="K108" s="241"/>
      <c r="L108" s="241"/>
      <c r="M108" s="241"/>
      <c r="N108" s="241"/>
    </row>
    <row r="109" spans="1:14" s="26" customFormat="1" ht="15.75" thickBot="1" x14ac:dyDescent="0.25">
      <c r="A109" s="19"/>
      <c r="B109" s="40"/>
      <c r="C109" s="163">
        <f>C511</f>
        <v>605.14</v>
      </c>
      <c r="D109" s="22" t="s">
        <v>7</v>
      </c>
      <c r="E109" s="19" t="s">
        <v>235</v>
      </c>
      <c r="F109" s="22"/>
      <c r="G109" s="22"/>
      <c r="H109" s="241"/>
      <c r="I109" s="241"/>
      <c r="J109" s="241"/>
      <c r="K109" s="241"/>
      <c r="L109" s="241"/>
      <c r="M109" s="241"/>
      <c r="N109" s="241"/>
    </row>
    <row r="110" spans="1:14" s="26" customFormat="1" ht="13.5" thickTop="1" x14ac:dyDescent="0.2">
      <c r="A110" s="22"/>
      <c r="B110" s="40"/>
      <c r="C110" s="27">
        <f>C108-C109</f>
        <v>8.8600000000000136</v>
      </c>
      <c r="D110" s="22" t="s">
        <v>7</v>
      </c>
      <c r="E110" s="19" t="s">
        <v>229</v>
      </c>
      <c r="F110" s="22"/>
      <c r="G110" s="22"/>
      <c r="H110" s="241"/>
      <c r="I110" s="241"/>
      <c r="J110" s="241"/>
      <c r="K110" s="241"/>
      <c r="L110" s="241"/>
      <c r="M110" s="241"/>
      <c r="N110" s="241"/>
    </row>
    <row r="111" spans="1:14" s="26" customFormat="1" x14ac:dyDescent="0.2">
      <c r="A111" s="22"/>
      <c r="B111" s="40"/>
      <c r="C111" s="27">
        <f>0.5*C106*C107*C110*2</f>
        <v>2224.15533333334</v>
      </c>
      <c r="D111" s="22" t="s">
        <v>11</v>
      </c>
      <c r="E111" s="19" t="s">
        <v>137</v>
      </c>
      <c r="F111" s="22"/>
      <c r="G111" s="22"/>
      <c r="H111" s="22"/>
      <c r="I111" s="22"/>
      <c r="J111" s="2"/>
      <c r="K111" s="2"/>
      <c r="L111" s="2"/>
      <c r="M111" s="2"/>
      <c r="N111" s="2"/>
    </row>
    <row r="112" spans="1:14" s="26" customFormat="1" x14ac:dyDescent="0.2">
      <c r="A112" s="22"/>
      <c r="B112" s="40"/>
      <c r="C112" s="27"/>
      <c r="D112" s="22"/>
      <c r="E112" s="19"/>
      <c r="F112" s="22"/>
      <c r="G112" s="22"/>
      <c r="H112" s="22"/>
      <c r="I112" s="22"/>
      <c r="J112" s="2"/>
      <c r="K112" s="2"/>
      <c r="L112" s="2"/>
      <c r="M112" s="2"/>
      <c r="N112" s="2"/>
    </row>
    <row r="113" spans="1:14" s="26" customFormat="1" x14ac:dyDescent="0.2">
      <c r="A113" s="19"/>
      <c r="B113" s="40"/>
      <c r="C113" s="41">
        <f>(C90+C97+C104+C111)/27</f>
        <v>153.57605810185251</v>
      </c>
      <c r="D113" s="22" t="s">
        <v>10</v>
      </c>
      <c r="E113" s="19" t="s">
        <v>141</v>
      </c>
      <c r="F113" s="22"/>
      <c r="G113" s="22"/>
      <c r="H113" s="22"/>
      <c r="I113" s="22"/>
      <c r="J113" s="2"/>
      <c r="K113" s="2"/>
      <c r="L113" s="2"/>
      <c r="M113" s="2"/>
      <c r="N113" s="2"/>
    </row>
    <row r="114" spans="1:14" s="26" customFormat="1" x14ac:dyDescent="0.2">
      <c r="A114" s="19"/>
      <c r="B114" s="40"/>
      <c r="C114" s="27"/>
      <c r="D114" s="22"/>
      <c r="E114" s="19"/>
      <c r="F114" s="22"/>
      <c r="G114" s="22"/>
      <c r="H114" s="22"/>
      <c r="I114" s="22"/>
      <c r="J114" s="2"/>
      <c r="K114" s="2"/>
      <c r="L114" s="2"/>
      <c r="M114" s="2"/>
      <c r="N114" s="2"/>
    </row>
    <row r="115" spans="1:14" s="26" customFormat="1" x14ac:dyDescent="0.2">
      <c r="A115" s="22"/>
      <c r="B115" s="40"/>
      <c r="C115" s="64">
        <v>55</v>
      </c>
      <c r="D115" s="22" t="s">
        <v>33</v>
      </c>
      <c r="E115" s="19" t="s">
        <v>50</v>
      </c>
      <c r="F115" s="22"/>
      <c r="G115" s="22"/>
      <c r="H115" s="22"/>
      <c r="I115" s="22"/>
      <c r="J115" s="2"/>
      <c r="K115" s="2"/>
      <c r="L115" s="2"/>
      <c r="M115" s="2"/>
      <c r="N115" s="2"/>
    </row>
    <row r="116" spans="1:14" s="24" customFormat="1" x14ac:dyDescent="0.2">
      <c r="A116" s="23"/>
      <c r="B116" s="42"/>
      <c r="C116" s="64">
        <f>C113*C115</f>
        <v>8446.6831956018887</v>
      </c>
      <c r="D116" s="23" t="s">
        <v>22</v>
      </c>
      <c r="E116" s="25" t="s">
        <v>51</v>
      </c>
      <c r="F116" s="23"/>
      <c r="G116" s="23"/>
      <c r="H116" s="23"/>
      <c r="I116" s="23"/>
      <c r="J116" s="18"/>
      <c r="K116" s="18"/>
      <c r="L116" s="18"/>
      <c r="M116" s="18"/>
      <c r="N116" s="18"/>
    </row>
    <row r="117" spans="1:14" s="24" customFormat="1" x14ac:dyDescent="0.2">
      <c r="A117" s="23"/>
      <c r="B117" s="42"/>
      <c r="C117" s="28"/>
      <c r="D117" s="23"/>
      <c r="E117" s="25"/>
      <c r="F117" s="23"/>
      <c r="G117" s="23"/>
      <c r="H117" s="23"/>
      <c r="I117" s="23"/>
      <c r="J117" s="2"/>
      <c r="K117" s="2"/>
      <c r="L117" s="2"/>
      <c r="M117" s="2"/>
      <c r="N117" s="2"/>
    </row>
    <row r="118" spans="1:14" s="203" customFormat="1" x14ac:dyDescent="0.2">
      <c r="A118" s="200">
        <f>A20</f>
        <v>503</v>
      </c>
      <c r="B118" s="60">
        <f>B20</f>
        <v>31100</v>
      </c>
      <c r="C118" s="201">
        <f>ROUNDUP(C123,0)</f>
        <v>23</v>
      </c>
      <c r="D118" s="200" t="str">
        <f>D20</f>
        <v>CY</v>
      </c>
      <c r="E118" s="202" t="str">
        <f>E20</f>
        <v>ROCK EXCAVATION</v>
      </c>
      <c r="F118" s="200"/>
      <c r="G118" s="200"/>
      <c r="H118" s="200"/>
      <c r="I118" s="200"/>
      <c r="J118" s="133"/>
      <c r="K118" s="133"/>
      <c r="L118" s="133"/>
      <c r="M118" s="133"/>
      <c r="N118" s="133"/>
    </row>
    <row r="119" spans="1:14" s="26" customFormat="1" x14ac:dyDescent="0.2">
      <c r="A119" s="199" t="s">
        <v>255</v>
      </c>
      <c r="B119" s="40"/>
      <c r="C119" s="51">
        <v>610</v>
      </c>
      <c r="D119" s="22" t="s">
        <v>7</v>
      </c>
      <c r="E119" s="19" t="s">
        <v>256</v>
      </c>
      <c r="F119" s="22"/>
      <c r="G119" s="22"/>
      <c r="H119" s="22"/>
      <c r="I119" s="22"/>
      <c r="J119" s="2"/>
      <c r="K119" s="2"/>
      <c r="L119" s="2"/>
      <c r="M119" s="2"/>
      <c r="N119" s="2"/>
    </row>
    <row r="120" spans="1:14" s="26" customFormat="1" x14ac:dyDescent="0.2">
      <c r="A120" s="22"/>
      <c r="B120" s="40"/>
      <c r="C120" s="51">
        <v>605.14</v>
      </c>
      <c r="D120" s="22" t="s">
        <v>7</v>
      </c>
      <c r="E120" s="19" t="s">
        <v>235</v>
      </c>
      <c r="F120" s="22"/>
      <c r="G120" s="22"/>
      <c r="H120" s="22"/>
      <c r="I120" s="22"/>
      <c r="J120" s="2"/>
      <c r="K120" s="2"/>
      <c r="L120" s="2"/>
      <c r="M120" s="2"/>
      <c r="N120" s="2"/>
    </row>
    <row r="121" spans="1:14" s="26" customFormat="1" ht="15.75" thickBot="1" x14ac:dyDescent="0.25">
      <c r="A121" s="22"/>
      <c r="B121" s="40"/>
      <c r="C121" s="162">
        <f>C301*C302</f>
        <v>125.66666666666667</v>
      </c>
      <c r="D121" s="22" t="s">
        <v>8</v>
      </c>
      <c r="E121" s="19" t="s">
        <v>257</v>
      </c>
      <c r="F121" s="22"/>
      <c r="G121" s="22"/>
      <c r="H121" s="22"/>
      <c r="I121" s="22"/>
      <c r="J121" s="2"/>
      <c r="K121" s="2"/>
      <c r="L121" s="2"/>
      <c r="M121" s="2"/>
      <c r="N121" s="2"/>
    </row>
    <row r="122" spans="1:14" s="26" customFormat="1" ht="13.5" thickTop="1" x14ac:dyDescent="0.2">
      <c r="A122" s="22"/>
      <c r="B122" s="40"/>
      <c r="C122" s="27">
        <f>C121*(C119-C120)</f>
        <v>610.74000000000171</v>
      </c>
      <c r="D122" s="22" t="s">
        <v>11</v>
      </c>
      <c r="E122" s="19"/>
      <c r="F122" s="22"/>
      <c r="G122" s="22"/>
      <c r="H122" s="22"/>
      <c r="I122" s="22"/>
      <c r="J122" s="2"/>
      <c r="K122" s="2"/>
      <c r="L122" s="2"/>
      <c r="M122" s="2"/>
      <c r="N122" s="2"/>
    </row>
    <row r="123" spans="1:14" s="26" customFormat="1" x14ac:dyDescent="0.2">
      <c r="A123" s="22"/>
      <c r="B123" s="40"/>
      <c r="C123" s="27">
        <f>C122/27</f>
        <v>22.620000000000065</v>
      </c>
      <c r="D123" s="22" t="s">
        <v>10</v>
      </c>
      <c r="E123" s="19"/>
      <c r="F123" s="22"/>
      <c r="G123" s="22"/>
      <c r="H123" s="22"/>
      <c r="I123" s="22"/>
      <c r="J123" s="2"/>
      <c r="K123" s="2"/>
      <c r="L123" s="2"/>
      <c r="M123" s="2"/>
      <c r="N123" s="2"/>
    </row>
    <row r="124" spans="1:14" s="26" customFormat="1" x14ac:dyDescent="0.2">
      <c r="A124" s="22"/>
      <c r="B124" s="40"/>
      <c r="C124" s="27"/>
      <c r="D124" s="22"/>
      <c r="E124" s="19"/>
      <c r="F124" s="22"/>
      <c r="G124" s="22"/>
      <c r="H124" s="22"/>
      <c r="I124" s="22"/>
      <c r="J124" s="2"/>
      <c r="K124" s="2"/>
      <c r="L124" s="2"/>
      <c r="M124" s="2"/>
      <c r="N124" s="2"/>
    </row>
    <row r="125" spans="1:14" s="26" customFormat="1" x14ac:dyDescent="0.2">
      <c r="A125" s="22"/>
      <c r="B125" s="40"/>
      <c r="C125" s="64">
        <v>75</v>
      </c>
      <c r="D125" s="22" t="s">
        <v>33</v>
      </c>
      <c r="E125" s="19" t="s">
        <v>50</v>
      </c>
      <c r="F125" s="22"/>
      <c r="G125" s="22"/>
      <c r="H125" s="22"/>
      <c r="I125" s="22"/>
      <c r="J125" s="2"/>
      <c r="K125" s="2"/>
      <c r="L125" s="2"/>
      <c r="M125" s="2"/>
      <c r="N125" s="2"/>
    </row>
    <row r="126" spans="1:14" s="24" customFormat="1" x14ac:dyDescent="0.2">
      <c r="A126" s="23"/>
      <c r="B126" s="42"/>
      <c r="C126" s="64">
        <f>C123*C125</f>
        <v>1696.5000000000048</v>
      </c>
      <c r="D126" s="23" t="s">
        <v>22</v>
      </c>
      <c r="E126" s="25" t="s">
        <v>51</v>
      </c>
      <c r="F126" s="23"/>
      <c r="G126" s="23"/>
      <c r="H126" s="23"/>
      <c r="I126" s="23"/>
      <c r="J126" s="2"/>
      <c r="K126" s="2"/>
      <c r="L126" s="2"/>
      <c r="M126" s="2"/>
      <c r="N126" s="2"/>
    </row>
    <row r="127" spans="1:14" s="24" customFormat="1" x14ac:dyDescent="0.2">
      <c r="A127" s="23"/>
      <c r="B127" s="42"/>
      <c r="C127" s="28"/>
      <c r="D127" s="23"/>
      <c r="E127" s="25"/>
      <c r="F127" s="23"/>
      <c r="G127" s="23"/>
      <c r="H127" s="23"/>
      <c r="I127" s="23"/>
      <c r="J127" s="198"/>
      <c r="K127" s="198"/>
      <c r="L127" s="198"/>
      <c r="M127" s="198"/>
      <c r="N127" s="198"/>
    </row>
    <row r="128" spans="1:14" s="49" customFormat="1" x14ac:dyDescent="0.2">
      <c r="A128" s="35">
        <f>A22</f>
        <v>509</v>
      </c>
      <c r="B128" s="44">
        <f>B22</f>
        <v>10000</v>
      </c>
      <c r="C128" s="211">
        <f>ROUNDUP(C143,0)</f>
        <v>187077</v>
      </c>
      <c r="D128" s="35" t="str">
        <f>D22</f>
        <v>LB</v>
      </c>
      <c r="E128" s="37" t="str">
        <f>E22</f>
        <v>EPOXY COATED STEEL REINFORCEMENT</v>
      </c>
      <c r="F128" s="39"/>
      <c r="G128" s="39"/>
      <c r="H128" s="39"/>
      <c r="I128" s="39"/>
      <c r="J128" s="39"/>
      <c r="K128" s="39"/>
      <c r="L128" s="39"/>
      <c r="M128" s="39"/>
      <c r="N128" s="39"/>
    </row>
    <row r="129" spans="1:16" s="26" customFormat="1" ht="19.5" x14ac:dyDescent="0.2">
      <c r="A129" s="19" t="s">
        <v>39</v>
      </c>
      <c r="B129" s="53"/>
      <c r="C129" s="51">
        <v>40937</v>
      </c>
      <c r="D129" s="22" t="s">
        <v>23</v>
      </c>
      <c r="E129" s="19" t="s">
        <v>55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18" t="s">
        <v>271</v>
      </c>
    </row>
    <row r="130" spans="1:16" s="26" customFormat="1" ht="19.5" x14ac:dyDescent="0.2">
      <c r="A130" s="19" t="s">
        <v>209</v>
      </c>
      <c r="B130" s="53"/>
      <c r="C130" s="51">
        <f>2450+2322+5623+5347</f>
        <v>15742</v>
      </c>
      <c r="D130" s="22" t="s">
        <v>23</v>
      </c>
      <c r="E130" s="19" t="s">
        <v>55</v>
      </c>
      <c r="F130" s="22"/>
      <c r="G130" s="22"/>
      <c r="H130" s="22"/>
      <c r="I130" s="22"/>
      <c r="J130" s="22"/>
      <c r="K130" s="22"/>
      <c r="L130" s="22"/>
      <c r="M130" s="22"/>
      <c r="N130" s="22"/>
      <c r="O130" s="218" t="s">
        <v>271</v>
      </c>
      <c r="P130" s="210">
        <f>C130+C137</f>
        <v>23782</v>
      </c>
    </row>
    <row r="131" spans="1:16" s="26" customFormat="1" x14ac:dyDescent="0.2">
      <c r="A131" s="19"/>
      <c r="B131" s="53"/>
      <c r="C131" s="27"/>
      <c r="D131" s="22"/>
      <c r="E131" s="19"/>
      <c r="F131" s="22"/>
      <c r="G131" s="22"/>
      <c r="H131" s="22"/>
      <c r="I131" s="22"/>
      <c r="J131" s="22"/>
      <c r="K131" s="22"/>
      <c r="L131" s="22"/>
      <c r="M131" s="22"/>
      <c r="N131" s="22"/>
    </row>
    <row r="132" spans="1:16" s="26" customFormat="1" ht="19.5" x14ac:dyDescent="0.2">
      <c r="A132" s="26" t="s">
        <v>207</v>
      </c>
      <c r="B132" s="53"/>
      <c r="C132" s="51">
        <v>4834</v>
      </c>
      <c r="D132" s="22" t="s">
        <v>23</v>
      </c>
      <c r="E132" s="19" t="s">
        <v>55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18" t="s">
        <v>271</v>
      </c>
    </row>
    <row r="133" spans="1:16" s="26" customFormat="1" x14ac:dyDescent="0.2">
      <c r="B133" s="53"/>
      <c r="C133" s="27"/>
      <c r="D133" s="22"/>
      <c r="E133" s="19"/>
      <c r="F133" s="22"/>
      <c r="G133" s="22"/>
      <c r="H133" s="22"/>
      <c r="I133" s="22"/>
      <c r="J133" s="22"/>
      <c r="K133" s="22"/>
      <c r="L133" s="22"/>
      <c r="M133" s="22"/>
      <c r="N133" s="22"/>
    </row>
    <row r="134" spans="1:16" s="26" customFormat="1" ht="19.5" x14ac:dyDescent="0.2">
      <c r="A134" s="19" t="s">
        <v>69</v>
      </c>
      <c r="B134" s="53"/>
      <c r="C134" s="51">
        <f>107294</f>
        <v>107294</v>
      </c>
      <c r="D134" s="22" t="s">
        <v>23</v>
      </c>
      <c r="E134" s="19" t="s">
        <v>55</v>
      </c>
      <c r="F134" s="22"/>
      <c r="G134" s="22"/>
      <c r="H134" s="22"/>
      <c r="I134" s="22"/>
      <c r="J134" s="22"/>
      <c r="K134" s="22"/>
      <c r="L134" s="22"/>
      <c r="M134" s="22"/>
      <c r="N134" s="22"/>
      <c r="O134" s="218" t="s">
        <v>271</v>
      </c>
    </row>
    <row r="135" spans="1:16" s="26" customFormat="1" x14ac:dyDescent="0.2">
      <c r="A135" s="19"/>
      <c r="B135" s="53"/>
      <c r="C135" s="27"/>
      <c r="D135" s="22"/>
      <c r="E135" s="19"/>
      <c r="F135" s="22"/>
      <c r="G135" s="22"/>
      <c r="H135" s="22"/>
      <c r="I135" s="22"/>
      <c r="J135" s="22"/>
      <c r="K135" s="22"/>
      <c r="L135" s="22"/>
      <c r="M135" s="22"/>
      <c r="N135" s="22"/>
    </row>
    <row r="136" spans="1:16" s="26" customFormat="1" ht="19.5" x14ac:dyDescent="0.2">
      <c r="A136" s="19" t="s">
        <v>70</v>
      </c>
      <c r="B136" s="53"/>
      <c r="C136" s="51">
        <v>22808</v>
      </c>
      <c r="D136" s="22" t="s">
        <v>23</v>
      </c>
      <c r="E136" s="19" t="s">
        <v>55</v>
      </c>
      <c r="F136" s="22"/>
      <c r="G136" s="22"/>
      <c r="H136" s="22"/>
      <c r="I136" s="22"/>
      <c r="J136" s="22"/>
      <c r="K136" s="22"/>
      <c r="L136" s="22"/>
      <c r="M136" s="22"/>
      <c r="N136" s="22"/>
      <c r="O136" s="218" t="s">
        <v>271</v>
      </c>
    </row>
    <row r="137" spans="1:16" s="26" customFormat="1" ht="19.5" x14ac:dyDescent="0.2">
      <c r="A137" s="19" t="s">
        <v>209</v>
      </c>
      <c r="B137" s="53"/>
      <c r="C137" s="51">
        <f>2407+5633</f>
        <v>8040</v>
      </c>
      <c r="D137" s="22" t="s">
        <v>23</v>
      </c>
      <c r="E137" s="19" t="s">
        <v>263</v>
      </c>
      <c r="F137" s="22"/>
      <c r="G137" s="22"/>
      <c r="H137" s="22"/>
      <c r="I137" s="22"/>
      <c r="J137" s="22"/>
      <c r="K137" s="22"/>
      <c r="L137" s="22"/>
      <c r="M137" s="22"/>
      <c r="N137" s="22"/>
      <c r="O137" s="218" t="s">
        <v>271</v>
      </c>
    </row>
    <row r="138" spans="1:16" s="26" customFormat="1" x14ac:dyDescent="0.2">
      <c r="A138" s="19"/>
      <c r="B138" s="53"/>
      <c r="C138" s="27"/>
      <c r="D138" s="22"/>
      <c r="E138" s="19"/>
      <c r="F138" s="22"/>
      <c r="G138" s="22"/>
      <c r="H138" s="22"/>
      <c r="I138" s="22"/>
      <c r="J138" s="22"/>
      <c r="K138" s="22"/>
      <c r="L138" s="22"/>
      <c r="M138" s="22"/>
      <c r="N138" s="22"/>
    </row>
    <row r="139" spans="1:16" s="26" customFormat="1" ht="19.5" x14ac:dyDescent="0.2">
      <c r="A139" s="19" t="s">
        <v>71</v>
      </c>
      <c r="B139" s="53"/>
      <c r="C139" s="51">
        <v>11204</v>
      </c>
      <c r="D139" s="22" t="s">
        <v>23</v>
      </c>
      <c r="E139" s="19" t="s">
        <v>55</v>
      </c>
      <c r="F139" s="22"/>
      <c r="G139" s="22"/>
      <c r="H139" s="22"/>
      <c r="I139" s="22"/>
      <c r="J139" s="22"/>
      <c r="K139" s="22"/>
      <c r="L139" s="22"/>
      <c r="M139" s="22"/>
      <c r="N139" s="22"/>
      <c r="O139" s="218" t="s">
        <v>271</v>
      </c>
    </row>
    <row r="140" spans="1:16" s="26" customFormat="1" ht="19.5" x14ac:dyDescent="0.2">
      <c r="A140" s="19" t="s">
        <v>268</v>
      </c>
      <c r="B140" s="53"/>
      <c r="C140" s="27">
        <v>6536</v>
      </c>
      <c r="D140" s="22" t="s">
        <v>7</v>
      </c>
      <c r="E140" s="19"/>
      <c r="F140" s="22"/>
      <c r="G140" s="22"/>
      <c r="H140" s="22"/>
      <c r="I140" s="22"/>
      <c r="J140" s="2"/>
      <c r="K140" s="2"/>
      <c r="L140" s="2"/>
      <c r="M140" s="2"/>
      <c r="N140" s="2"/>
      <c r="O140" s="218" t="s">
        <v>271</v>
      </c>
    </row>
    <row r="141" spans="1:16" s="26" customFormat="1" x14ac:dyDescent="0.2">
      <c r="A141" s="19" t="s">
        <v>208</v>
      </c>
      <c r="B141" s="53"/>
      <c r="C141" s="51"/>
      <c r="D141" s="22" t="s">
        <v>23</v>
      </c>
      <c r="E141" s="19" t="s">
        <v>55</v>
      </c>
      <c r="F141" s="22"/>
      <c r="G141" s="22"/>
      <c r="H141" s="22"/>
      <c r="I141" s="22"/>
      <c r="J141" s="22"/>
      <c r="K141" s="22"/>
      <c r="L141" s="22"/>
      <c r="M141" s="22"/>
      <c r="N141" s="22"/>
    </row>
    <row r="142" spans="1:16" s="26" customFormat="1" x14ac:dyDescent="0.2">
      <c r="A142" s="19"/>
      <c r="B142" s="53"/>
      <c r="C142" s="27"/>
      <c r="D142" s="22"/>
      <c r="E142" s="19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16" s="24" customFormat="1" ht="15" customHeight="1" x14ac:dyDescent="0.2">
      <c r="A143" s="25"/>
      <c r="B143" s="60"/>
      <c r="C143" s="41">
        <f>C129+C132+C134+C136+C139</f>
        <v>187077</v>
      </c>
      <c r="D143" s="23" t="s">
        <v>23</v>
      </c>
      <c r="E143" s="25" t="s">
        <v>6</v>
      </c>
      <c r="F143" s="23"/>
      <c r="G143" s="23"/>
      <c r="H143" s="23"/>
      <c r="I143" s="23"/>
      <c r="J143" s="2"/>
      <c r="K143" s="2"/>
      <c r="L143" s="2"/>
      <c r="M143" s="2"/>
      <c r="N143" s="2"/>
    </row>
    <row r="144" spans="1:16" s="38" customFormat="1" ht="13.5" customHeight="1" x14ac:dyDescent="0.2">
      <c r="A144" s="39"/>
      <c r="B144" s="54"/>
      <c r="C144" s="43"/>
      <c r="D144" s="39"/>
      <c r="E144" s="55"/>
      <c r="F144" s="39"/>
      <c r="G144" s="39"/>
      <c r="H144" s="39"/>
      <c r="I144" s="39"/>
      <c r="J144" s="39"/>
      <c r="K144" s="39"/>
      <c r="L144" s="39"/>
      <c r="M144" s="39"/>
      <c r="N144" s="39"/>
    </row>
    <row r="145" spans="1:14" s="38" customFormat="1" x14ac:dyDescent="0.2">
      <c r="A145" s="35">
        <f>A25</f>
        <v>511</v>
      </c>
      <c r="B145" s="44">
        <f>B25</f>
        <v>32212</v>
      </c>
      <c r="C145" s="36">
        <f>ROUNDUP(C177,0)</f>
        <v>395</v>
      </c>
      <c r="D145" s="35" t="str">
        <f>D25</f>
        <v>CY</v>
      </c>
      <c r="E145" s="37" t="str">
        <f>E25</f>
        <v>CLASS QC2 CONCRETE WITH QC/QA, SUPERSTRUCTURE</v>
      </c>
      <c r="F145" s="35"/>
      <c r="G145" s="35"/>
      <c r="H145" s="35"/>
      <c r="I145" s="35"/>
      <c r="J145" s="35"/>
      <c r="K145" s="35"/>
      <c r="L145" s="35"/>
      <c r="M145" s="35"/>
      <c r="N145" s="35"/>
    </row>
    <row r="146" spans="1:14" s="26" customFormat="1" x14ac:dyDescent="0.2">
      <c r="A146" s="19" t="s">
        <v>57</v>
      </c>
      <c r="B146" s="40"/>
      <c r="C146" s="27">
        <v>4570.66</v>
      </c>
      <c r="D146" s="22" t="s">
        <v>8</v>
      </c>
      <c r="E146" s="19" t="s">
        <v>181</v>
      </c>
      <c r="F146" s="22"/>
      <c r="G146" s="22"/>
      <c r="H146" s="22"/>
      <c r="I146" s="22"/>
      <c r="J146" s="2"/>
      <c r="K146" s="2"/>
      <c r="L146" s="2"/>
      <c r="M146" s="2"/>
      <c r="N146" s="2"/>
    </row>
    <row r="147" spans="1:14" s="26" customFormat="1" x14ac:dyDescent="0.2">
      <c r="A147" s="22"/>
      <c r="B147" s="40"/>
      <c r="C147" s="51">
        <f>26/12</f>
        <v>2.1666666666666665</v>
      </c>
      <c r="D147" s="22" t="s">
        <v>7</v>
      </c>
      <c r="E147" s="19" t="s">
        <v>56</v>
      </c>
      <c r="F147" s="22"/>
      <c r="G147" s="22"/>
      <c r="H147" s="22"/>
      <c r="I147" s="22"/>
      <c r="J147" s="2"/>
      <c r="K147" s="2"/>
      <c r="L147" s="2"/>
      <c r="M147" s="2"/>
      <c r="N147" s="2"/>
    </row>
    <row r="148" spans="1:14" s="26" customFormat="1" x14ac:dyDescent="0.2">
      <c r="A148" s="22"/>
      <c r="B148" s="40"/>
      <c r="C148" s="27">
        <f>C146*C147</f>
        <v>9903.0966666666664</v>
      </c>
      <c r="D148" s="22" t="s">
        <v>11</v>
      </c>
      <c r="E148" s="19" t="s">
        <v>110</v>
      </c>
      <c r="F148" s="22"/>
      <c r="G148" s="22"/>
      <c r="H148" s="22"/>
      <c r="I148" s="22"/>
      <c r="J148" s="2"/>
      <c r="K148" s="2"/>
      <c r="L148" s="2"/>
      <c r="M148" s="2"/>
      <c r="N148" s="2"/>
    </row>
    <row r="149" spans="1:14" s="26" customFormat="1" x14ac:dyDescent="0.2">
      <c r="A149" s="22"/>
      <c r="B149" s="40"/>
      <c r="C149" s="27"/>
      <c r="D149" s="22"/>
      <c r="E149" s="19"/>
      <c r="F149" s="22"/>
      <c r="G149" s="22"/>
      <c r="H149" s="22"/>
      <c r="I149" s="22"/>
      <c r="J149" s="2"/>
      <c r="K149" s="2"/>
      <c r="L149" s="2"/>
      <c r="M149" s="2"/>
      <c r="N149" s="2"/>
    </row>
    <row r="150" spans="1:14" s="26" customFormat="1" x14ac:dyDescent="0.2">
      <c r="A150" s="19" t="s">
        <v>42</v>
      </c>
      <c r="B150" s="40"/>
      <c r="C150" s="51">
        <f>31+7.375/12</f>
        <v>31.614583333333332</v>
      </c>
      <c r="D150" s="22" t="s">
        <v>7</v>
      </c>
      <c r="E150" s="19" t="s">
        <v>31</v>
      </c>
      <c r="F150" s="22"/>
      <c r="G150" s="22"/>
      <c r="H150" s="22"/>
      <c r="I150" s="22"/>
      <c r="J150" s="2"/>
      <c r="K150" s="2"/>
      <c r="L150" s="2"/>
      <c r="M150" s="2"/>
      <c r="N150" s="2"/>
    </row>
    <row r="151" spans="1:14" s="26" customFormat="1" x14ac:dyDescent="0.2">
      <c r="A151" s="22"/>
      <c r="B151" s="40"/>
      <c r="C151" s="51">
        <v>3</v>
      </c>
      <c r="D151" s="22" t="s">
        <v>7</v>
      </c>
      <c r="E151" s="19" t="s">
        <v>58</v>
      </c>
      <c r="F151" s="22"/>
      <c r="G151" s="22"/>
      <c r="H151" s="22"/>
      <c r="I151" s="22"/>
      <c r="J151" s="2"/>
      <c r="K151" s="2"/>
      <c r="L151" s="2"/>
      <c r="M151" s="2"/>
      <c r="N151" s="2"/>
    </row>
    <row r="152" spans="1:14" s="26" customFormat="1" x14ac:dyDescent="0.2">
      <c r="A152" s="22"/>
      <c r="B152" s="40"/>
      <c r="C152" s="51">
        <f>4+2/12-C147</f>
        <v>2.0000000000000004</v>
      </c>
      <c r="D152" s="22" t="s">
        <v>7</v>
      </c>
      <c r="E152" s="19" t="s">
        <v>127</v>
      </c>
      <c r="F152" s="22"/>
      <c r="G152" s="22"/>
      <c r="H152" s="22"/>
      <c r="I152" s="22"/>
      <c r="J152" s="2"/>
      <c r="K152" s="2"/>
      <c r="L152" s="2"/>
      <c r="M152" s="2"/>
      <c r="N152" s="2"/>
    </row>
    <row r="153" spans="1:14" s="26" customFormat="1" x14ac:dyDescent="0.2">
      <c r="A153" s="22"/>
      <c r="B153" s="40"/>
      <c r="C153" s="51">
        <f>5.75-C147</f>
        <v>3.5833333333333335</v>
      </c>
      <c r="D153" s="22"/>
      <c r="E153" s="19" t="s">
        <v>128</v>
      </c>
      <c r="F153" s="22"/>
      <c r="G153" s="22"/>
      <c r="H153" s="22"/>
      <c r="I153" s="22"/>
      <c r="J153" s="2"/>
      <c r="K153" s="2"/>
      <c r="L153" s="2"/>
      <c r="M153" s="2"/>
      <c r="N153" s="2"/>
    </row>
    <row r="154" spans="1:14" s="26" customFormat="1" x14ac:dyDescent="0.2">
      <c r="A154" s="22"/>
      <c r="B154" s="40"/>
      <c r="C154" s="27">
        <f>C150*C151*0.5*(C152+C153)</f>
        <v>264.77213541666669</v>
      </c>
      <c r="D154" s="22" t="s">
        <v>11</v>
      </c>
      <c r="E154" s="19" t="s">
        <v>43</v>
      </c>
      <c r="F154" s="22"/>
      <c r="G154" s="22"/>
      <c r="H154" s="22"/>
      <c r="I154" s="22"/>
      <c r="J154" s="2"/>
      <c r="K154" s="2"/>
      <c r="L154" s="2"/>
      <c r="M154" s="2"/>
      <c r="N154" s="2"/>
    </row>
    <row r="155" spans="1:14" s="26" customFormat="1" x14ac:dyDescent="0.2">
      <c r="A155" s="22"/>
      <c r="B155" s="40"/>
      <c r="C155" s="27"/>
      <c r="D155" s="22"/>
      <c r="E155" s="19"/>
      <c r="F155" s="22"/>
      <c r="G155" s="22"/>
      <c r="H155" s="22"/>
      <c r="I155" s="22"/>
      <c r="J155" s="2"/>
      <c r="K155" s="2"/>
      <c r="L155" s="2"/>
      <c r="M155" s="2"/>
      <c r="N155" s="2"/>
    </row>
    <row r="156" spans="1:14" s="26" customFormat="1" x14ac:dyDescent="0.2">
      <c r="A156" s="19" t="s">
        <v>45</v>
      </c>
      <c r="B156" s="40"/>
      <c r="C156" s="51">
        <f>31+7/12</f>
        <v>31.583333333333332</v>
      </c>
      <c r="D156" s="22" t="s">
        <v>7</v>
      </c>
      <c r="E156" s="19" t="s">
        <v>31</v>
      </c>
      <c r="F156" s="22"/>
      <c r="G156" s="22"/>
      <c r="H156" s="22"/>
      <c r="I156" s="22"/>
      <c r="J156" s="2"/>
      <c r="K156" s="2"/>
      <c r="L156" s="2"/>
      <c r="M156" s="2"/>
      <c r="N156" s="2"/>
    </row>
    <row r="157" spans="1:14" s="26" customFormat="1" x14ac:dyDescent="0.2">
      <c r="A157" s="22"/>
      <c r="B157" s="40"/>
      <c r="C157" s="51">
        <v>3</v>
      </c>
      <c r="D157" s="22" t="s">
        <v>7</v>
      </c>
      <c r="E157" s="19" t="s">
        <v>58</v>
      </c>
      <c r="F157" s="22"/>
      <c r="G157" s="22"/>
      <c r="H157" s="22"/>
      <c r="I157" s="22"/>
      <c r="J157" s="2"/>
      <c r="K157" s="2"/>
      <c r="L157" s="2"/>
      <c r="M157" s="2"/>
      <c r="N157" s="2"/>
    </row>
    <row r="158" spans="1:14" s="26" customFormat="1" x14ac:dyDescent="0.2">
      <c r="A158" s="22"/>
      <c r="B158" s="40"/>
      <c r="C158" s="51">
        <f>4+2/12-C147</f>
        <v>2.0000000000000004</v>
      </c>
      <c r="D158" s="22"/>
      <c r="E158" s="19" t="s">
        <v>127</v>
      </c>
      <c r="F158" s="22"/>
      <c r="G158" s="22"/>
      <c r="H158" s="22"/>
      <c r="I158" s="22"/>
      <c r="J158" s="2"/>
      <c r="K158" s="2"/>
      <c r="L158" s="2"/>
      <c r="M158" s="2"/>
      <c r="N158" s="2"/>
    </row>
    <row r="159" spans="1:14" s="26" customFormat="1" x14ac:dyDescent="0.2">
      <c r="A159" s="22"/>
      <c r="B159" s="40"/>
      <c r="C159" s="51">
        <f>5.5-C147</f>
        <v>3.3333333333333335</v>
      </c>
      <c r="D159" s="22" t="s">
        <v>7</v>
      </c>
      <c r="E159" s="19" t="s">
        <v>128</v>
      </c>
      <c r="F159" s="22"/>
      <c r="G159" s="22"/>
      <c r="H159" s="22"/>
      <c r="I159" s="22"/>
      <c r="J159" s="2"/>
      <c r="K159" s="2"/>
      <c r="L159" s="2"/>
      <c r="M159" s="2"/>
      <c r="N159" s="2"/>
    </row>
    <row r="160" spans="1:14" s="26" customFormat="1" ht="12.75" customHeight="1" x14ac:dyDescent="0.2">
      <c r="A160" s="19"/>
      <c r="B160" s="40"/>
      <c r="C160" s="27">
        <f>C156*C157*0.5*(C158+C159)</f>
        <v>252.66666666666669</v>
      </c>
      <c r="D160" s="22" t="s">
        <v>11</v>
      </c>
      <c r="E160" s="19" t="s">
        <v>43</v>
      </c>
      <c r="F160" s="22"/>
      <c r="G160" s="22"/>
      <c r="H160" s="22"/>
      <c r="I160" s="22"/>
      <c r="J160" s="2"/>
      <c r="K160" s="2"/>
      <c r="L160" s="2"/>
      <c r="M160" s="2"/>
      <c r="N160" s="2"/>
    </row>
    <row r="161" spans="1:14" s="26" customFormat="1" ht="12.75" customHeight="1" x14ac:dyDescent="0.2">
      <c r="A161" s="19"/>
      <c r="B161" s="40"/>
      <c r="C161" s="27"/>
      <c r="D161" s="22"/>
      <c r="E161" s="19"/>
      <c r="F161" s="22"/>
      <c r="G161" s="22"/>
      <c r="H161" s="22"/>
      <c r="I161" s="22"/>
      <c r="J161" s="2"/>
      <c r="K161" s="2"/>
      <c r="L161" s="2"/>
      <c r="M161" s="2"/>
      <c r="N161" s="2"/>
    </row>
    <row r="162" spans="1:14" s="26" customFormat="1" ht="12.75" customHeight="1" x14ac:dyDescent="0.2">
      <c r="A162" s="19" t="s">
        <v>112</v>
      </c>
      <c r="B162" s="40"/>
      <c r="C162" s="51">
        <f>29+5/12</f>
        <v>29.416666666666668</v>
      </c>
      <c r="D162" s="22" t="s">
        <v>7</v>
      </c>
      <c r="E162" s="19" t="s">
        <v>142</v>
      </c>
      <c r="F162" s="22"/>
      <c r="G162" s="22"/>
      <c r="H162" s="22"/>
      <c r="I162" s="22"/>
      <c r="J162" s="2"/>
      <c r="K162" s="2"/>
      <c r="L162" s="2"/>
      <c r="M162" s="2"/>
      <c r="N162" s="2"/>
    </row>
    <row r="163" spans="1:14" s="26" customFormat="1" ht="12.75" customHeight="1" x14ac:dyDescent="0.2">
      <c r="A163" s="19"/>
      <c r="B163" s="40"/>
      <c r="C163" s="51">
        <v>3</v>
      </c>
      <c r="D163" s="22" t="s">
        <v>7</v>
      </c>
      <c r="E163" s="19" t="s">
        <v>58</v>
      </c>
      <c r="F163" s="22"/>
      <c r="G163" s="22"/>
      <c r="H163" s="22"/>
      <c r="I163" s="22"/>
      <c r="J163" s="2"/>
      <c r="K163" s="2"/>
      <c r="L163" s="2"/>
      <c r="M163" s="2"/>
      <c r="N163" s="2"/>
    </row>
    <row r="164" spans="1:14" s="26" customFormat="1" ht="12.75" customHeight="1" x14ac:dyDescent="0.2">
      <c r="A164" s="19"/>
      <c r="B164" s="40"/>
      <c r="C164" s="51">
        <v>0.5</v>
      </c>
      <c r="D164" s="22" t="s">
        <v>7</v>
      </c>
      <c r="E164" s="19" t="s">
        <v>143</v>
      </c>
      <c r="F164" s="22"/>
      <c r="G164" s="22"/>
      <c r="H164" s="22"/>
      <c r="I164" s="22"/>
      <c r="J164" s="2"/>
      <c r="K164" s="2"/>
      <c r="L164" s="2"/>
      <c r="M164" s="2"/>
      <c r="N164" s="2"/>
    </row>
    <row r="165" spans="1:14" s="26" customFormat="1" ht="12.75" customHeight="1" x14ac:dyDescent="0.2">
      <c r="A165" s="19"/>
      <c r="B165" s="40"/>
      <c r="C165" s="51">
        <f>2+0.75/12</f>
        <v>2.0625</v>
      </c>
      <c r="D165" s="22" t="s">
        <v>7</v>
      </c>
      <c r="E165" s="19" t="s">
        <v>144</v>
      </c>
      <c r="F165" s="22"/>
      <c r="G165" s="22"/>
      <c r="H165" s="22"/>
      <c r="I165" s="22"/>
      <c r="J165" s="2"/>
      <c r="K165" s="2"/>
      <c r="L165" s="2"/>
      <c r="M165" s="2"/>
      <c r="N165" s="2"/>
    </row>
    <row r="166" spans="1:14" s="26" customFormat="1" ht="12.75" customHeight="1" x14ac:dyDescent="0.2">
      <c r="A166" s="19"/>
      <c r="B166" s="40"/>
      <c r="C166" s="51">
        <f>PI()/4*C163^2+(C162-1.5*2)*C163</f>
        <v>86.318583470577039</v>
      </c>
      <c r="D166" s="22"/>
      <c r="E166" s="19" t="s">
        <v>145</v>
      </c>
      <c r="F166" s="22"/>
      <c r="G166" s="22"/>
      <c r="H166" s="22"/>
      <c r="I166" s="22"/>
      <c r="J166" s="2"/>
      <c r="K166" s="2"/>
      <c r="L166" s="2"/>
      <c r="M166" s="2"/>
      <c r="N166" s="2"/>
    </row>
    <row r="167" spans="1:14" s="26" customFormat="1" ht="12.75" customHeight="1" x14ac:dyDescent="0.2">
      <c r="A167" s="19"/>
      <c r="B167" s="40"/>
      <c r="C167" s="27">
        <f>C166*0.5*(C164+C165)</f>
        <v>110.59568507167683</v>
      </c>
      <c r="D167" s="22" t="s">
        <v>11</v>
      </c>
      <c r="E167" s="19" t="s">
        <v>88</v>
      </c>
      <c r="F167" s="22"/>
      <c r="G167" s="22"/>
      <c r="H167" s="22"/>
      <c r="I167" s="22"/>
      <c r="J167" s="2"/>
      <c r="K167" s="2"/>
      <c r="L167" s="2"/>
      <c r="M167" s="2"/>
      <c r="N167" s="2"/>
    </row>
    <row r="168" spans="1:14" s="26" customFormat="1" ht="12.75" customHeight="1" x14ac:dyDescent="0.2">
      <c r="A168" s="19"/>
      <c r="B168" s="40"/>
      <c r="C168" s="27"/>
      <c r="D168" s="22"/>
      <c r="E168" s="19"/>
      <c r="F168" s="22"/>
      <c r="G168" s="22"/>
      <c r="H168" s="22"/>
      <c r="I168" s="22"/>
      <c r="J168" s="2"/>
      <c r="K168" s="2"/>
      <c r="L168" s="2"/>
      <c r="M168" s="2"/>
      <c r="N168" s="2"/>
    </row>
    <row r="169" spans="1:14" s="26" customFormat="1" ht="12.75" customHeight="1" x14ac:dyDescent="0.2">
      <c r="A169" s="19" t="s">
        <v>113</v>
      </c>
      <c r="B169" s="40"/>
      <c r="C169" s="51">
        <f>29+5/12</f>
        <v>29.416666666666668</v>
      </c>
      <c r="D169" s="22" t="s">
        <v>7</v>
      </c>
      <c r="E169" s="19" t="s">
        <v>142</v>
      </c>
      <c r="F169" s="22"/>
      <c r="G169" s="22"/>
      <c r="H169" s="22"/>
      <c r="I169" s="22"/>
      <c r="J169" s="2"/>
      <c r="K169" s="2"/>
      <c r="L169" s="2"/>
      <c r="M169" s="2"/>
      <c r="N169" s="2"/>
    </row>
    <row r="170" spans="1:14" s="26" customFormat="1" ht="12.75" customHeight="1" x14ac:dyDescent="0.2">
      <c r="A170" s="19"/>
      <c r="B170" s="40"/>
      <c r="C170" s="51">
        <v>3</v>
      </c>
      <c r="D170" s="22" t="s">
        <v>7</v>
      </c>
      <c r="E170" s="19" t="s">
        <v>58</v>
      </c>
      <c r="F170" s="22"/>
      <c r="G170" s="22"/>
      <c r="H170" s="22"/>
      <c r="I170" s="22"/>
      <c r="J170" s="2"/>
      <c r="K170" s="2"/>
      <c r="L170" s="2"/>
      <c r="M170" s="2"/>
      <c r="N170" s="2"/>
    </row>
    <row r="171" spans="1:14" s="26" customFormat="1" ht="12.75" customHeight="1" x14ac:dyDescent="0.2">
      <c r="A171" s="19"/>
      <c r="B171" s="40"/>
      <c r="C171" s="51">
        <v>0.5</v>
      </c>
      <c r="D171" s="22" t="s">
        <v>7</v>
      </c>
      <c r="E171" s="19" t="s">
        <v>143</v>
      </c>
      <c r="F171" s="22"/>
      <c r="G171" s="22"/>
      <c r="H171" s="22"/>
      <c r="I171" s="22"/>
      <c r="J171" s="2"/>
      <c r="K171" s="2"/>
      <c r="L171" s="2"/>
      <c r="M171" s="2"/>
      <c r="N171" s="2"/>
    </row>
    <row r="172" spans="1:14" s="26" customFormat="1" ht="12.75" customHeight="1" x14ac:dyDescent="0.2">
      <c r="A172" s="19"/>
      <c r="B172" s="40"/>
      <c r="C172" s="51">
        <f>2+0.75/12</f>
        <v>2.0625</v>
      </c>
      <c r="D172" s="22" t="s">
        <v>7</v>
      </c>
      <c r="E172" s="19" t="s">
        <v>144</v>
      </c>
      <c r="F172" s="22"/>
      <c r="G172" s="22"/>
      <c r="H172" s="22"/>
      <c r="I172" s="22"/>
      <c r="J172" s="2"/>
      <c r="K172" s="2"/>
      <c r="L172" s="2"/>
      <c r="M172" s="2"/>
      <c r="N172" s="2"/>
    </row>
    <row r="173" spans="1:14" s="26" customFormat="1" ht="12.75" customHeight="1" x14ac:dyDescent="0.2">
      <c r="A173" s="19"/>
      <c r="B173" s="40"/>
      <c r="C173" s="51">
        <f>PI()/4*C170^2+(C169-1.5*2)*C170</f>
        <v>86.318583470577039</v>
      </c>
      <c r="D173" s="22"/>
      <c r="E173" s="19" t="s">
        <v>145</v>
      </c>
      <c r="F173" s="22"/>
      <c r="G173" s="22"/>
      <c r="H173" s="22"/>
      <c r="I173" s="22"/>
      <c r="J173" s="2"/>
      <c r="K173" s="2"/>
      <c r="L173" s="2"/>
      <c r="M173" s="2"/>
      <c r="N173" s="2"/>
    </row>
    <row r="174" spans="1:14" s="26" customFormat="1" ht="12.75" customHeight="1" x14ac:dyDescent="0.2">
      <c r="A174" s="19"/>
      <c r="B174" s="40"/>
      <c r="C174" s="27">
        <f>C173*0.5*(C171+C172)</f>
        <v>110.59568507167683</v>
      </c>
      <c r="D174" s="22" t="s">
        <v>11</v>
      </c>
      <c r="E174" s="19" t="s">
        <v>88</v>
      </c>
      <c r="F174" s="22"/>
      <c r="G174" s="22"/>
      <c r="H174" s="22"/>
      <c r="I174" s="22"/>
      <c r="J174" s="2"/>
      <c r="K174" s="2"/>
      <c r="L174" s="2"/>
      <c r="M174" s="2"/>
      <c r="N174" s="2"/>
    </row>
    <row r="175" spans="1:14" s="26" customFormat="1" ht="12.75" customHeight="1" x14ac:dyDescent="0.2">
      <c r="A175" s="19"/>
      <c r="B175" s="40"/>
      <c r="C175" s="27"/>
      <c r="D175" s="22"/>
      <c r="E175" s="19"/>
      <c r="F175" s="22"/>
      <c r="G175" s="22"/>
      <c r="H175" s="22"/>
      <c r="I175" s="22"/>
      <c r="J175" s="2"/>
      <c r="K175" s="2"/>
      <c r="L175" s="2"/>
      <c r="M175" s="2"/>
      <c r="N175" s="2"/>
    </row>
    <row r="176" spans="1:14" s="26" customFormat="1" x14ac:dyDescent="0.2">
      <c r="A176" s="22"/>
      <c r="B176" s="40"/>
      <c r="C176" s="56">
        <f>C148+C154+C160+C167+C174</f>
        <v>10641.726838893353</v>
      </c>
      <c r="D176" s="22" t="s">
        <v>11</v>
      </c>
      <c r="E176" s="19" t="s">
        <v>6</v>
      </c>
      <c r="F176" s="22"/>
      <c r="G176" s="22"/>
      <c r="H176" s="22"/>
      <c r="I176" s="22"/>
      <c r="J176" s="2"/>
      <c r="K176" s="2"/>
      <c r="L176" s="2"/>
      <c r="M176" s="2"/>
      <c r="N176" s="2"/>
    </row>
    <row r="177" spans="1:14" s="24" customFormat="1" x14ac:dyDescent="0.2">
      <c r="A177" s="23"/>
      <c r="B177" s="42"/>
      <c r="C177" s="41">
        <f>C176/27</f>
        <v>394.13803107012421</v>
      </c>
      <c r="D177" s="23" t="s">
        <v>10</v>
      </c>
      <c r="E177" s="25" t="s">
        <v>6</v>
      </c>
      <c r="F177" s="23"/>
      <c r="G177" s="23"/>
      <c r="H177" s="23"/>
      <c r="I177" s="23"/>
      <c r="J177" s="2"/>
      <c r="K177" s="2"/>
      <c r="L177" s="2"/>
      <c r="M177" s="2"/>
      <c r="N177" s="2"/>
    </row>
    <row r="178" spans="1:14" s="38" customFormat="1" x14ac:dyDescent="0.2"/>
    <row r="179" spans="1:14" s="49" customFormat="1" x14ac:dyDescent="0.2">
      <c r="A179" s="35">
        <f>A27</f>
        <v>511</v>
      </c>
      <c r="B179" s="44">
        <f>B27</f>
        <v>34450</v>
      </c>
      <c r="C179" s="36">
        <f>ROUNDUP(C188,0)</f>
        <v>64</v>
      </c>
      <c r="D179" s="35" t="str">
        <f>D27</f>
        <v>CY</v>
      </c>
      <c r="E179" s="37" t="str">
        <f>E27</f>
        <v>CLASS QC2 CONCRETE WITH QC/QA, BRIDGE DECK (PARAPET)</v>
      </c>
      <c r="F179" s="39"/>
      <c r="G179" s="39"/>
      <c r="H179" s="39"/>
      <c r="I179" s="39"/>
      <c r="J179" s="39"/>
      <c r="K179" s="39"/>
      <c r="L179" s="39"/>
      <c r="M179" s="39"/>
      <c r="N179" s="39"/>
    </row>
    <row r="180" spans="1:14" s="26" customFormat="1" x14ac:dyDescent="0.2">
      <c r="A180" s="19"/>
      <c r="B180" s="40"/>
      <c r="C180" s="51">
        <f>3.5*0.5*(10/12+1.5)</f>
        <v>4.0833333333333339</v>
      </c>
      <c r="D180" s="22" t="s">
        <v>8</v>
      </c>
      <c r="E180" s="19" t="s">
        <v>114</v>
      </c>
      <c r="F180" s="22"/>
      <c r="G180" s="22"/>
      <c r="H180" s="22"/>
      <c r="I180" s="22"/>
      <c r="J180" s="2"/>
      <c r="K180" s="2"/>
      <c r="L180" s="2"/>
      <c r="M180" s="2"/>
      <c r="N180" s="2"/>
    </row>
    <row r="181" spans="1:14" s="26" customFormat="1" x14ac:dyDescent="0.2">
      <c r="A181" s="22"/>
      <c r="B181" s="40"/>
      <c r="C181" s="51">
        <f>11.359+159.554+11.352</f>
        <v>182.26500000000001</v>
      </c>
      <c r="D181" s="22" t="s">
        <v>7</v>
      </c>
      <c r="E181" s="19" t="s">
        <v>253</v>
      </c>
      <c r="F181" s="22"/>
      <c r="G181" s="22"/>
      <c r="H181" s="22"/>
      <c r="I181" s="22"/>
      <c r="J181" s="2"/>
      <c r="K181" s="2"/>
      <c r="L181" s="2"/>
      <c r="M181" s="2"/>
      <c r="N181" s="2"/>
    </row>
    <row r="182" spans="1:14" s="26" customFormat="1" x14ac:dyDescent="0.2">
      <c r="A182" s="22"/>
      <c r="B182" s="40"/>
      <c r="C182" s="51">
        <f>11.97+163.08+11.963</f>
        <v>187.01300000000001</v>
      </c>
      <c r="D182" s="22"/>
      <c r="E182" s="19" t="s">
        <v>253</v>
      </c>
      <c r="F182" s="22"/>
      <c r="G182" s="22"/>
      <c r="H182" s="22"/>
      <c r="I182" s="22"/>
      <c r="J182" s="2"/>
      <c r="K182" s="2"/>
      <c r="L182" s="2"/>
      <c r="M182" s="2"/>
      <c r="N182" s="2"/>
    </row>
    <row r="183" spans="1:14" s="26" customFormat="1" x14ac:dyDescent="0.2">
      <c r="A183" s="22"/>
      <c r="B183" s="40"/>
      <c r="C183" s="51">
        <f>(2+8/12)*(1+2.5/12)+0.5*4/12*3.5/12</f>
        <v>3.270833333333333</v>
      </c>
      <c r="D183" s="22" t="s">
        <v>8</v>
      </c>
      <c r="E183" s="19" t="s">
        <v>115</v>
      </c>
      <c r="F183" s="22"/>
      <c r="G183" s="22"/>
      <c r="H183" s="22"/>
      <c r="I183" s="22"/>
      <c r="J183" s="2"/>
      <c r="K183" s="2"/>
      <c r="L183" s="2"/>
      <c r="M183" s="2"/>
      <c r="N183" s="2"/>
    </row>
    <row r="184" spans="1:14" s="26" customFormat="1" x14ac:dyDescent="0.2">
      <c r="A184" s="22"/>
      <c r="B184" s="40"/>
      <c r="C184" s="51">
        <f>1.5+2.5</f>
        <v>4</v>
      </c>
      <c r="D184" s="22" t="s">
        <v>7</v>
      </c>
      <c r="E184" s="19" t="s">
        <v>116</v>
      </c>
      <c r="F184" s="22"/>
      <c r="G184" s="22"/>
      <c r="H184" s="22"/>
      <c r="I184" s="22"/>
      <c r="J184" s="2"/>
      <c r="K184" s="2"/>
      <c r="L184" s="2"/>
      <c r="M184" s="2"/>
      <c r="N184" s="2"/>
    </row>
    <row r="185" spans="1:14" s="26" customFormat="1" x14ac:dyDescent="0.2">
      <c r="A185" s="22"/>
      <c r="B185" s="40"/>
      <c r="C185" s="51">
        <v>10</v>
      </c>
      <c r="D185" s="22" t="s">
        <v>7</v>
      </c>
      <c r="E185" s="19" t="s">
        <v>117</v>
      </c>
      <c r="F185" s="22"/>
      <c r="G185" s="22"/>
      <c r="H185" s="22"/>
      <c r="I185" s="22"/>
      <c r="J185" s="2"/>
      <c r="K185" s="2"/>
      <c r="L185" s="2"/>
      <c r="M185" s="2"/>
      <c r="N185" s="2"/>
    </row>
    <row r="186" spans="1:14" s="26" customFormat="1" x14ac:dyDescent="0.2">
      <c r="A186" s="22"/>
      <c r="B186" s="40"/>
      <c r="C186" s="27"/>
      <c r="D186" s="22"/>
      <c r="E186" s="19"/>
      <c r="F186" s="22"/>
      <c r="G186" s="22"/>
      <c r="H186" s="22"/>
      <c r="I186" s="22"/>
      <c r="J186" s="2"/>
      <c r="K186" s="2"/>
      <c r="L186" s="2"/>
      <c r="M186" s="2"/>
      <c r="N186" s="2"/>
    </row>
    <row r="187" spans="1:14" s="26" customFormat="1" x14ac:dyDescent="0.2">
      <c r="A187" s="22"/>
      <c r="B187" s="40"/>
      <c r="C187" s="56">
        <f>C180*(C181+C182)+0.5*(C180+C183)*C185*4+4*C184*C183</f>
        <v>1707.3018333333334</v>
      </c>
      <c r="D187" s="22" t="s">
        <v>11</v>
      </c>
      <c r="E187" s="19" t="s">
        <v>6</v>
      </c>
      <c r="F187" s="22"/>
      <c r="G187" s="22"/>
      <c r="H187" s="22"/>
      <c r="I187" s="22"/>
      <c r="J187" s="2"/>
      <c r="K187" s="2"/>
      <c r="L187" s="2"/>
      <c r="M187" s="2"/>
      <c r="N187" s="2"/>
    </row>
    <row r="188" spans="1:14" s="24" customFormat="1" x14ac:dyDescent="0.2">
      <c r="A188" s="23"/>
      <c r="B188" s="42"/>
      <c r="C188" s="41">
        <f>C187/27</f>
        <v>63.233401234567907</v>
      </c>
      <c r="D188" s="23" t="s">
        <v>10</v>
      </c>
      <c r="E188" s="25" t="s">
        <v>6</v>
      </c>
      <c r="F188" s="23"/>
      <c r="G188" s="23"/>
      <c r="H188" s="23"/>
      <c r="I188" s="23"/>
      <c r="J188" s="2"/>
      <c r="K188" s="2"/>
      <c r="L188" s="2"/>
      <c r="M188" s="2"/>
      <c r="N188" s="2"/>
    </row>
    <row r="189" spans="1:14" s="38" customFormat="1" x14ac:dyDescent="0.2"/>
    <row r="190" spans="1:14" s="49" customFormat="1" x14ac:dyDescent="0.2">
      <c r="A190" s="35">
        <f>A28</f>
        <v>511</v>
      </c>
      <c r="B190" s="44">
        <f>B28</f>
        <v>40512</v>
      </c>
      <c r="C190" s="36">
        <f>ROUNDUP(C206,0)</f>
        <v>84</v>
      </c>
      <c r="D190" s="35" t="str">
        <f>D28</f>
        <v>CY</v>
      </c>
      <c r="E190" s="37" t="str">
        <f>E28</f>
        <v>CLASS QC1 CONCRETE WITH QC/QA, PIER ABOVE FOOTINGS</v>
      </c>
      <c r="F190" s="39"/>
      <c r="G190" s="39"/>
      <c r="H190" s="39"/>
      <c r="I190" s="39"/>
      <c r="J190" s="39"/>
      <c r="K190" s="39"/>
      <c r="L190" s="39"/>
      <c r="M190" s="39"/>
      <c r="N190" s="39"/>
    </row>
    <row r="191" spans="1:14" s="26" customFormat="1" x14ac:dyDescent="0.2">
      <c r="A191" s="19" t="s">
        <v>108</v>
      </c>
      <c r="B191" s="40"/>
      <c r="C191" s="51">
        <v>86.325999999999993</v>
      </c>
      <c r="D191" s="22" t="s">
        <v>8</v>
      </c>
      <c r="E191" s="19" t="s">
        <v>221</v>
      </c>
      <c r="F191" s="22"/>
      <c r="G191" s="22"/>
      <c r="H191" s="22"/>
      <c r="I191" s="22"/>
      <c r="J191" s="2"/>
      <c r="K191" s="2"/>
      <c r="L191" s="2"/>
      <c r="M191" s="2"/>
      <c r="N191" s="2"/>
    </row>
    <row r="192" spans="1:14" s="26" customFormat="1" x14ac:dyDescent="0.2">
      <c r="A192" s="19"/>
      <c r="B192" s="40"/>
      <c r="C192" s="51">
        <v>2</v>
      </c>
      <c r="D192" s="22" t="s">
        <v>7</v>
      </c>
      <c r="E192" s="19" t="s">
        <v>146</v>
      </c>
      <c r="F192" s="22"/>
      <c r="G192" s="22"/>
      <c r="H192" s="22"/>
      <c r="I192" s="22"/>
      <c r="J192" s="2"/>
      <c r="K192" s="2"/>
      <c r="L192" s="2"/>
      <c r="M192" s="2"/>
      <c r="N192" s="2"/>
    </row>
    <row r="193" spans="1:14" s="26" customFormat="1" x14ac:dyDescent="0.2">
      <c r="A193" s="19"/>
      <c r="B193" s="40"/>
      <c r="C193" s="27"/>
      <c r="D193" s="22"/>
      <c r="E193" s="19"/>
      <c r="F193" s="22"/>
      <c r="G193" s="22"/>
      <c r="H193" s="22"/>
      <c r="I193" s="22"/>
      <c r="J193" s="2"/>
      <c r="K193" s="2"/>
      <c r="L193" s="2"/>
      <c r="M193" s="2"/>
      <c r="N193" s="2"/>
    </row>
    <row r="194" spans="1:14" s="26" customFormat="1" x14ac:dyDescent="0.2">
      <c r="A194" s="19"/>
      <c r="B194" s="40"/>
      <c r="C194" s="51">
        <v>55.98</v>
      </c>
      <c r="D194" s="22" t="s">
        <v>8</v>
      </c>
      <c r="E194" s="19" t="s">
        <v>222</v>
      </c>
      <c r="F194" s="22"/>
      <c r="G194" s="22"/>
      <c r="H194" s="22"/>
      <c r="I194" s="22"/>
      <c r="J194" s="2"/>
      <c r="K194" s="2"/>
      <c r="L194" s="2"/>
      <c r="M194" s="2"/>
      <c r="N194" s="2"/>
    </row>
    <row r="195" spans="1:14" s="26" customFormat="1" x14ac:dyDescent="0.2">
      <c r="A195" s="19"/>
      <c r="B195" s="40"/>
      <c r="C195" s="51">
        <f>16+6.625/12-C192</f>
        <v>14.552083333333332</v>
      </c>
      <c r="D195" s="22" t="s">
        <v>7</v>
      </c>
      <c r="E195" s="19" t="s">
        <v>146</v>
      </c>
      <c r="F195" s="22"/>
      <c r="G195" s="22"/>
      <c r="H195" s="22"/>
      <c r="I195" s="22"/>
      <c r="J195" s="2"/>
      <c r="K195" s="2"/>
      <c r="L195" s="2"/>
      <c r="M195" s="2"/>
      <c r="N195" s="2"/>
    </row>
    <row r="196" spans="1:14" s="26" customFormat="1" x14ac:dyDescent="0.2">
      <c r="A196" s="19"/>
      <c r="B196" s="40"/>
      <c r="C196" s="27">
        <f>C191*C192+C194*C195</f>
        <v>987.27762499999994</v>
      </c>
      <c r="D196" s="22" t="s">
        <v>11</v>
      </c>
      <c r="E196" s="19" t="s">
        <v>147</v>
      </c>
      <c r="F196" s="22"/>
      <c r="G196" s="22"/>
      <c r="H196" s="22"/>
      <c r="I196" s="22"/>
      <c r="J196" s="2"/>
      <c r="K196" s="2"/>
      <c r="L196" s="2"/>
      <c r="M196" s="2"/>
      <c r="N196" s="2"/>
    </row>
    <row r="197" spans="1:14" s="26" customFormat="1" x14ac:dyDescent="0.2">
      <c r="A197" s="19"/>
      <c r="B197" s="40"/>
      <c r="C197" s="27"/>
      <c r="D197" s="22"/>
      <c r="E197" s="19"/>
      <c r="F197" s="22"/>
      <c r="G197" s="22"/>
      <c r="H197" s="22"/>
      <c r="I197" s="22"/>
      <c r="J197" s="2"/>
      <c r="K197" s="2"/>
      <c r="L197" s="2"/>
      <c r="M197" s="2"/>
      <c r="N197" s="2"/>
    </row>
    <row r="198" spans="1:14" s="26" customFormat="1" x14ac:dyDescent="0.2">
      <c r="A198" s="19" t="s">
        <v>109</v>
      </c>
      <c r="B198" s="40"/>
      <c r="C198" s="51">
        <v>86.325999999999993</v>
      </c>
      <c r="D198" s="22" t="s">
        <v>7</v>
      </c>
      <c r="E198" s="19" t="s">
        <v>221</v>
      </c>
      <c r="F198" s="22"/>
      <c r="G198" s="22"/>
      <c r="H198" s="22"/>
      <c r="I198" s="22"/>
      <c r="J198" s="2"/>
      <c r="K198" s="2"/>
      <c r="L198" s="2"/>
      <c r="M198" s="2"/>
      <c r="N198" s="2"/>
    </row>
    <row r="199" spans="1:14" s="26" customFormat="1" x14ac:dyDescent="0.2">
      <c r="A199" s="19"/>
      <c r="B199" s="40"/>
      <c r="C199" s="51">
        <v>2</v>
      </c>
      <c r="D199" s="22" t="s">
        <v>7</v>
      </c>
      <c r="E199" s="19" t="s">
        <v>146</v>
      </c>
      <c r="F199" s="22"/>
      <c r="G199" s="22"/>
      <c r="H199" s="22"/>
      <c r="I199" s="22"/>
      <c r="J199" s="2"/>
      <c r="K199" s="2"/>
      <c r="L199" s="2"/>
      <c r="M199" s="2"/>
      <c r="N199" s="2"/>
    </row>
    <row r="200" spans="1:14" s="26" customFormat="1" x14ac:dyDescent="0.2">
      <c r="A200" s="19"/>
      <c r="B200" s="40"/>
      <c r="C200" s="27"/>
      <c r="D200" s="22"/>
      <c r="E200" s="19"/>
      <c r="F200" s="22"/>
      <c r="G200" s="22"/>
      <c r="H200" s="22"/>
      <c r="I200" s="22"/>
      <c r="J200" s="2"/>
      <c r="K200" s="2"/>
      <c r="L200" s="2"/>
      <c r="M200" s="2"/>
      <c r="N200" s="2"/>
    </row>
    <row r="201" spans="1:14" s="26" customFormat="1" x14ac:dyDescent="0.2">
      <c r="A201" s="19"/>
      <c r="B201" s="40"/>
      <c r="C201" s="51">
        <v>55.98</v>
      </c>
      <c r="D201" s="22" t="s">
        <v>7</v>
      </c>
      <c r="E201" s="19" t="s">
        <v>222</v>
      </c>
      <c r="F201" s="22"/>
      <c r="G201" s="22"/>
      <c r="H201" s="22"/>
      <c r="I201" s="22"/>
      <c r="J201" s="2"/>
      <c r="K201" s="2"/>
      <c r="L201" s="2"/>
      <c r="M201" s="2"/>
      <c r="N201" s="2"/>
    </row>
    <row r="202" spans="1:14" s="26" customFormat="1" x14ac:dyDescent="0.2">
      <c r="A202" s="19"/>
      <c r="B202" s="40"/>
      <c r="C202" s="51">
        <f>21+7/12-C199</f>
        <v>19.583333333333332</v>
      </c>
      <c r="D202" s="22" t="s">
        <v>7</v>
      </c>
      <c r="E202" s="19" t="s">
        <v>146</v>
      </c>
      <c r="F202" s="22"/>
      <c r="G202" s="22"/>
      <c r="H202" s="22"/>
      <c r="I202" s="22"/>
      <c r="J202" s="2"/>
      <c r="K202" s="2"/>
      <c r="L202" s="2"/>
      <c r="M202" s="2"/>
      <c r="N202" s="2"/>
    </row>
    <row r="203" spans="1:14" s="26" customFormat="1" x14ac:dyDescent="0.2">
      <c r="A203" s="19"/>
      <c r="B203" s="40"/>
      <c r="C203" s="27">
        <f>C198*C199+C201*C202</f>
        <v>1268.9269999999999</v>
      </c>
      <c r="D203" s="22" t="s">
        <v>11</v>
      </c>
      <c r="E203" s="19" t="s">
        <v>147</v>
      </c>
      <c r="F203" s="22"/>
      <c r="G203" s="22"/>
      <c r="H203" s="22"/>
      <c r="I203" s="22"/>
      <c r="J203" s="2"/>
      <c r="K203" s="2"/>
      <c r="L203" s="2"/>
      <c r="M203" s="2"/>
      <c r="N203" s="2"/>
    </row>
    <row r="204" spans="1:14" s="26" customFormat="1" x14ac:dyDescent="0.2">
      <c r="A204" s="22"/>
      <c r="B204" s="40"/>
      <c r="C204" s="27"/>
      <c r="D204" s="22"/>
      <c r="E204" s="19"/>
      <c r="F204" s="22"/>
      <c r="G204" s="22"/>
      <c r="H204" s="22"/>
      <c r="I204" s="22"/>
      <c r="J204" s="2"/>
      <c r="K204" s="2"/>
      <c r="L204" s="2"/>
      <c r="M204" s="2"/>
      <c r="N204" s="2"/>
    </row>
    <row r="205" spans="1:14" s="26" customFormat="1" x14ac:dyDescent="0.2">
      <c r="A205" s="22"/>
      <c r="B205" s="40"/>
      <c r="C205" s="56">
        <f>SUM(C196,C203)</f>
        <v>2256.2046249999999</v>
      </c>
      <c r="D205" s="22" t="s">
        <v>11</v>
      </c>
      <c r="E205" s="19" t="s">
        <v>6</v>
      </c>
      <c r="F205" s="22"/>
      <c r="G205" s="22"/>
      <c r="H205" s="22"/>
      <c r="I205" s="22"/>
      <c r="J205" s="2"/>
      <c r="K205" s="2"/>
      <c r="L205" s="2"/>
      <c r="M205" s="2"/>
      <c r="N205" s="2"/>
    </row>
    <row r="206" spans="1:14" s="24" customFormat="1" x14ac:dyDescent="0.2">
      <c r="A206" s="23"/>
      <c r="B206" s="42"/>
      <c r="C206" s="41">
        <f>C205/27</f>
        <v>83.563134259259257</v>
      </c>
      <c r="D206" s="23" t="s">
        <v>10</v>
      </c>
      <c r="E206" s="25" t="s">
        <v>6</v>
      </c>
      <c r="F206" s="23"/>
      <c r="G206" s="23"/>
      <c r="H206" s="23"/>
      <c r="I206" s="23"/>
      <c r="J206" s="2"/>
      <c r="K206" s="2"/>
      <c r="L206" s="2"/>
      <c r="M206" s="2"/>
      <c r="N206" s="2"/>
    </row>
    <row r="207" spans="1:14" s="38" customFormat="1" x14ac:dyDescent="0.2"/>
    <row r="208" spans="1:14" s="49" customFormat="1" x14ac:dyDescent="0.2">
      <c r="A208" s="35">
        <f>A29</f>
        <v>511</v>
      </c>
      <c r="B208" s="44">
        <f>B29</f>
        <v>43513</v>
      </c>
      <c r="C208" s="36">
        <f>ROUNDUP(C286,0)</f>
        <v>219</v>
      </c>
      <c r="D208" s="35" t="str">
        <f>D29</f>
        <v>CY</v>
      </c>
      <c r="E208" s="37" t="str">
        <f>E29</f>
        <v>CLASS QC1 CONCRETE WITH QC/QA, ABUTMENT INCLUDING FOOTING, AS PER PLAN</v>
      </c>
      <c r="F208" s="39"/>
      <c r="G208" s="39"/>
      <c r="H208" s="39"/>
      <c r="I208" s="39"/>
      <c r="J208" s="39"/>
      <c r="K208" s="39"/>
      <c r="L208" s="39"/>
      <c r="M208" s="39"/>
      <c r="N208" s="39"/>
    </row>
    <row r="209" spans="1:14" s="26" customFormat="1" x14ac:dyDescent="0.2">
      <c r="A209" s="19" t="s">
        <v>40</v>
      </c>
      <c r="B209" s="40"/>
      <c r="C209" s="51">
        <f>34+2/12</f>
        <v>34.166666666666664</v>
      </c>
      <c r="D209" s="22" t="s">
        <v>7</v>
      </c>
      <c r="E209" s="19" t="s">
        <v>26</v>
      </c>
      <c r="F209" s="22"/>
      <c r="G209" s="22"/>
      <c r="H209" s="22"/>
      <c r="I209" s="22"/>
      <c r="J209" s="2"/>
      <c r="K209" s="2"/>
      <c r="L209" s="2"/>
      <c r="M209" s="2"/>
      <c r="N209" s="2"/>
    </row>
    <row r="210" spans="1:14" s="26" customFormat="1" x14ac:dyDescent="0.2">
      <c r="A210" s="22"/>
      <c r="B210" s="40"/>
      <c r="C210" s="51">
        <v>4</v>
      </c>
      <c r="D210" s="22" t="s">
        <v>7</v>
      </c>
      <c r="E210" s="19" t="s">
        <v>27</v>
      </c>
      <c r="F210" s="22"/>
      <c r="G210" s="22"/>
      <c r="H210" s="22"/>
      <c r="I210" s="22"/>
      <c r="J210" s="2"/>
      <c r="K210" s="2"/>
      <c r="L210" s="2"/>
      <c r="M210" s="2"/>
      <c r="N210" s="2"/>
    </row>
    <row r="211" spans="1:14" s="26" customFormat="1" x14ac:dyDescent="0.2">
      <c r="A211" s="22"/>
      <c r="B211" s="40"/>
      <c r="C211" s="51">
        <v>3</v>
      </c>
      <c r="D211" s="22" t="s">
        <v>7</v>
      </c>
      <c r="E211" s="19" t="s">
        <v>28</v>
      </c>
      <c r="F211" s="22"/>
      <c r="G211" s="22"/>
      <c r="H211" s="22"/>
      <c r="I211" s="22"/>
      <c r="J211" s="2"/>
      <c r="K211" s="2"/>
      <c r="L211" s="2"/>
      <c r="M211" s="2"/>
      <c r="N211" s="2"/>
    </row>
    <row r="212" spans="1:14" s="26" customFormat="1" x14ac:dyDescent="0.2">
      <c r="A212" s="22"/>
      <c r="B212" s="40"/>
      <c r="C212" s="27">
        <f>C209*C210*C211</f>
        <v>410</v>
      </c>
      <c r="D212" s="22" t="s">
        <v>11</v>
      </c>
      <c r="E212" s="19" t="s">
        <v>41</v>
      </c>
      <c r="F212" s="22"/>
      <c r="G212" s="22"/>
      <c r="H212" s="22"/>
      <c r="I212" s="22"/>
      <c r="J212" s="2"/>
      <c r="K212" s="2"/>
      <c r="L212" s="2"/>
      <c r="M212" s="2"/>
      <c r="N212" s="2"/>
    </row>
    <row r="213" spans="1:14" s="26" customFormat="1" x14ac:dyDescent="0.2">
      <c r="A213" s="22"/>
      <c r="B213" s="40"/>
      <c r="C213" s="27"/>
      <c r="D213" s="22"/>
      <c r="E213" s="19"/>
      <c r="F213" s="22"/>
      <c r="G213" s="22"/>
      <c r="H213" s="22"/>
      <c r="I213" s="22"/>
      <c r="J213" s="2"/>
      <c r="K213" s="2"/>
      <c r="L213" s="2"/>
      <c r="M213" s="2"/>
      <c r="N213" s="2"/>
    </row>
    <row r="214" spans="1:14" s="26" customFormat="1" x14ac:dyDescent="0.2">
      <c r="A214" s="19" t="s">
        <v>42</v>
      </c>
      <c r="B214" s="40"/>
      <c r="C214" s="51">
        <v>31.614999999999998</v>
      </c>
      <c r="D214" s="22" t="s">
        <v>7</v>
      </c>
      <c r="E214" s="19" t="s">
        <v>31</v>
      </c>
      <c r="F214" s="22"/>
      <c r="G214" s="22"/>
      <c r="H214" s="22"/>
      <c r="I214" s="22"/>
      <c r="J214" s="2"/>
      <c r="K214" s="2"/>
      <c r="L214" s="2"/>
      <c r="M214" s="2"/>
      <c r="N214" s="2"/>
    </row>
    <row r="215" spans="1:14" s="26" customFormat="1" x14ac:dyDescent="0.2">
      <c r="A215" s="19" t="s">
        <v>66</v>
      </c>
      <c r="B215" s="40"/>
      <c r="C215" s="51">
        <v>3</v>
      </c>
      <c r="D215" s="22" t="s">
        <v>7</v>
      </c>
      <c r="E215" s="19" t="s">
        <v>58</v>
      </c>
      <c r="F215" s="22"/>
      <c r="G215" s="22"/>
      <c r="H215" s="22"/>
      <c r="I215" s="22"/>
      <c r="J215" s="2"/>
      <c r="K215" s="2"/>
      <c r="L215" s="2"/>
      <c r="M215" s="2"/>
      <c r="N215" s="2"/>
    </row>
    <row r="216" spans="1:14" s="26" customFormat="1" x14ac:dyDescent="0.2">
      <c r="A216" s="22"/>
      <c r="B216" s="40"/>
      <c r="C216" s="51">
        <f>8.5</f>
        <v>8.5</v>
      </c>
      <c r="D216" s="22" t="s">
        <v>7</v>
      </c>
      <c r="E216" s="19" t="s">
        <v>111</v>
      </c>
      <c r="F216" s="22"/>
      <c r="G216" s="22"/>
      <c r="H216" s="22"/>
      <c r="I216" s="22"/>
      <c r="J216" s="2"/>
      <c r="K216" s="2"/>
      <c r="L216" s="2"/>
      <c r="M216" s="2"/>
      <c r="N216" s="2"/>
    </row>
    <row r="217" spans="1:14" s="26" customFormat="1" x14ac:dyDescent="0.2">
      <c r="A217" s="22"/>
      <c r="B217" s="40"/>
      <c r="C217" s="27">
        <f>ROUND(C214*(C215*C216),2)</f>
        <v>806.18</v>
      </c>
      <c r="D217" s="22" t="s">
        <v>11</v>
      </c>
      <c r="E217" s="19" t="s">
        <v>43</v>
      </c>
      <c r="F217" s="22"/>
      <c r="G217" s="22"/>
      <c r="H217" s="22"/>
      <c r="I217" s="22"/>
      <c r="J217" s="2"/>
      <c r="K217" s="2"/>
      <c r="L217" s="2"/>
      <c r="M217" s="2"/>
      <c r="N217" s="2"/>
    </row>
    <row r="218" spans="1:14" s="26" customFormat="1" x14ac:dyDescent="0.2">
      <c r="A218" s="22"/>
      <c r="B218" s="40"/>
      <c r="C218" s="27"/>
      <c r="D218" s="22"/>
      <c r="E218" s="19"/>
      <c r="F218" s="22"/>
      <c r="G218" s="22"/>
      <c r="H218" s="22"/>
      <c r="I218" s="22"/>
      <c r="J218" s="2"/>
      <c r="K218" s="2"/>
      <c r="L218" s="2"/>
      <c r="M218" s="2"/>
      <c r="N218" s="2"/>
    </row>
    <row r="219" spans="1:14" s="26" customFormat="1" x14ac:dyDescent="0.2">
      <c r="A219" s="19" t="s">
        <v>210</v>
      </c>
      <c r="B219" s="40"/>
      <c r="C219" s="51">
        <v>27</v>
      </c>
      <c r="D219" s="22" t="s">
        <v>7</v>
      </c>
      <c r="E219" s="19" t="s">
        <v>212</v>
      </c>
      <c r="F219" s="22"/>
      <c r="G219" s="22"/>
      <c r="H219" s="22"/>
      <c r="I219" s="22"/>
      <c r="J219" s="22"/>
      <c r="K219" s="22"/>
      <c r="L219" s="22"/>
      <c r="M219" s="22"/>
      <c r="N219" s="22"/>
    </row>
    <row r="220" spans="1:14" s="26" customFormat="1" x14ac:dyDescent="0.2">
      <c r="A220" s="22"/>
      <c r="B220" s="40"/>
      <c r="C220" s="51">
        <v>2</v>
      </c>
      <c r="D220" s="22" t="s">
        <v>7</v>
      </c>
      <c r="E220" s="19" t="s">
        <v>213</v>
      </c>
      <c r="F220" s="22"/>
      <c r="G220" s="22"/>
      <c r="H220" s="22"/>
      <c r="I220" s="22"/>
      <c r="J220" s="22"/>
      <c r="K220" s="22"/>
      <c r="L220" s="22"/>
      <c r="M220" s="22"/>
      <c r="N220" s="22"/>
    </row>
    <row r="221" spans="1:14" s="26" customFormat="1" x14ac:dyDescent="0.2">
      <c r="A221" s="22"/>
      <c r="B221" s="40"/>
      <c r="C221" s="51">
        <f>((5+4.125/12)+(633-629.16+1))/2</f>
        <v>5.0918750000000159</v>
      </c>
      <c r="D221" s="22" t="s">
        <v>7</v>
      </c>
      <c r="E221" s="19" t="s">
        <v>214</v>
      </c>
      <c r="F221" s="22"/>
      <c r="G221" s="22"/>
      <c r="H221" s="22"/>
      <c r="I221" s="22"/>
      <c r="J221" s="22"/>
      <c r="K221" s="22"/>
      <c r="L221" s="22"/>
      <c r="M221" s="22"/>
      <c r="N221" s="22"/>
    </row>
    <row r="222" spans="1:14" s="26" customFormat="1" x14ac:dyDescent="0.2">
      <c r="A222" s="22"/>
      <c r="B222" s="40"/>
      <c r="C222" s="51">
        <f>((20.5-1.5)+(20.5-0.5+8))/2</f>
        <v>23.5</v>
      </c>
      <c r="D222" s="22" t="s">
        <v>7</v>
      </c>
      <c r="E222" s="19" t="s">
        <v>215</v>
      </c>
      <c r="F222" s="22"/>
      <c r="G222" s="22"/>
      <c r="H222" s="22"/>
      <c r="I222" s="22"/>
      <c r="J222" s="22"/>
      <c r="K222" s="22"/>
      <c r="L222" s="22"/>
      <c r="M222" s="22"/>
      <c r="N222" s="22"/>
    </row>
    <row r="223" spans="1:14" s="26" customFormat="1" x14ac:dyDescent="0.2">
      <c r="A223" s="22"/>
      <c r="B223" s="40"/>
      <c r="C223" s="51">
        <v>2</v>
      </c>
      <c r="D223" s="22" t="s">
        <v>7</v>
      </c>
      <c r="E223" s="19" t="s">
        <v>216</v>
      </c>
      <c r="F223" s="22"/>
      <c r="G223" s="22"/>
      <c r="H223" s="22"/>
      <c r="I223" s="22"/>
      <c r="J223" s="22"/>
      <c r="K223" s="22"/>
      <c r="L223" s="22"/>
      <c r="M223" s="22"/>
      <c r="N223" s="22"/>
    </row>
    <row r="224" spans="1:14" s="26" customFormat="1" x14ac:dyDescent="0.2">
      <c r="A224" s="22"/>
      <c r="B224" s="40"/>
      <c r="C224" s="51">
        <f>4+1/12</f>
        <v>4.083333333333333</v>
      </c>
      <c r="D224" s="22" t="s">
        <v>7</v>
      </c>
      <c r="E224" s="19" t="s">
        <v>217</v>
      </c>
      <c r="F224" s="22"/>
      <c r="G224" s="22"/>
      <c r="H224" s="22"/>
      <c r="I224" s="22"/>
      <c r="J224" s="22"/>
      <c r="K224" s="22"/>
      <c r="L224" s="22"/>
      <c r="M224" s="22"/>
      <c r="N224" s="22"/>
    </row>
    <row r="225" spans="1:14" s="26" customFormat="1" x14ac:dyDescent="0.2">
      <c r="A225" s="22"/>
      <c r="B225" s="40"/>
      <c r="C225" s="51">
        <f>20.5-1.5</f>
        <v>19</v>
      </c>
      <c r="D225" s="22" t="s">
        <v>7</v>
      </c>
      <c r="E225" s="19" t="s">
        <v>218</v>
      </c>
      <c r="F225" s="22"/>
      <c r="G225" s="22"/>
      <c r="H225" s="22"/>
      <c r="I225" s="22"/>
      <c r="J225" s="22"/>
      <c r="K225" s="22"/>
      <c r="L225" s="22"/>
      <c r="M225" s="22"/>
      <c r="N225" s="22"/>
    </row>
    <row r="226" spans="1:14" s="26" customFormat="1" x14ac:dyDescent="0.2">
      <c r="A226" s="22"/>
      <c r="B226" s="40"/>
      <c r="C226" s="51">
        <v>2</v>
      </c>
      <c r="D226" s="22" t="s">
        <v>7</v>
      </c>
      <c r="E226" s="19" t="s">
        <v>219</v>
      </c>
      <c r="F226" s="22"/>
      <c r="G226" s="22"/>
      <c r="H226" s="22"/>
      <c r="I226" s="22"/>
      <c r="J226" s="22"/>
      <c r="K226" s="22"/>
      <c r="L226" s="22"/>
      <c r="M226" s="22"/>
      <c r="N226" s="22"/>
    </row>
    <row r="227" spans="1:14" s="26" customFormat="1" x14ac:dyDescent="0.2">
      <c r="A227" s="22"/>
      <c r="B227" s="40"/>
      <c r="C227" s="51">
        <f>8+7/12</f>
        <v>8.5833333333333339</v>
      </c>
      <c r="D227" s="22" t="s">
        <v>7</v>
      </c>
      <c r="E227" s="19" t="s">
        <v>220</v>
      </c>
      <c r="F227" s="22"/>
      <c r="G227" s="22"/>
      <c r="H227" s="22"/>
      <c r="I227" s="22"/>
      <c r="J227" s="22"/>
      <c r="K227" s="22"/>
      <c r="L227" s="22"/>
      <c r="M227" s="22"/>
      <c r="N227" s="22"/>
    </row>
    <row r="228" spans="1:14" s="26" customFormat="1" x14ac:dyDescent="0.2">
      <c r="A228" s="22"/>
      <c r="B228" s="40"/>
      <c r="C228" s="51">
        <f>20.5-4</f>
        <v>16.5</v>
      </c>
      <c r="D228" s="22" t="s">
        <v>7</v>
      </c>
      <c r="E228" s="19" t="s">
        <v>223</v>
      </c>
      <c r="F228" s="22"/>
      <c r="G228" s="22"/>
      <c r="H228" s="22"/>
      <c r="I228" s="22"/>
      <c r="J228" s="22"/>
      <c r="K228" s="22"/>
      <c r="L228" s="22"/>
      <c r="M228" s="22"/>
      <c r="N228" s="22"/>
    </row>
    <row r="229" spans="1:14" s="26" customFormat="1" x14ac:dyDescent="0.2">
      <c r="A229" s="22"/>
      <c r="B229" s="40"/>
      <c r="C229" s="51">
        <v>4</v>
      </c>
      <c r="D229" s="22" t="s">
        <v>7</v>
      </c>
      <c r="E229" s="19" t="s">
        <v>224</v>
      </c>
      <c r="F229" s="22"/>
      <c r="G229" s="22"/>
      <c r="H229" s="22"/>
      <c r="I229" s="22"/>
      <c r="J229" s="22"/>
      <c r="K229" s="22"/>
      <c r="L229" s="22"/>
      <c r="M229" s="22"/>
      <c r="N229" s="22"/>
    </row>
    <row r="230" spans="1:14" s="26" customFormat="1" x14ac:dyDescent="0.2">
      <c r="A230" s="22"/>
      <c r="B230" s="40"/>
      <c r="C230" s="51">
        <v>3</v>
      </c>
      <c r="D230" s="22" t="s">
        <v>7</v>
      </c>
      <c r="E230" s="19" t="s">
        <v>225</v>
      </c>
      <c r="F230" s="22"/>
      <c r="G230" s="22"/>
      <c r="H230" s="22"/>
      <c r="I230" s="22"/>
      <c r="J230" s="22"/>
      <c r="K230" s="22"/>
      <c r="L230" s="22"/>
      <c r="M230" s="22"/>
      <c r="N230" s="22"/>
    </row>
    <row r="231" spans="1:14" s="26" customFormat="1" x14ac:dyDescent="0.2">
      <c r="A231" s="22"/>
      <c r="B231" s="40"/>
      <c r="C231" s="27">
        <f>(C219*C220*C221)+(C222*C223*C224)+(C225*C226*C227)+(C228*C229*C230)</f>
        <v>991.04458333333423</v>
      </c>
      <c r="D231" s="22" t="s">
        <v>11</v>
      </c>
      <c r="E231" s="19" t="s">
        <v>134</v>
      </c>
      <c r="F231" s="22"/>
      <c r="G231" s="22"/>
      <c r="H231" s="22"/>
      <c r="I231" s="22"/>
      <c r="J231" s="22"/>
      <c r="K231" s="22"/>
      <c r="L231" s="22"/>
      <c r="M231" s="22"/>
      <c r="N231" s="22"/>
    </row>
    <row r="232" spans="1:14" s="26" customFormat="1" x14ac:dyDescent="0.2">
      <c r="A232" s="22"/>
      <c r="B232" s="40"/>
      <c r="C232" s="27"/>
      <c r="D232" s="22"/>
      <c r="E232" s="19"/>
      <c r="F232" s="22"/>
      <c r="G232" s="22"/>
      <c r="H232" s="22"/>
      <c r="I232" s="22"/>
      <c r="J232" s="22"/>
      <c r="K232" s="22"/>
      <c r="L232" s="22"/>
      <c r="M232" s="22"/>
      <c r="N232" s="22"/>
    </row>
    <row r="233" spans="1:14" s="26" customFormat="1" x14ac:dyDescent="0.2">
      <c r="A233" s="19" t="s">
        <v>210</v>
      </c>
      <c r="B233" s="40"/>
      <c r="C233" s="51">
        <f>26+8/12</f>
        <v>26.666666666666668</v>
      </c>
      <c r="D233" s="22" t="s">
        <v>7</v>
      </c>
      <c r="E233" s="19" t="s">
        <v>212</v>
      </c>
      <c r="F233" s="22"/>
      <c r="G233" s="22"/>
      <c r="H233" s="22"/>
      <c r="I233" s="22"/>
      <c r="J233" s="22"/>
      <c r="K233" s="22"/>
      <c r="L233" s="22"/>
      <c r="M233" s="22"/>
      <c r="N233" s="22"/>
    </row>
    <row r="234" spans="1:14" s="26" customFormat="1" x14ac:dyDescent="0.2">
      <c r="A234" s="22"/>
      <c r="B234" s="40"/>
      <c r="C234" s="51">
        <v>2</v>
      </c>
      <c r="D234" s="22" t="s">
        <v>7</v>
      </c>
      <c r="E234" s="19" t="s">
        <v>213</v>
      </c>
      <c r="F234" s="22"/>
      <c r="G234" s="22"/>
      <c r="H234" s="22"/>
      <c r="I234" s="22"/>
      <c r="J234" s="22"/>
      <c r="K234" s="22"/>
      <c r="L234" s="22"/>
      <c r="M234" s="22"/>
      <c r="N234" s="22"/>
    </row>
    <row r="235" spans="1:14" s="26" customFormat="1" x14ac:dyDescent="0.2">
      <c r="A235" s="22"/>
      <c r="B235" s="40"/>
      <c r="C235" s="51">
        <f>((6.75)+(634.74-629.16+11))/2</f>
        <v>11.66500000000002</v>
      </c>
      <c r="D235" s="22" t="s">
        <v>7</v>
      </c>
      <c r="E235" s="19" t="s">
        <v>214</v>
      </c>
      <c r="F235" s="22"/>
      <c r="G235" s="22"/>
      <c r="H235" s="22"/>
      <c r="I235" s="22"/>
      <c r="J235" s="22"/>
      <c r="K235" s="22"/>
      <c r="L235" s="22"/>
      <c r="M235" s="22"/>
      <c r="N235" s="22"/>
    </row>
    <row r="236" spans="1:14" s="26" customFormat="1" x14ac:dyDescent="0.2">
      <c r="A236" s="22"/>
      <c r="B236" s="40"/>
      <c r="C236" s="51">
        <f>((20+2/12-1.5)+(20+2/12-0.5+2+5/12))/2</f>
        <v>20.375</v>
      </c>
      <c r="D236" s="22" t="s">
        <v>7</v>
      </c>
      <c r="E236" s="19" t="s">
        <v>215</v>
      </c>
      <c r="F236" s="22"/>
      <c r="G236" s="22"/>
      <c r="H236" s="22"/>
      <c r="I236" s="22"/>
      <c r="J236" s="22"/>
      <c r="K236" s="22"/>
      <c r="L236" s="22"/>
      <c r="M236" s="22"/>
      <c r="N236" s="22"/>
    </row>
    <row r="237" spans="1:14" s="26" customFormat="1" x14ac:dyDescent="0.2">
      <c r="A237" s="22"/>
      <c r="B237" s="40"/>
      <c r="C237" s="51">
        <v>2</v>
      </c>
      <c r="D237" s="22" t="s">
        <v>7</v>
      </c>
      <c r="E237" s="19" t="s">
        <v>216</v>
      </c>
      <c r="F237" s="22"/>
      <c r="G237" s="22"/>
      <c r="H237" s="22"/>
      <c r="I237" s="22"/>
      <c r="J237" s="22"/>
      <c r="K237" s="22"/>
      <c r="L237" s="22"/>
      <c r="M237" s="22"/>
      <c r="N237" s="22"/>
    </row>
    <row r="238" spans="1:14" s="26" customFormat="1" x14ac:dyDescent="0.2">
      <c r="A238" s="22"/>
      <c r="B238" s="40"/>
      <c r="C238" s="51">
        <f>1+2.5/12</f>
        <v>1.2083333333333333</v>
      </c>
      <c r="D238" s="22" t="s">
        <v>7</v>
      </c>
      <c r="E238" s="19" t="s">
        <v>217</v>
      </c>
      <c r="F238" s="22"/>
      <c r="G238" s="22"/>
      <c r="H238" s="22"/>
      <c r="I238" s="22"/>
      <c r="J238" s="22"/>
      <c r="K238" s="22"/>
      <c r="L238" s="22"/>
      <c r="M238" s="22"/>
      <c r="N238" s="22"/>
    </row>
    <row r="239" spans="1:14" s="26" customFormat="1" x14ac:dyDescent="0.2">
      <c r="A239" s="22"/>
      <c r="B239" s="40"/>
      <c r="C239" s="51">
        <f>20+2/12-1.5</f>
        <v>18.666666666666668</v>
      </c>
      <c r="D239" s="22" t="s">
        <v>7</v>
      </c>
      <c r="E239" s="19" t="s">
        <v>218</v>
      </c>
      <c r="F239" s="22"/>
      <c r="G239" s="22"/>
      <c r="H239" s="22"/>
      <c r="I239" s="22"/>
      <c r="J239" s="22"/>
      <c r="K239" s="22"/>
      <c r="L239" s="22"/>
      <c r="M239" s="22"/>
      <c r="N239" s="22"/>
    </row>
    <row r="240" spans="1:14" s="26" customFormat="1" x14ac:dyDescent="0.2">
      <c r="A240" s="22"/>
      <c r="B240" s="40"/>
      <c r="C240" s="51">
        <v>2</v>
      </c>
      <c r="D240" s="22" t="s">
        <v>7</v>
      </c>
      <c r="E240" s="19" t="s">
        <v>219</v>
      </c>
      <c r="F240" s="22"/>
      <c r="G240" s="22"/>
      <c r="H240" s="22"/>
      <c r="I240" s="22"/>
      <c r="J240" s="22"/>
      <c r="K240" s="22"/>
      <c r="L240" s="22"/>
      <c r="M240" s="22"/>
      <c r="N240" s="22"/>
    </row>
    <row r="241" spans="1:14" s="26" customFormat="1" x14ac:dyDescent="0.2">
      <c r="A241" s="22"/>
      <c r="B241" s="40"/>
      <c r="C241" s="51">
        <f>11+6.5/12</f>
        <v>11.541666666666666</v>
      </c>
      <c r="D241" s="22" t="s">
        <v>7</v>
      </c>
      <c r="E241" s="19" t="s">
        <v>220</v>
      </c>
      <c r="F241" s="22"/>
      <c r="G241" s="22"/>
      <c r="H241" s="22"/>
      <c r="I241" s="22"/>
      <c r="J241" s="22"/>
      <c r="K241" s="22"/>
      <c r="L241" s="22"/>
      <c r="M241" s="22"/>
      <c r="N241" s="22"/>
    </row>
    <row r="242" spans="1:14" s="26" customFormat="1" x14ac:dyDescent="0.2">
      <c r="A242" s="22"/>
      <c r="B242" s="40"/>
      <c r="C242" s="51">
        <f>20+2/12-4</f>
        <v>16.166666666666668</v>
      </c>
      <c r="D242" s="22" t="s">
        <v>7</v>
      </c>
      <c r="E242" s="19" t="s">
        <v>223</v>
      </c>
      <c r="F242" s="22"/>
      <c r="G242" s="22"/>
      <c r="H242" s="22"/>
      <c r="I242" s="22"/>
      <c r="J242" s="22"/>
      <c r="K242" s="22"/>
      <c r="L242" s="22"/>
      <c r="M242" s="22"/>
      <c r="N242" s="22"/>
    </row>
    <row r="243" spans="1:14" s="26" customFormat="1" x14ac:dyDescent="0.2">
      <c r="A243" s="22"/>
      <c r="B243" s="40"/>
      <c r="C243" s="51">
        <v>4</v>
      </c>
      <c r="D243" s="22" t="s">
        <v>7</v>
      </c>
      <c r="E243" s="19" t="s">
        <v>224</v>
      </c>
      <c r="F243" s="22"/>
      <c r="G243" s="22"/>
      <c r="H243" s="22"/>
      <c r="I243" s="22"/>
      <c r="J243" s="22"/>
      <c r="K243" s="22"/>
      <c r="L243" s="22"/>
      <c r="M243" s="22"/>
      <c r="N243" s="22"/>
    </row>
    <row r="244" spans="1:14" s="26" customFormat="1" x14ac:dyDescent="0.2">
      <c r="A244" s="22"/>
      <c r="B244" s="40"/>
      <c r="C244" s="51">
        <v>3</v>
      </c>
      <c r="D244" s="22" t="s">
        <v>7</v>
      </c>
      <c r="E244" s="19" t="s">
        <v>225</v>
      </c>
      <c r="F244" s="22"/>
      <c r="G244" s="22"/>
      <c r="H244" s="22"/>
      <c r="I244" s="22"/>
      <c r="J244" s="22"/>
      <c r="K244" s="22"/>
      <c r="L244" s="22"/>
      <c r="M244" s="22"/>
      <c r="N244" s="22"/>
    </row>
    <row r="245" spans="1:14" s="26" customFormat="1" x14ac:dyDescent="0.2">
      <c r="A245" s="22"/>
      <c r="B245" s="40"/>
      <c r="C245" s="27">
        <f>(C233*C234*C235)+(C236*C237*C238)+(C239*C240*C241)+(C242*C243*C244)</f>
        <v>1296.2618055555567</v>
      </c>
      <c r="D245" s="22" t="s">
        <v>11</v>
      </c>
      <c r="E245" s="19" t="s">
        <v>134</v>
      </c>
      <c r="F245" s="22"/>
      <c r="G245" s="22"/>
      <c r="H245" s="22"/>
      <c r="I245" s="22"/>
      <c r="J245" s="22"/>
      <c r="K245" s="22"/>
      <c r="L245" s="22"/>
      <c r="M245" s="22"/>
      <c r="N245" s="22"/>
    </row>
    <row r="246" spans="1:14" s="26" customFormat="1" x14ac:dyDescent="0.2">
      <c r="A246" s="22"/>
      <c r="B246" s="40"/>
      <c r="C246" s="27"/>
      <c r="D246" s="22"/>
      <c r="E246" s="19"/>
      <c r="F246" s="22"/>
      <c r="G246" s="22"/>
      <c r="H246" s="22"/>
      <c r="I246" s="22"/>
      <c r="J246" s="22"/>
      <c r="K246" s="22"/>
      <c r="L246" s="22"/>
      <c r="M246" s="22"/>
      <c r="N246" s="22"/>
    </row>
    <row r="247" spans="1:14" s="26" customFormat="1" x14ac:dyDescent="0.2">
      <c r="A247" s="19" t="s">
        <v>45</v>
      </c>
      <c r="B247" s="40"/>
      <c r="C247" s="51">
        <v>31.577000000000002</v>
      </c>
      <c r="D247" s="22" t="s">
        <v>7</v>
      </c>
      <c r="E247" s="19" t="s">
        <v>31</v>
      </c>
      <c r="F247" s="22"/>
      <c r="G247" s="22"/>
      <c r="H247" s="22"/>
      <c r="I247" s="22"/>
      <c r="J247" s="2"/>
      <c r="K247" s="2"/>
      <c r="L247" s="2"/>
      <c r="M247" s="2"/>
      <c r="N247" s="2"/>
    </row>
    <row r="248" spans="1:14" s="26" customFormat="1" x14ac:dyDescent="0.2">
      <c r="A248" s="19" t="s">
        <v>66</v>
      </c>
      <c r="B248" s="40"/>
      <c r="C248" s="51">
        <v>3</v>
      </c>
      <c r="D248" s="22" t="s">
        <v>7</v>
      </c>
      <c r="E248" s="19" t="s">
        <v>67</v>
      </c>
      <c r="F248" s="22"/>
      <c r="G248" s="22"/>
      <c r="H248" s="22"/>
      <c r="I248" s="22"/>
      <c r="J248" s="2"/>
      <c r="K248" s="2"/>
      <c r="L248" s="2"/>
      <c r="M248" s="2"/>
      <c r="N248" s="2"/>
    </row>
    <row r="249" spans="1:14" s="26" customFormat="1" x14ac:dyDescent="0.2">
      <c r="A249" s="22"/>
      <c r="B249" s="40"/>
      <c r="C249" s="51">
        <v>6.75</v>
      </c>
      <c r="D249" s="22" t="s">
        <v>7</v>
      </c>
      <c r="E249" s="19" t="s">
        <v>111</v>
      </c>
      <c r="F249" s="22"/>
      <c r="G249" s="22"/>
      <c r="H249" s="22"/>
      <c r="I249" s="22"/>
      <c r="J249" s="2"/>
      <c r="K249" s="2"/>
      <c r="L249" s="2"/>
      <c r="M249" s="2"/>
      <c r="N249" s="2"/>
    </row>
    <row r="250" spans="1:14" s="26" customFormat="1" ht="12.75" customHeight="1" x14ac:dyDescent="0.2">
      <c r="A250" s="22"/>
      <c r="B250" s="40"/>
      <c r="C250" s="27">
        <f>ROUND(C247*(C248*C249),2)</f>
        <v>639.42999999999995</v>
      </c>
      <c r="D250" s="22" t="s">
        <v>11</v>
      </c>
      <c r="E250" s="19" t="s">
        <v>43</v>
      </c>
      <c r="F250" s="22"/>
      <c r="G250" s="22"/>
      <c r="H250" s="22"/>
      <c r="I250" s="22"/>
      <c r="J250" s="2"/>
      <c r="K250" s="2"/>
      <c r="L250" s="2"/>
      <c r="M250" s="2"/>
      <c r="N250" s="2"/>
    </row>
    <row r="251" spans="1:14" s="26" customFormat="1" ht="12.75" customHeight="1" x14ac:dyDescent="0.2">
      <c r="A251" s="22"/>
      <c r="B251" s="40"/>
      <c r="C251" s="27"/>
      <c r="D251" s="22"/>
      <c r="E251" s="19"/>
      <c r="F251" s="22"/>
      <c r="G251" s="22"/>
      <c r="H251" s="22"/>
      <c r="I251" s="22"/>
      <c r="J251" s="2"/>
      <c r="K251" s="2"/>
      <c r="L251" s="2"/>
      <c r="M251" s="2"/>
      <c r="N251" s="2"/>
    </row>
    <row r="252" spans="1:14" s="26" customFormat="1" x14ac:dyDescent="0.2">
      <c r="A252" s="19" t="s">
        <v>44</v>
      </c>
      <c r="B252" s="40"/>
      <c r="C252" s="51">
        <f>34+2/12</f>
        <v>34.166666666666664</v>
      </c>
      <c r="D252" s="22" t="s">
        <v>7</v>
      </c>
      <c r="E252" s="19" t="s">
        <v>26</v>
      </c>
      <c r="F252" s="22"/>
      <c r="G252" s="22"/>
      <c r="H252" s="22"/>
      <c r="I252" s="22"/>
      <c r="J252" s="2"/>
      <c r="K252" s="2"/>
      <c r="L252" s="2"/>
      <c r="M252" s="2"/>
      <c r="N252" s="2"/>
    </row>
    <row r="253" spans="1:14" s="26" customFormat="1" x14ac:dyDescent="0.2">
      <c r="A253" s="22"/>
      <c r="B253" s="40"/>
      <c r="C253" s="51">
        <v>4</v>
      </c>
      <c r="D253" s="22" t="s">
        <v>7</v>
      </c>
      <c r="E253" s="19" t="s">
        <v>27</v>
      </c>
      <c r="F253" s="22"/>
      <c r="G253" s="22"/>
      <c r="H253" s="22"/>
      <c r="I253" s="22"/>
      <c r="J253" s="2"/>
      <c r="K253" s="2"/>
      <c r="L253" s="2"/>
      <c r="M253" s="2"/>
      <c r="N253" s="2"/>
    </row>
    <row r="254" spans="1:14" s="26" customFormat="1" x14ac:dyDescent="0.2">
      <c r="A254" s="22"/>
      <c r="B254" s="40"/>
      <c r="C254" s="51">
        <v>3</v>
      </c>
      <c r="D254" s="22" t="s">
        <v>7</v>
      </c>
      <c r="E254" s="19" t="s">
        <v>28</v>
      </c>
      <c r="F254" s="22"/>
      <c r="G254" s="22"/>
      <c r="H254" s="22"/>
      <c r="I254" s="27"/>
      <c r="J254" s="2"/>
      <c r="K254" s="2"/>
      <c r="L254" s="2"/>
      <c r="M254" s="2"/>
      <c r="N254" s="2"/>
    </row>
    <row r="255" spans="1:14" s="26" customFormat="1" x14ac:dyDescent="0.2">
      <c r="A255" s="22"/>
      <c r="B255" s="40"/>
      <c r="C255" s="27">
        <f>C252*C253*C254</f>
        <v>410</v>
      </c>
      <c r="D255" s="22" t="s">
        <v>11</v>
      </c>
      <c r="E255" s="19" t="s">
        <v>41</v>
      </c>
      <c r="F255" s="22"/>
      <c r="G255" s="22"/>
      <c r="H255" s="22"/>
      <c r="I255" s="22"/>
      <c r="J255" s="2"/>
      <c r="K255" s="2"/>
      <c r="L255" s="2"/>
      <c r="M255" s="2"/>
      <c r="N255" s="2"/>
    </row>
    <row r="256" spans="1:14" s="26" customFormat="1" x14ac:dyDescent="0.2">
      <c r="A256" s="22"/>
      <c r="B256" s="40"/>
      <c r="C256" s="27"/>
      <c r="D256" s="22"/>
      <c r="E256" s="19"/>
      <c r="F256" s="22"/>
      <c r="G256" s="22"/>
      <c r="H256" s="22"/>
      <c r="I256" s="22"/>
      <c r="J256" s="2"/>
      <c r="K256" s="2"/>
      <c r="L256" s="2"/>
      <c r="M256" s="2"/>
      <c r="N256" s="2"/>
    </row>
    <row r="257" spans="1:14" s="26" customFormat="1" x14ac:dyDescent="0.2">
      <c r="A257" s="19" t="s">
        <v>211</v>
      </c>
      <c r="B257" s="40"/>
      <c r="C257" s="51">
        <f>25+8/12</f>
        <v>25.666666666666668</v>
      </c>
      <c r="D257" s="22" t="s">
        <v>7</v>
      </c>
      <c r="E257" s="19" t="s">
        <v>212</v>
      </c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1:14" s="26" customFormat="1" x14ac:dyDescent="0.2">
      <c r="A258" s="22"/>
      <c r="B258" s="40"/>
      <c r="C258" s="51">
        <v>1.5</v>
      </c>
      <c r="D258" s="22" t="s">
        <v>7</v>
      </c>
      <c r="E258" s="19" t="s">
        <v>213</v>
      </c>
      <c r="F258" s="22"/>
      <c r="G258" s="22"/>
      <c r="H258" s="22"/>
      <c r="I258" s="22"/>
      <c r="J258" s="22"/>
      <c r="K258" s="22"/>
      <c r="L258" s="22"/>
      <c r="M258" s="22"/>
      <c r="N258" s="22"/>
    </row>
    <row r="259" spans="1:14" s="26" customFormat="1" x14ac:dyDescent="0.2">
      <c r="A259" s="22"/>
      <c r="B259" s="40"/>
      <c r="C259" s="51">
        <f>((4+10.625/12)+(631.65-627.48+1))/2</f>
        <v>5.0277083333333135</v>
      </c>
      <c r="D259" s="22" t="s">
        <v>7</v>
      </c>
      <c r="E259" s="19" t="s">
        <v>214</v>
      </c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s="26" customFormat="1" x14ac:dyDescent="0.2">
      <c r="A260" s="22"/>
      <c r="B260" s="40"/>
      <c r="C260" s="51">
        <f>((19+2/12-1.5)+(19+2/12-0.5+8))/2</f>
        <v>22.166666666666668</v>
      </c>
      <c r="D260" s="22" t="s">
        <v>7</v>
      </c>
      <c r="E260" s="19" t="s">
        <v>215</v>
      </c>
      <c r="F260" s="22"/>
      <c r="G260" s="22"/>
      <c r="H260" s="22"/>
      <c r="I260" s="22"/>
      <c r="J260" s="22"/>
      <c r="K260" s="22"/>
      <c r="L260" s="22"/>
      <c r="M260" s="22"/>
      <c r="N260" s="22"/>
    </row>
    <row r="261" spans="1:14" s="26" customFormat="1" x14ac:dyDescent="0.2">
      <c r="A261" s="22"/>
      <c r="B261" s="40"/>
      <c r="C261" s="51">
        <v>1.5</v>
      </c>
      <c r="D261" s="22" t="s">
        <v>7</v>
      </c>
      <c r="E261" s="19" t="s">
        <v>216</v>
      </c>
      <c r="F261" s="22"/>
      <c r="G261" s="22"/>
      <c r="H261" s="22"/>
      <c r="I261" s="22"/>
      <c r="J261" s="22"/>
      <c r="K261" s="22"/>
      <c r="L261" s="22"/>
      <c r="M261" s="22"/>
      <c r="N261" s="22"/>
    </row>
    <row r="262" spans="1:14" s="26" customFormat="1" x14ac:dyDescent="0.2">
      <c r="A262" s="22"/>
      <c r="B262" s="40"/>
      <c r="C262" s="51">
        <f>1+10.75/12</f>
        <v>1.8958333333333335</v>
      </c>
      <c r="D262" s="22" t="s">
        <v>7</v>
      </c>
      <c r="E262" s="19" t="s">
        <v>217</v>
      </c>
      <c r="F262" s="22"/>
      <c r="G262" s="22"/>
      <c r="H262" s="22"/>
      <c r="I262" s="22"/>
      <c r="J262" s="22"/>
      <c r="K262" s="22"/>
      <c r="L262" s="22"/>
      <c r="M262" s="22"/>
      <c r="N262" s="22"/>
    </row>
    <row r="263" spans="1:14" s="26" customFormat="1" x14ac:dyDescent="0.2">
      <c r="A263" s="22"/>
      <c r="B263" s="40"/>
      <c r="C263" s="51">
        <f>19+2/12-1.5</f>
        <v>17.666666666666668</v>
      </c>
      <c r="D263" s="22" t="s">
        <v>7</v>
      </c>
      <c r="E263" s="19" t="s">
        <v>218</v>
      </c>
      <c r="F263" s="22"/>
      <c r="G263" s="22"/>
      <c r="H263" s="22"/>
      <c r="I263" s="22"/>
      <c r="J263" s="22"/>
      <c r="K263" s="22"/>
      <c r="L263" s="22"/>
      <c r="M263" s="22"/>
      <c r="N263" s="22"/>
    </row>
    <row r="264" spans="1:14" s="26" customFormat="1" x14ac:dyDescent="0.2">
      <c r="A264" s="22"/>
      <c r="B264" s="40"/>
      <c r="C264" s="51">
        <v>1.5</v>
      </c>
      <c r="D264" s="22" t="s">
        <v>7</v>
      </c>
      <c r="E264" s="19" t="s">
        <v>219</v>
      </c>
      <c r="F264" s="22"/>
      <c r="G264" s="22"/>
      <c r="H264" s="22"/>
      <c r="I264" s="22"/>
      <c r="J264" s="22"/>
      <c r="K264" s="22"/>
      <c r="L264" s="22"/>
      <c r="M264" s="22"/>
      <c r="N264" s="22"/>
    </row>
    <row r="265" spans="1:14" s="26" customFormat="1" x14ac:dyDescent="0.2">
      <c r="A265" s="22"/>
      <c r="B265" s="40"/>
      <c r="C265" s="51">
        <f>7+7/12</f>
        <v>7.583333333333333</v>
      </c>
      <c r="D265" s="22" t="s">
        <v>7</v>
      </c>
      <c r="E265" s="19" t="s">
        <v>220</v>
      </c>
      <c r="F265" s="22"/>
      <c r="G265" s="22"/>
      <c r="H265" s="22"/>
      <c r="I265" s="22"/>
      <c r="J265" s="22"/>
      <c r="K265" s="22"/>
      <c r="L265" s="22"/>
      <c r="M265" s="22"/>
      <c r="N265" s="22"/>
    </row>
    <row r="266" spans="1:14" s="26" customFormat="1" x14ac:dyDescent="0.2">
      <c r="A266" s="22"/>
      <c r="B266" s="40"/>
      <c r="C266" s="51">
        <f>19+2/12-4</f>
        <v>15.166666666666668</v>
      </c>
      <c r="D266" s="22" t="s">
        <v>7</v>
      </c>
      <c r="E266" s="19" t="s">
        <v>223</v>
      </c>
      <c r="F266" s="22"/>
      <c r="G266" s="22"/>
      <c r="H266" s="22"/>
      <c r="I266" s="22"/>
      <c r="J266" s="22"/>
      <c r="K266" s="22"/>
      <c r="L266" s="22"/>
      <c r="M266" s="22"/>
      <c r="N266" s="22"/>
    </row>
    <row r="267" spans="1:14" s="26" customFormat="1" x14ac:dyDescent="0.2">
      <c r="A267" s="22"/>
      <c r="B267" s="40"/>
      <c r="C267" s="51">
        <v>4</v>
      </c>
      <c r="D267" s="22" t="s">
        <v>7</v>
      </c>
      <c r="E267" s="19" t="s">
        <v>224</v>
      </c>
      <c r="F267" s="22"/>
      <c r="G267" s="22"/>
      <c r="H267" s="22"/>
      <c r="I267" s="22"/>
      <c r="J267" s="22"/>
      <c r="K267" s="22"/>
      <c r="L267" s="22"/>
      <c r="M267" s="22"/>
      <c r="N267" s="22"/>
    </row>
    <row r="268" spans="1:14" s="26" customFormat="1" x14ac:dyDescent="0.2">
      <c r="A268" s="22"/>
      <c r="B268" s="40"/>
      <c r="C268" s="51">
        <v>3</v>
      </c>
      <c r="D268" s="22" t="s">
        <v>7</v>
      </c>
      <c r="E268" s="19" t="s">
        <v>225</v>
      </c>
      <c r="F268" s="22"/>
      <c r="G268" s="22"/>
      <c r="H268" s="22"/>
      <c r="I268" s="22"/>
      <c r="J268" s="22"/>
      <c r="K268" s="22"/>
      <c r="L268" s="22"/>
      <c r="M268" s="22"/>
      <c r="N268" s="22"/>
    </row>
    <row r="269" spans="1:14" s="26" customFormat="1" x14ac:dyDescent="0.2">
      <c r="A269" s="22"/>
      <c r="B269" s="40"/>
      <c r="C269" s="27">
        <f>(C257*C258*C259)+(C260*C261*C262)+(C263*C264*C265)+(C266*C267*C268)</f>
        <v>639.56156249999913</v>
      </c>
      <c r="D269" s="22" t="s">
        <v>11</v>
      </c>
      <c r="E269" s="19" t="s">
        <v>134</v>
      </c>
      <c r="F269" s="22"/>
      <c r="G269" s="22"/>
      <c r="H269" s="22"/>
      <c r="I269" s="22"/>
      <c r="J269" s="22"/>
      <c r="K269" s="22"/>
      <c r="L269" s="22"/>
      <c r="M269" s="22"/>
      <c r="N269" s="22"/>
    </row>
    <row r="270" spans="1:14" s="26" customFormat="1" ht="12.75" customHeight="1" x14ac:dyDescent="0.2">
      <c r="A270" s="19"/>
      <c r="B270" s="40"/>
      <c r="C270" s="27"/>
      <c r="D270" s="22"/>
      <c r="E270" s="19"/>
      <c r="F270" s="22"/>
      <c r="G270" s="22"/>
      <c r="H270" s="22"/>
      <c r="I270" s="22"/>
      <c r="J270" s="22"/>
      <c r="K270" s="22"/>
      <c r="L270" s="22"/>
      <c r="M270" s="22"/>
      <c r="N270" s="22"/>
    </row>
    <row r="271" spans="1:14" s="26" customFormat="1" x14ac:dyDescent="0.2">
      <c r="A271" s="19" t="s">
        <v>211</v>
      </c>
      <c r="B271" s="40"/>
      <c r="C271" s="51">
        <v>26</v>
      </c>
      <c r="D271" s="22" t="s">
        <v>7</v>
      </c>
      <c r="E271" s="19" t="s">
        <v>212</v>
      </c>
      <c r="F271" s="22"/>
      <c r="G271" s="22"/>
      <c r="H271" s="22"/>
      <c r="I271" s="22"/>
      <c r="J271" s="22"/>
      <c r="K271" s="22"/>
      <c r="L271" s="22"/>
      <c r="M271" s="22"/>
      <c r="N271" s="22"/>
    </row>
    <row r="272" spans="1:14" s="26" customFormat="1" x14ac:dyDescent="0.2">
      <c r="A272" s="22"/>
      <c r="B272" s="40"/>
      <c r="C272" s="51">
        <v>1.5</v>
      </c>
      <c r="D272" s="22" t="s">
        <v>7</v>
      </c>
      <c r="E272" s="19" t="s">
        <v>213</v>
      </c>
      <c r="F272" s="22"/>
      <c r="G272" s="22"/>
      <c r="H272" s="22"/>
      <c r="I272" s="22"/>
      <c r="J272" s="22"/>
      <c r="K272" s="22"/>
      <c r="L272" s="22"/>
      <c r="M272" s="22"/>
      <c r="N272" s="22"/>
    </row>
    <row r="273" spans="1:14" s="26" customFormat="1" x14ac:dyDescent="0.2">
      <c r="A273" s="22"/>
      <c r="B273" s="40"/>
      <c r="C273" s="51">
        <f>((6+2.875/12)+(632.99-627.48+1))/2</f>
        <v>6.3747916666666615</v>
      </c>
      <c r="D273" s="22" t="s">
        <v>7</v>
      </c>
      <c r="E273" s="19" t="s">
        <v>214</v>
      </c>
      <c r="F273" s="22"/>
      <c r="G273" s="22"/>
      <c r="H273" s="22"/>
      <c r="I273" s="22"/>
      <c r="J273" s="22"/>
      <c r="K273" s="22"/>
      <c r="L273" s="22"/>
      <c r="M273" s="22"/>
      <c r="N273" s="22"/>
    </row>
    <row r="274" spans="1:14" s="26" customFormat="1" x14ac:dyDescent="0.2">
      <c r="A274" s="22"/>
      <c r="B274" s="40"/>
      <c r="C274" s="51">
        <f>((19.5-1.5)+(19.5-0.5+3+8.25/12))/2</f>
        <v>20.34375</v>
      </c>
      <c r="D274" s="22" t="s">
        <v>7</v>
      </c>
      <c r="E274" s="19" t="s">
        <v>215</v>
      </c>
      <c r="F274" s="22"/>
      <c r="G274" s="22"/>
      <c r="H274" s="22"/>
      <c r="I274" s="22"/>
      <c r="J274" s="22"/>
      <c r="K274" s="22"/>
      <c r="L274" s="22"/>
      <c r="M274" s="22"/>
      <c r="N274" s="22"/>
    </row>
    <row r="275" spans="1:14" s="26" customFormat="1" x14ac:dyDescent="0.2">
      <c r="A275" s="22"/>
      <c r="B275" s="40"/>
      <c r="C275" s="51">
        <v>1.5</v>
      </c>
      <c r="D275" s="22" t="s">
        <v>7</v>
      </c>
      <c r="E275" s="19" t="s">
        <v>216</v>
      </c>
      <c r="F275" s="22"/>
      <c r="G275" s="22"/>
      <c r="H275" s="22"/>
      <c r="I275" s="22"/>
      <c r="J275" s="22"/>
      <c r="K275" s="22"/>
      <c r="L275" s="22"/>
      <c r="M275" s="22"/>
      <c r="N275" s="22"/>
    </row>
    <row r="276" spans="1:14" s="26" customFormat="1" x14ac:dyDescent="0.2">
      <c r="A276" s="22"/>
      <c r="B276" s="40"/>
      <c r="C276" s="51">
        <f>1+10.875/12</f>
        <v>1.90625</v>
      </c>
      <c r="D276" s="22" t="s">
        <v>7</v>
      </c>
      <c r="E276" s="19" t="s">
        <v>217</v>
      </c>
      <c r="F276" s="22"/>
      <c r="G276" s="22"/>
      <c r="H276" s="22"/>
      <c r="I276" s="22"/>
      <c r="J276" s="22"/>
      <c r="K276" s="22"/>
      <c r="L276" s="22"/>
      <c r="M276" s="22"/>
      <c r="N276" s="22"/>
    </row>
    <row r="277" spans="1:14" s="26" customFormat="1" x14ac:dyDescent="0.2">
      <c r="A277" s="22"/>
      <c r="B277" s="40"/>
      <c r="C277" s="51">
        <f>19.5-1.5</f>
        <v>18</v>
      </c>
      <c r="D277" s="22" t="s">
        <v>7</v>
      </c>
      <c r="E277" s="19" t="s">
        <v>218</v>
      </c>
      <c r="F277" s="22"/>
      <c r="G277" s="22"/>
      <c r="H277" s="22"/>
      <c r="I277" s="22"/>
      <c r="J277" s="22"/>
      <c r="K277" s="22"/>
      <c r="L277" s="22"/>
      <c r="M277" s="22"/>
      <c r="N277" s="22"/>
    </row>
    <row r="278" spans="1:14" s="26" customFormat="1" x14ac:dyDescent="0.2">
      <c r="A278" s="22"/>
      <c r="B278" s="40"/>
      <c r="C278" s="51">
        <v>1.5</v>
      </c>
      <c r="D278" s="22" t="s">
        <v>7</v>
      </c>
      <c r="E278" s="19" t="s">
        <v>219</v>
      </c>
      <c r="F278" s="22"/>
      <c r="G278" s="22"/>
      <c r="H278" s="22"/>
      <c r="I278" s="22"/>
      <c r="J278" s="22"/>
      <c r="K278" s="22"/>
      <c r="L278" s="22"/>
      <c r="M278" s="22"/>
      <c r="N278" s="22"/>
    </row>
    <row r="279" spans="1:14" s="26" customFormat="1" x14ac:dyDescent="0.2">
      <c r="A279" s="22"/>
      <c r="B279" s="40"/>
      <c r="C279" s="51">
        <f>7+7/12</f>
        <v>7.583333333333333</v>
      </c>
      <c r="D279" s="22" t="s">
        <v>7</v>
      </c>
      <c r="E279" s="19" t="s">
        <v>220</v>
      </c>
      <c r="F279" s="22"/>
      <c r="G279" s="22"/>
      <c r="H279" s="22"/>
      <c r="I279" s="22"/>
      <c r="J279" s="22"/>
      <c r="K279" s="22"/>
      <c r="L279" s="22"/>
      <c r="M279" s="22"/>
      <c r="N279" s="22"/>
    </row>
    <row r="280" spans="1:14" s="26" customFormat="1" x14ac:dyDescent="0.2">
      <c r="A280" s="22"/>
      <c r="B280" s="40"/>
      <c r="C280" s="51">
        <f>19.5-4</f>
        <v>15.5</v>
      </c>
      <c r="D280" s="22" t="s">
        <v>7</v>
      </c>
      <c r="E280" s="19" t="s">
        <v>223</v>
      </c>
      <c r="F280" s="22"/>
      <c r="G280" s="22"/>
      <c r="H280" s="22"/>
      <c r="I280" s="22"/>
      <c r="J280" s="22"/>
      <c r="K280" s="22"/>
      <c r="L280" s="22"/>
      <c r="M280" s="22"/>
      <c r="N280" s="22"/>
    </row>
    <row r="281" spans="1:14" s="26" customFormat="1" x14ac:dyDescent="0.2">
      <c r="A281" s="22"/>
      <c r="B281" s="40"/>
      <c r="C281" s="51">
        <v>4</v>
      </c>
      <c r="D281" s="22" t="s">
        <v>7</v>
      </c>
      <c r="E281" s="19" t="s">
        <v>224</v>
      </c>
      <c r="F281" s="22"/>
      <c r="G281" s="22"/>
      <c r="H281" s="22"/>
      <c r="I281" s="22"/>
      <c r="J281" s="22"/>
      <c r="K281" s="22"/>
      <c r="L281" s="22"/>
      <c r="M281" s="22"/>
      <c r="N281" s="22"/>
    </row>
    <row r="282" spans="1:14" s="26" customFormat="1" x14ac:dyDescent="0.2">
      <c r="A282" s="22"/>
      <c r="B282" s="40"/>
      <c r="C282" s="51">
        <v>3</v>
      </c>
      <c r="D282" s="22" t="s">
        <v>7</v>
      </c>
      <c r="E282" s="19" t="s">
        <v>225</v>
      </c>
      <c r="F282" s="22"/>
      <c r="G282" s="22"/>
      <c r="H282" s="22"/>
      <c r="I282" s="22"/>
      <c r="J282" s="22"/>
      <c r="K282" s="22"/>
      <c r="L282" s="22"/>
      <c r="M282" s="22"/>
      <c r="N282" s="22"/>
    </row>
    <row r="283" spans="1:14" s="26" customFormat="1" ht="12.75" customHeight="1" x14ac:dyDescent="0.2">
      <c r="A283" s="19"/>
      <c r="B283" s="40"/>
      <c r="C283" s="27">
        <f>(C271*C272*C273)+(C274*C275*C276)+(C277*C278*C279)+(C280*C281*C282)</f>
        <v>697.53728515624982</v>
      </c>
      <c r="D283" s="22" t="s">
        <v>11</v>
      </c>
      <c r="E283" s="19" t="s">
        <v>134</v>
      </c>
      <c r="F283" s="22"/>
      <c r="G283" s="22"/>
      <c r="H283" s="22"/>
      <c r="I283" s="22"/>
      <c r="J283" s="22"/>
      <c r="K283" s="22"/>
      <c r="L283" s="22"/>
      <c r="M283" s="22"/>
      <c r="N283" s="22"/>
    </row>
    <row r="284" spans="1:14" s="26" customFormat="1" ht="12.75" customHeight="1" x14ac:dyDescent="0.2">
      <c r="A284" s="19"/>
      <c r="B284" s="40"/>
      <c r="C284" s="27"/>
      <c r="D284" s="22"/>
      <c r="E284" s="19"/>
      <c r="F284" s="22"/>
      <c r="G284" s="22"/>
      <c r="H284" s="22"/>
      <c r="I284" s="22"/>
      <c r="J284" s="22"/>
      <c r="K284" s="22"/>
      <c r="L284" s="22"/>
      <c r="M284" s="22"/>
      <c r="N284" s="22"/>
    </row>
    <row r="285" spans="1:14" s="26" customFormat="1" x14ac:dyDescent="0.2">
      <c r="A285" s="22"/>
      <c r="B285" s="40"/>
      <c r="C285" s="56">
        <f>C283+C269+C250+C245+C231+C255+C217+C212</f>
        <v>5890.0152365451395</v>
      </c>
      <c r="D285" s="22" t="s">
        <v>11</v>
      </c>
      <c r="E285" s="19" t="s">
        <v>6</v>
      </c>
      <c r="F285" s="22"/>
      <c r="G285" s="22"/>
      <c r="H285" s="22"/>
      <c r="I285" s="22"/>
      <c r="J285" s="2"/>
      <c r="K285" s="2"/>
      <c r="L285" s="2"/>
      <c r="M285" s="2"/>
      <c r="N285" s="2"/>
    </row>
    <row r="286" spans="1:14" s="24" customFormat="1" x14ac:dyDescent="0.2">
      <c r="A286" s="23"/>
      <c r="B286" s="42"/>
      <c r="C286" s="41">
        <f>C285/27</f>
        <v>218.1487124646348</v>
      </c>
      <c r="D286" s="23" t="s">
        <v>10</v>
      </c>
      <c r="E286" s="25" t="s">
        <v>6</v>
      </c>
      <c r="F286" s="23"/>
      <c r="G286" s="23"/>
      <c r="H286" s="23"/>
      <c r="I286" s="23"/>
      <c r="J286" s="2"/>
      <c r="K286" s="2"/>
      <c r="L286" s="2"/>
      <c r="M286" s="2"/>
      <c r="N286" s="2"/>
    </row>
    <row r="287" spans="1:14" s="38" customFormat="1" x14ac:dyDescent="0.2"/>
    <row r="288" spans="1:14" s="38" customFormat="1" x14ac:dyDescent="0.2">
      <c r="A288" s="35">
        <f>A30</f>
        <v>511</v>
      </c>
      <c r="B288" s="44">
        <f>B30</f>
        <v>46512</v>
      </c>
      <c r="C288" s="36">
        <f>ROUNDUP(C313,0)</f>
        <v>28</v>
      </c>
      <c r="D288" s="35" t="str">
        <f>D30</f>
        <v>CY</v>
      </c>
      <c r="E288" s="37" t="str">
        <f>E30</f>
        <v>CLASS QC1 CONCRETE WITH QC/QA, FOOTING</v>
      </c>
      <c r="F288" s="35"/>
      <c r="G288" s="35"/>
      <c r="H288" s="35"/>
      <c r="I288" s="35"/>
      <c r="J288" s="35"/>
      <c r="K288" s="35"/>
      <c r="L288" s="35"/>
      <c r="M288" s="35"/>
      <c r="N288" s="35"/>
    </row>
    <row r="289" spans="1:14" s="26" customFormat="1" x14ac:dyDescent="0.2">
      <c r="A289" s="22"/>
      <c r="B289" s="40"/>
      <c r="C289" s="27"/>
      <c r="D289" s="22"/>
      <c r="E289" s="19"/>
      <c r="F289" s="22"/>
      <c r="G289" s="22"/>
      <c r="H289" s="121"/>
      <c r="I289" s="121"/>
      <c r="J289" s="2"/>
      <c r="K289" s="2"/>
      <c r="L289" s="2"/>
      <c r="M289" s="2"/>
      <c r="N289" s="2"/>
    </row>
    <row r="290" spans="1:14" s="26" customFormat="1" x14ac:dyDescent="0.2">
      <c r="A290" s="19" t="s">
        <v>36</v>
      </c>
      <c r="B290" s="40"/>
      <c r="C290" s="27"/>
      <c r="D290" s="22" t="s">
        <v>7</v>
      </c>
      <c r="E290" s="19" t="s">
        <v>26</v>
      </c>
      <c r="F290" s="22"/>
      <c r="G290" s="22"/>
      <c r="H290" s="121"/>
      <c r="I290" s="121"/>
      <c r="J290" s="2"/>
      <c r="K290" s="2"/>
      <c r="L290" s="2"/>
      <c r="M290" s="2"/>
      <c r="N290" s="2"/>
    </row>
    <row r="291" spans="1:14" s="26" customFormat="1" x14ac:dyDescent="0.2">
      <c r="A291" s="19"/>
      <c r="B291" s="40"/>
      <c r="C291" s="27"/>
      <c r="D291" s="22" t="s">
        <v>7</v>
      </c>
      <c r="E291" s="19" t="s">
        <v>27</v>
      </c>
      <c r="F291" s="22"/>
      <c r="G291" s="22"/>
      <c r="H291" s="121"/>
      <c r="I291" s="121"/>
      <c r="J291" s="2"/>
      <c r="K291" s="2"/>
      <c r="L291" s="2"/>
      <c r="M291" s="2"/>
      <c r="N291" s="2"/>
    </row>
    <row r="292" spans="1:14" s="26" customFormat="1" x14ac:dyDescent="0.2">
      <c r="A292" s="19"/>
      <c r="B292" s="40"/>
      <c r="C292" s="27"/>
      <c r="D292" s="22" t="s">
        <v>7</v>
      </c>
      <c r="E292" s="19" t="s">
        <v>28</v>
      </c>
      <c r="F292" s="22"/>
      <c r="G292" s="22"/>
      <c r="H292" s="121"/>
      <c r="I292" s="121"/>
      <c r="J292" s="2"/>
      <c r="K292" s="2"/>
      <c r="L292" s="2"/>
      <c r="M292" s="2"/>
      <c r="N292" s="2"/>
    </row>
    <row r="293" spans="1:14" s="26" customFormat="1" x14ac:dyDescent="0.2">
      <c r="A293" s="19"/>
      <c r="B293" s="40"/>
      <c r="C293" s="27">
        <f>C290*C291*C292</f>
        <v>0</v>
      </c>
      <c r="D293" s="22" t="s">
        <v>11</v>
      </c>
      <c r="E293" s="19" t="s">
        <v>41</v>
      </c>
      <c r="F293" s="22"/>
      <c r="G293" s="22"/>
      <c r="H293" s="121"/>
      <c r="I293" s="121"/>
      <c r="J293" s="2"/>
      <c r="K293" s="2"/>
      <c r="L293" s="2"/>
      <c r="M293" s="2"/>
      <c r="N293" s="2"/>
    </row>
    <row r="294" spans="1:14" s="26" customFormat="1" x14ac:dyDescent="0.2">
      <c r="A294" s="19"/>
      <c r="B294" s="40"/>
      <c r="C294" s="27"/>
      <c r="D294" s="22"/>
      <c r="E294" s="19"/>
      <c r="F294" s="22"/>
      <c r="G294" s="22"/>
      <c r="H294" s="121"/>
      <c r="I294" s="121"/>
      <c r="J294" s="2"/>
      <c r="K294" s="2"/>
      <c r="L294" s="2"/>
      <c r="M294" s="2"/>
      <c r="N294" s="2"/>
    </row>
    <row r="295" spans="1:14" s="26" customFormat="1" x14ac:dyDescent="0.2">
      <c r="A295" s="19"/>
      <c r="B295" s="40"/>
      <c r="C295" s="27"/>
      <c r="D295" s="22"/>
      <c r="E295" s="19"/>
      <c r="F295" s="22"/>
      <c r="G295" s="22"/>
      <c r="H295" s="121"/>
      <c r="I295" s="121"/>
      <c r="J295" s="2"/>
      <c r="K295" s="2"/>
      <c r="L295" s="2"/>
      <c r="M295" s="2"/>
      <c r="N295" s="2"/>
    </row>
    <row r="296" spans="1:14" s="26" customFormat="1" x14ac:dyDescent="0.2">
      <c r="A296" s="19" t="s">
        <v>131</v>
      </c>
      <c r="B296" s="40"/>
      <c r="C296" s="51">
        <f>31+5/12</f>
        <v>31.416666666666668</v>
      </c>
      <c r="D296" s="22" t="s">
        <v>7</v>
      </c>
      <c r="E296" s="19" t="s">
        <v>26</v>
      </c>
      <c r="F296" s="22"/>
      <c r="G296" s="22"/>
      <c r="H296" s="22"/>
      <c r="I296" s="22"/>
      <c r="J296" s="2"/>
      <c r="K296" s="2"/>
      <c r="L296" s="2"/>
      <c r="M296" s="2"/>
      <c r="N296" s="2"/>
    </row>
    <row r="297" spans="1:14" s="26" customFormat="1" x14ac:dyDescent="0.2">
      <c r="A297" s="19"/>
      <c r="B297" s="40"/>
      <c r="C297" s="51">
        <v>4</v>
      </c>
      <c r="D297" s="22" t="s">
        <v>7</v>
      </c>
      <c r="E297" s="19" t="s">
        <v>27</v>
      </c>
      <c r="F297" s="22"/>
      <c r="G297" s="22"/>
      <c r="H297" s="22"/>
      <c r="I297" s="22"/>
      <c r="J297" s="2"/>
      <c r="K297" s="2"/>
      <c r="L297" s="2"/>
      <c r="M297" s="2"/>
      <c r="N297" s="2"/>
    </row>
    <row r="298" spans="1:14" s="26" customFormat="1" x14ac:dyDescent="0.2">
      <c r="A298" s="19"/>
      <c r="B298" s="40"/>
      <c r="C298" s="51">
        <v>3</v>
      </c>
      <c r="D298" s="22" t="s">
        <v>7</v>
      </c>
      <c r="E298" s="19" t="s">
        <v>28</v>
      </c>
      <c r="F298" s="22"/>
      <c r="G298" s="22"/>
      <c r="H298" s="22"/>
      <c r="I298" s="22"/>
      <c r="J298" s="2"/>
      <c r="K298" s="2"/>
      <c r="L298" s="2"/>
      <c r="M298" s="2"/>
      <c r="N298" s="2"/>
    </row>
    <row r="299" spans="1:14" s="26" customFormat="1" x14ac:dyDescent="0.2">
      <c r="A299" s="19"/>
      <c r="B299" s="40"/>
      <c r="C299" s="27">
        <f>C296*C297*C298</f>
        <v>377</v>
      </c>
      <c r="D299" s="22" t="s">
        <v>11</v>
      </c>
      <c r="E299" s="19" t="s">
        <v>41</v>
      </c>
      <c r="F299" s="22"/>
      <c r="G299" s="22"/>
      <c r="H299" s="22"/>
      <c r="I299" s="22"/>
      <c r="J299" s="2"/>
      <c r="K299" s="2"/>
      <c r="L299" s="2"/>
      <c r="M299" s="2"/>
      <c r="N299" s="2"/>
    </row>
    <row r="300" spans="1:14" s="26" customFormat="1" x14ac:dyDescent="0.2">
      <c r="A300" s="19"/>
      <c r="B300" s="40"/>
      <c r="C300" s="27"/>
      <c r="D300" s="22"/>
      <c r="E300" s="19"/>
      <c r="F300" s="22"/>
      <c r="G300" s="22"/>
      <c r="H300" s="22"/>
      <c r="I300" s="22"/>
      <c r="J300" s="2"/>
      <c r="K300" s="2"/>
      <c r="L300" s="2"/>
      <c r="M300" s="2"/>
      <c r="N300" s="2"/>
    </row>
    <row r="301" spans="1:14" s="26" customFormat="1" x14ac:dyDescent="0.2">
      <c r="A301" s="19" t="s">
        <v>132</v>
      </c>
      <c r="B301" s="40"/>
      <c r="C301" s="51">
        <f>31+5/12</f>
        <v>31.416666666666668</v>
      </c>
      <c r="D301" s="22" t="s">
        <v>7</v>
      </c>
      <c r="E301" s="19" t="s">
        <v>26</v>
      </c>
      <c r="F301" s="22"/>
      <c r="G301" s="22"/>
      <c r="H301" s="22"/>
      <c r="I301" s="22"/>
      <c r="J301" s="2"/>
      <c r="K301" s="2"/>
      <c r="L301" s="2"/>
      <c r="M301" s="2"/>
      <c r="N301" s="2"/>
    </row>
    <row r="302" spans="1:14" s="26" customFormat="1" x14ac:dyDescent="0.2">
      <c r="A302" s="19"/>
      <c r="B302" s="40"/>
      <c r="C302" s="51">
        <v>4</v>
      </c>
      <c r="D302" s="22" t="s">
        <v>7</v>
      </c>
      <c r="E302" s="19" t="s">
        <v>27</v>
      </c>
      <c r="F302" s="22"/>
      <c r="G302" s="22"/>
      <c r="H302" s="22"/>
      <c r="I302" s="22"/>
      <c r="J302" s="2"/>
      <c r="K302" s="2"/>
      <c r="L302" s="2"/>
      <c r="M302" s="2"/>
      <c r="N302" s="2"/>
    </row>
    <row r="303" spans="1:14" s="26" customFormat="1" x14ac:dyDescent="0.2">
      <c r="A303" s="19"/>
      <c r="B303" s="40"/>
      <c r="C303" s="51">
        <v>3</v>
      </c>
      <c r="D303" s="22" t="s">
        <v>7</v>
      </c>
      <c r="E303" s="19" t="s">
        <v>28</v>
      </c>
      <c r="F303" s="22"/>
      <c r="G303" s="22"/>
      <c r="H303" s="22"/>
      <c r="I303" s="22"/>
      <c r="J303" s="2"/>
      <c r="K303" s="2"/>
      <c r="L303" s="2"/>
      <c r="M303" s="2"/>
      <c r="N303" s="2"/>
    </row>
    <row r="304" spans="1:14" s="26" customFormat="1" x14ac:dyDescent="0.2">
      <c r="A304" s="19"/>
      <c r="B304" s="40"/>
      <c r="C304" s="27">
        <f>C301*C302*C303</f>
        <v>377</v>
      </c>
      <c r="D304" s="22" t="s">
        <v>11</v>
      </c>
      <c r="E304" s="19" t="s">
        <v>41</v>
      </c>
      <c r="F304" s="22"/>
      <c r="G304" s="22"/>
      <c r="H304" s="22"/>
      <c r="I304" s="22"/>
      <c r="J304" s="2"/>
      <c r="K304" s="2"/>
      <c r="L304" s="2"/>
      <c r="M304" s="2"/>
      <c r="N304" s="2"/>
    </row>
    <row r="305" spans="1:14" s="26" customFormat="1" x14ac:dyDescent="0.2">
      <c r="A305" s="19"/>
      <c r="B305" s="40"/>
      <c r="C305" s="27"/>
      <c r="D305" s="22"/>
      <c r="E305" s="19"/>
      <c r="F305" s="22"/>
      <c r="G305" s="22"/>
      <c r="H305" s="22"/>
      <c r="I305" s="22"/>
      <c r="J305" s="2"/>
      <c r="K305" s="2"/>
      <c r="L305" s="2"/>
      <c r="M305" s="2"/>
      <c r="N305" s="2"/>
    </row>
    <row r="306" spans="1:14" s="26" customFormat="1" x14ac:dyDescent="0.2">
      <c r="A306" s="19" t="s">
        <v>37</v>
      </c>
      <c r="B306" s="40"/>
      <c r="C306" s="27"/>
      <c r="D306" s="22" t="s">
        <v>7</v>
      </c>
      <c r="E306" s="19" t="s">
        <v>26</v>
      </c>
      <c r="F306" s="22"/>
      <c r="G306" s="22"/>
      <c r="H306" s="22"/>
      <c r="I306" s="22"/>
      <c r="J306" s="2"/>
      <c r="K306" s="2"/>
      <c r="L306" s="2"/>
      <c r="M306" s="2"/>
      <c r="N306" s="2"/>
    </row>
    <row r="307" spans="1:14" s="26" customFormat="1" x14ac:dyDescent="0.2">
      <c r="A307" s="22"/>
      <c r="B307" s="40"/>
      <c r="C307" s="27"/>
      <c r="D307" s="22" t="s">
        <v>7</v>
      </c>
      <c r="E307" s="19" t="s">
        <v>27</v>
      </c>
      <c r="F307" s="22"/>
      <c r="G307" s="22"/>
      <c r="H307" s="22"/>
      <c r="I307" s="22"/>
      <c r="J307" s="2"/>
      <c r="K307" s="2"/>
      <c r="L307" s="2"/>
      <c r="M307" s="2"/>
      <c r="N307" s="2"/>
    </row>
    <row r="308" spans="1:14" s="26" customFormat="1" x14ac:dyDescent="0.2">
      <c r="A308" s="22"/>
      <c r="B308" s="40"/>
      <c r="C308" s="27"/>
      <c r="D308" s="22" t="s">
        <v>7</v>
      </c>
      <c r="E308" s="19" t="s">
        <v>28</v>
      </c>
      <c r="F308" s="22"/>
      <c r="G308" s="22"/>
      <c r="H308" s="22"/>
      <c r="I308" s="22"/>
      <c r="J308" s="2"/>
      <c r="K308" s="2"/>
      <c r="L308" s="2"/>
      <c r="M308" s="2"/>
      <c r="N308" s="2"/>
    </row>
    <row r="309" spans="1:14" s="26" customFormat="1" x14ac:dyDescent="0.2">
      <c r="A309" s="22"/>
      <c r="B309" s="40"/>
      <c r="C309" s="27">
        <f>C306*C307*C308</f>
        <v>0</v>
      </c>
      <c r="D309" s="22" t="s">
        <v>11</v>
      </c>
      <c r="E309" s="19" t="s">
        <v>41</v>
      </c>
      <c r="F309" s="22"/>
      <c r="G309" s="22"/>
      <c r="H309" s="22"/>
      <c r="I309" s="22"/>
      <c r="J309" s="2"/>
      <c r="K309" s="2"/>
      <c r="L309" s="2"/>
      <c r="M309" s="2"/>
      <c r="N309" s="2"/>
    </row>
    <row r="310" spans="1:14" s="26" customFormat="1" x14ac:dyDescent="0.2">
      <c r="A310" s="22"/>
      <c r="B310" s="40"/>
      <c r="C310" s="27"/>
      <c r="D310" s="22"/>
      <c r="E310" s="19"/>
      <c r="F310" s="22"/>
      <c r="G310" s="22"/>
      <c r="H310" s="22"/>
      <c r="I310" s="22"/>
      <c r="J310" s="2"/>
      <c r="K310" s="2"/>
      <c r="L310" s="2"/>
      <c r="M310" s="2"/>
      <c r="N310" s="2"/>
    </row>
    <row r="311" spans="1:14" s="26" customFormat="1" x14ac:dyDescent="0.2">
      <c r="A311" s="22"/>
      <c r="B311" s="40"/>
      <c r="C311" s="27"/>
      <c r="D311" s="22"/>
      <c r="E311" s="19"/>
      <c r="F311" s="22"/>
      <c r="G311" s="22"/>
      <c r="H311" s="22"/>
      <c r="I311" s="22"/>
      <c r="J311" s="2"/>
      <c r="K311" s="2"/>
      <c r="L311" s="2"/>
      <c r="M311" s="2"/>
      <c r="N311" s="2"/>
    </row>
    <row r="312" spans="1:14" s="26" customFormat="1" x14ac:dyDescent="0.2">
      <c r="A312" s="22"/>
      <c r="B312" s="40"/>
      <c r="C312" s="56">
        <f>C293+C299+C304+C309</f>
        <v>754</v>
      </c>
      <c r="D312" s="22" t="s">
        <v>11</v>
      </c>
      <c r="E312" s="19" t="s">
        <v>6</v>
      </c>
      <c r="F312" s="22"/>
      <c r="G312" s="22"/>
      <c r="H312" s="22"/>
      <c r="I312" s="22"/>
      <c r="J312" s="2"/>
      <c r="K312" s="2"/>
      <c r="L312" s="2"/>
      <c r="M312" s="2"/>
      <c r="N312" s="2"/>
    </row>
    <row r="313" spans="1:14" s="24" customFormat="1" x14ac:dyDescent="0.2">
      <c r="A313" s="23"/>
      <c r="B313" s="42"/>
      <c r="C313" s="41">
        <f>C312/27</f>
        <v>27.925925925925927</v>
      </c>
      <c r="D313" s="23" t="s">
        <v>10</v>
      </c>
      <c r="E313" s="25" t="s">
        <v>6</v>
      </c>
      <c r="F313" s="23"/>
      <c r="G313" s="23"/>
      <c r="H313" s="23"/>
      <c r="I313" s="23"/>
      <c r="J313" s="2"/>
      <c r="K313" s="2"/>
      <c r="L313" s="2"/>
      <c r="M313" s="2"/>
      <c r="N313" s="2"/>
    </row>
    <row r="314" spans="1:14" s="38" customFormat="1" x14ac:dyDescent="0.2"/>
    <row r="315" spans="1:14" s="49" customFormat="1" x14ac:dyDescent="0.2">
      <c r="A315" s="35">
        <f>A32</f>
        <v>512</v>
      </c>
      <c r="B315" s="44">
        <f>B32</f>
        <v>10100</v>
      </c>
      <c r="C315" s="36">
        <f>ROUNDUP(C376,0)</f>
        <v>563</v>
      </c>
      <c r="D315" s="35" t="str">
        <f>D32</f>
        <v>SY</v>
      </c>
      <c r="E315" s="37" t="str">
        <f>E32</f>
        <v>SEALING OF CONCRETE SURFACES (EPOXY-URETHANE)</v>
      </c>
      <c r="F315" s="39"/>
      <c r="G315" s="39"/>
      <c r="H315" s="39"/>
      <c r="I315" s="39"/>
      <c r="J315" s="39"/>
      <c r="K315" s="39"/>
      <c r="L315" s="39"/>
      <c r="M315" s="39"/>
      <c r="N315" s="39"/>
    </row>
    <row r="316" spans="1:14" s="8" customFormat="1" x14ac:dyDescent="0.2">
      <c r="A316" s="19" t="s">
        <v>57</v>
      </c>
      <c r="B316" s="40"/>
      <c r="C316" s="27">
        <f>C147</f>
        <v>2.1666666666666665</v>
      </c>
      <c r="D316" s="22" t="s">
        <v>7</v>
      </c>
      <c r="E316" s="26" t="s">
        <v>63</v>
      </c>
      <c r="F316" s="128"/>
      <c r="G316" s="128"/>
      <c r="H316" s="128"/>
      <c r="I316" s="22"/>
      <c r="J316" s="2"/>
      <c r="K316" s="2"/>
      <c r="L316" s="2"/>
      <c r="M316" s="2"/>
      <c r="N316" s="2"/>
    </row>
    <row r="317" spans="1:14" s="8" customFormat="1" x14ac:dyDescent="0.2">
      <c r="A317" s="19"/>
      <c r="B317" s="40"/>
      <c r="C317" s="27">
        <f>2/12</f>
        <v>0.16666666666666666</v>
      </c>
      <c r="D317" s="22" t="s">
        <v>7</v>
      </c>
      <c r="E317" s="26" t="s">
        <v>119</v>
      </c>
      <c r="F317" s="128"/>
      <c r="G317" s="128"/>
      <c r="H317" s="128"/>
      <c r="I317" s="22"/>
      <c r="J317" s="2"/>
      <c r="K317" s="2"/>
      <c r="L317" s="2"/>
      <c r="M317" s="2"/>
      <c r="N317" s="2"/>
    </row>
    <row r="318" spans="1:14" s="8" customFormat="1" x14ac:dyDescent="0.2">
      <c r="A318" s="22"/>
      <c r="B318" s="40"/>
      <c r="C318" s="27">
        <f>6/12</f>
        <v>0.5</v>
      </c>
      <c r="D318" s="22" t="s">
        <v>7</v>
      </c>
      <c r="E318" s="26" t="s">
        <v>64</v>
      </c>
      <c r="F318" s="128"/>
      <c r="G318" s="128"/>
      <c r="H318" s="128"/>
      <c r="I318" s="22"/>
      <c r="J318" s="2"/>
      <c r="K318" s="2"/>
      <c r="L318" s="2"/>
      <c r="M318" s="2"/>
      <c r="N318" s="2"/>
    </row>
    <row r="319" spans="1:14" s="8" customFormat="1" x14ac:dyDescent="0.2">
      <c r="A319" s="22"/>
      <c r="B319" s="40"/>
      <c r="C319" s="27">
        <v>163.08000000000001</v>
      </c>
      <c r="D319" s="22" t="s">
        <v>7</v>
      </c>
      <c r="E319" s="26" t="s">
        <v>149</v>
      </c>
      <c r="F319" s="128"/>
      <c r="G319" s="128"/>
      <c r="H319" s="128"/>
      <c r="I319" s="22"/>
      <c r="J319" s="2"/>
      <c r="K319" s="2"/>
      <c r="L319" s="2"/>
      <c r="M319" s="2"/>
      <c r="N319" s="2"/>
    </row>
    <row r="320" spans="1:14" s="8" customFormat="1" x14ac:dyDescent="0.2">
      <c r="A320" s="22"/>
      <c r="B320" s="40"/>
      <c r="C320" s="27">
        <v>159.554</v>
      </c>
      <c r="D320" s="22" t="s">
        <v>7</v>
      </c>
      <c r="E320" s="26" t="s">
        <v>150</v>
      </c>
      <c r="F320" s="128"/>
      <c r="G320" s="128"/>
      <c r="H320" s="128"/>
      <c r="I320" s="22"/>
      <c r="J320" s="2"/>
      <c r="K320" s="2"/>
      <c r="L320" s="2"/>
      <c r="M320" s="2"/>
      <c r="N320" s="2"/>
    </row>
    <row r="321" spans="1:14" s="8" customFormat="1" x14ac:dyDescent="0.2">
      <c r="A321" s="22"/>
      <c r="B321" s="40"/>
      <c r="C321" s="27">
        <f>ROUND((C316+C317+C318)*C320,2)*2</f>
        <v>904.14</v>
      </c>
      <c r="D321" s="22" t="s">
        <v>8</v>
      </c>
      <c r="E321" s="26" t="s">
        <v>48</v>
      </c>
      <c r="F321" s="128"/>
      <c r="G321" s="128"/>
      <c r="H321" s="128"/>
      <c r="I321" s="22"/>
      <c r="J321" s="2"/>
      <c r="K321" s="2"/>
      <c r="L321" s="2"/>
      <c r="M321" s="2"/>
      <c r="N321" s="2"/>
    </row>
    <row r="322" spans="1:14" s="8" customFormat="1" x14ac:dyDescent="0.2">
      <c r="A322" s="22"/>
      <c r="B322" s="40"/>
      <c r="C322" s="27"/>
      <c r="D322" s="22"/>
      <c r="E322" s="26"/>
      <c r="F322" s="128"/>
      <c r="G322" s="128"/>
      <c r="H322" s="128"/>
      <c r="I322" s="22"/>
      <c r="J322" s="2"/>
      <c r="K322" s="2"/>
      <c r="L322" s="2"/>
      <c r="M322" s="2"/>
      <c r="N322" s="2"/>
    </row>
    <row r="323" spans="1:14" s="26" customFormat="1" x14ac:dyDescent="0.2">
      <c r="A323" s="19" t="s">
        <v>182</v>
      </c>
      <c r="B323" s="40"/>
      <c r="C323" s="27">
        <f>SQRT((8/12)^2+3.5^2)+10/12+3.5</f>
        <v>7.896259721071992</v>
      </c>
      <c r="D323" s="22" t="s">
        <v>7</v>
      </c>
      <c r="E323" s="26" t="s">
        <v>183</v>
      </c>
      <c r="F323" s="128"/>
      <c r="G323" s="128"/>
      <c r="H323" s="128"/>
      <c r="I323" s="22"/>
      <c r="J323" s="2"/>
      <c r="K323" s="2"/>
      <c r="L323" s="2"/>
      <c r="M323" s="2"/>
      <c r="N323" s="2"/>
    </row>
    <row r="324" spans="1:14" s="26" customFormat="1" x14ac:dyDescent="0.2">
      <c r="A324" s="19"/>
      <c r="B324" s="40"/>
      <c r="C324" s="27">
        <f>C181+C182+14*4</f>
        <v>425.27800000000002</v>
      </c>
      <c r="D324" s="22" t="s">
        <v>7</v>
      </c>
      <c r="E324" s="26" t="s">
        <v>184</v>
      </c>
      <c r="F324" s="128"/>
      <c r="G324" s="128"/>
      <c r="H324" s="128"/>
      <c r="I324" s="22"/>
      <c r="J324" s="2"/>
      <c r="K324" s="2"/>
      <c r="L324" s="2"/>
      <c r="M324" s="2"/>
      <c r="N324" s="2"/>
    </row>
    <row r="325" spans="1:14" s="26" customFormat="1" x14ac:dyDescent="0.2">
      <c r="A325" s="19"/>
      <c r="B325" s="40"/>
      <c r="C325" s="27">
        <f>C323*C324</f>
        <v>3358.1055416580548</v>
      </c>
      <c r="D325" s="22" t="s">
        <v>8</v>
      </c>
      <c r="E325" s="26" t="s">
        <v>48</v>
      </c>
      <c r="F325" s="128"/>
      <c r="G325" s="128"/>
      <c r="H325" s="128"/>
      <c r="I325" s="22"/>
      <c r="J325" s="2"/>
      <c r="K325" s="2"/>
      <c r="L325" s="2"/>
      <c r="M325" s="2"/>
      <c r="N325" s="2"/>
    </row>
    <row r="326" spans="1:14" s="26" customFormat="1" x14ac:dyDescent="0.2">
      <c r="A326" s="19"/>
      <c r="B326" s="40"/>
      <c r="C326" s="27"/>
      <c r="D326" s="22"/>
      <c r="F326" s="128"/>
      <c r="G326" s="128"/>
      <c r="H326" s="128"/>
      <c r="I326" s="22"/>
      <c r="J326" s="2"/>
      <c r="K326" s="2"/>
      <c r="L326" s="2"/>
      <c r="M326" s="2"/>
      <c r="N326" s="2"/>
    </row>
    <row r="327" spans="1:14" s="8" customFormat="1" x14ac:dyDescent="0.2">
      <c r="A327" s="129" t="s">
        <v>104</v>
      </c>
      <c r="B327"/>
      <c r="C327" s="130">
        <f>633.33-2.17-618</f>
        <v>13.160000000000082</v>
      </c>
      <c r="D327" s="22" t="s">
        <v>7</v>
      </c>
      <c r="E327" s="26" t="s">
        <v>106</v>
      </c>
      <c r="F327" s="128"/>
      <c r="G327" s="128"/>
      <c r="H327" s="128"/>
      <c r="I327" s="22"/>
      <c r="J327" s="2"/>
      <c r="K327" s="2"/>
      <c r="L327" s="2"/>
      <c r="M327" s="2"/>
      <c r="N327" s="2"/>
    </row>
    <row r="328" spans="1:14" s="8" customFormat="1" x14ac:dyDescent="0.2">
      <c r="A328" s="129" t="s">
        <v>151</v>
      </c>
      <c r="B328"/>
      <c r="C328" s="130">
        <f>634.74-2.17-618</f>
        <v>14.57000000000005</v>
      </c>
      <c r="D328" s="22" t="s">
        <v>7</v>
      </c>
      <c r="E328" s="26" t="s">
        <v>105</v>
      </c>
      <c r="F328" s="128"/>
      <c r="G328" s="128"/>
      <c r="H328" s="128"/>
      <c r="I328" s="22"/>
      <c r="J328" s="2"/>
      <c r="K328" s="2"/>
      <c r="L328" s="2"/>
      <c r="M328" s="2"/>
      <c r="N328" s="2"/>
    </row>
    <row r="329" spans="1:14" s="8" customFormat="1" x14ac:dyDescent="0.2">
      <c r="A329"/>
      <c r="B329"/>
      <c r="C329" s="130">
        <f>32</f>
        <v>32</v>
      </c>
      <c r="D329" s="22" t="s">
        <v>7</v>
      </c>
      <c r="E329" s="26" t="s">
        <v>87</v>
      </c>
      <c r="F329" s="128"/>
      <c r="G329" s="128"/>
      <c r="H329" s="128"/>
      <c r="I329" s="22"/>
      <c r="J329" s="2"/>
      <c r="K329" s="2"/>
      <c r="L329" s="2"/>
      <c r="M329" s="2"/>
      <c r="N329" s="2"/>
    </row>
    <row r="330" spans="1:14" s="8" customFormat="1" x14ac:dyDescent="0.2">
      <c r="A330"/>
      <c r="B330"/>
      <c r="C330" s="130">
        <f>0.5*(C327+C328)*C329</f>
        <v>443.68000000000211</v>
      </c>
      <c r="D330" s="22" t="s">
        <v>8</v>
      </c>
      <c r="E330" s="26" t="s">
        <v>152</v>
      </c>
      <c r="F330" s="128"/>
      <c r="G330" s="128"/>
      <c r="H330" s="128"/>
      <c r="I330" s="22"/>
      <c r="J330" s="2"/>
      <c r="K330" s="2"/>
      <c r="L330" s="2"/>
      <c r="M330" s="2"/>
      <c r="N330" s="2"/>
    </row>
    <row r="331" spans="1:14" s="8" customFormat="1" x14ac:dyDescent="0.2">
      <c r="A331"/>
      <c r="B331"/>
      <c r="C331"/>
      <c r="D331"/>
      <c r="E331"/>
      <c r="F331" s="128"/>
      <c r="G331" s="128"/>
      <c r="H331" s="128"/>
      <c r="I331" s="22"/>
      <c r="J331" s="2"/>
      <c r="K331" s="2"/>
      <c r="L331" s="2"/>
      <c r="M331" s="2"/>
      <c r="N331" s="2"/>
    </row>
    <row r="332" spans="1:14" s="8" customFormat="1" x14ac:dyDescent="0.2">
      <c r="A332" s="129" t="s">
        <v>153</v>
      </c>
      <c r="B332"/>
      <c r="C332"/>
      <c r="D332" s="22" t="s">
        <v>7</v>
      </c>
      <c r="E332" s="26" t="s">
        <v>106</v>
      </c>
      <c r="F332" s="128"/>
      <c r="G332" s="128"/>
      <c r="H332" s="128"/>
      <c r="I332" s="22"/>
      <c r="J332" s="2"/>
      <c r="K332" s="2"/>
      <c r="L332" s="2"/>
      <c r="M332" s="2"/>
      <c r="N332" s="2"/>
    </row>
    <row r="333" spans="1:14" s="8" customFormat="1" x14ac:dyDescent="0.2">
      <c r="A333" s="129"/>
      <c r="B333"/>
      <c r="C333"/>
      <c r="D333" s="22" t="s">
        <v>7</v>
      </c>
      <c r="E333" s="26" t="s">
        <v>105</v>
      </c>
      <c r="F333" s="128"/>
      <c r="G333" s="128"/>
      <c r="H333" s="128"/>
      <c r="I333" s="22"/>
      <c r="J333" s="2"/>
      <c r="K333" s="2"/>
      <c r="L333" s="2"/>
      <c r="M333" s="2"/>
      <c r="N333" s="2"/>
    </row>
    <row r="334" spans="1:14" s="8" customFormat="1" x14ac:dyDescent="0.2">
      <c r="A334"/>
      <c r="B334"/>
      <c r="C334"/>
      <c r="D334" s="22" t="s">
        <v>7</v>
      </c>
      <c r="E334" s="26" t="s">
        <v>87</v>
      </c>
      <c r="F334" s="128"/>
      <c r="G334" s="128"/>
      <c r="H334" s="128"/>
      <c r="I334" s="22"/>
      <c r="J334" s="2"/>
      <c r="K334" s="2"/>
      <c r="L334" s="2"/>
      <c r="M334" s="2"/>
      <c r="N334" s="2"/>
    </row>
    <row r="335" spans="1:14" s="8" customFormat="1" x14ac:dyDescent="0.2">
      <c r="A335"/>
      <c r="B335"/>
      <c r="C335"/>
      <c r="D335" s="131" t="s">
        <v>7</v>
      </c>
      <c r="E335" s="26" t="s">
        <v>148</v>
      </c>
      <c r="F335" s="128"/>
      <c r="G335" s="128"/>
      <c r="H335" s="128"/>
      <c r="I335" s="22"/>
      <c r="J335" s="2"/>
      <c r="K335" s="2"/>
      <c r="L335" s="2"/>
      <c r="M335" s="2"/>
      <c r="N335" s="2"/>
    </row>
    <row r="336" spans="1:14" s="8" customFormat="1" x14ac:dyDescent="0.2">
      <c r="A336"/>
      <c r="B336"/>
      <c r="C336">
        <f>(C332+C333+C334)*C335+0.5*(C332+C333)*C334</f>
        <v>0</v>
      </c>
      <c r="D336" s="22" t="s">
        <v>8</v>
      </c>
      <c r="E336" s="26" t="s">
        <v>152</v>
      </c>
      <c r="F336" s="128"/>
      <c r="G336" s="128"/>
      <c r="H336" s="128"/>
      <c r="I336" s="22"/>
      <c r="J336" s="2"/>
      <c r="K336" s="2"/>
      <c r="L336" s="2"/>
      <c r="M336" s="2"/>
      <c r="N336" s="2"/>
    </row>
    <row r="337" spans="1:14" s="8" customFormat="1" x14ac:dyDescent="0.2">
      <c r="A337"/>
      <c r="B337"/>
      <c r="C337"/>
      <c r="D337"/>
      <c r="E337"/>
      <c r="F337" s="128"/>
      <c r="G337" s="128"/>
      <c r="H337" s="128"/>
      <c r="I337" s="22"/>
      <c r="J337" s="2"/>
      <c r="K337" s="2"/>
      <c r="L337" s="2"/>
      <c r="M337" s="2"/>
      <c r="N337" s="2"/>
    </row>
    <row r="338" spans="1:14" s="8" customFormat="1" x14ac:dyDescent="0.2">
      <c r="A338" s="129" t="s">
        <v>154</v>
      </c>
      <c r="B338"/>
      <c r="C338"/>
      <c r="D338" s="22" t="s">
        <v>7</v>
      </c>
      <c r="E338" s="26" t="s">
        <v>106</v>
      </c>
      <c r="F338" s="128"/>
      <c r="G338" s="128"/>
      <c r="H338" s="128"/>
      <c r="I338" s="22"/>
      <c r="J338" s="2"/>
      <c r="K338" s="2"/>
      <c r="L338" s="2"/>
      <c r="M338" s="2"/>
      <c r="N338" s="2"/>
    </row>
    <row r="339" spans="1:14" s="8" customFormat="1" x14ac:dyDescent="0.2">
      <c r="A339" s="129"/>
      <c r="B339"/>
      <c r="C339"/>
      <c r="D339" s="22" t="s">
        <v>7</v>
      </c>
      <c r="E339" s="26" t="s">
        <v>105</v>
      </c>
      <c r="F339" s="128"/>
      <c r="G339" s="128"/>
      <c r="H339" s="128"/>
      <c r="I339" s="22"/>
      <c r="J339" s="2"/>
      <c r="K339" s="2"/>
      <c r="L339" s="2"/>
      <c r="M339" s="2"/>
      <c r="N339" s="2"/>
    </row>
    <row r="340" spans="1:14" s="8" customFormat="1" x14ac:dyDescent="0.2">
      <c r="A340"/>
      <c r="B340"/>
      <c r="C340"/>
      <c r="D340" s="22" t="s">
        <v>7</v>
      </c>
      <c r="E340" s="26" t="s">
        <v>87</v>
      </c>
      <c r="F340" s="128"/>
      <c r="G340" s="128"/>
      <c r="H340" s="128"/>
      <c r="I340" s="22"/>
      <c r="J340" s="2"/>
      <c r="K340" s="2"/>
      <c r="L340" s="2"/>
      <c r="M340" s="2"/>
      <c r="N340" s="2"/>
    </row>
    <row r="341" spans="1:14" s="8" customFormat="1" x14ac:dyDescent="0.2">
      <c r="A341"/>
      <c r="B341"/>
      <c r="C341"/>
      <c r="D341" s="131" t="s">
        <v>7</v>
      </c>
      <c r="E341" s="26" t="s">
        <v>148</v>
      </c>
      <c r="F341" s="128"/>
      <c r="G341" s="128"/>
      <c r="H341" s="128"/>
      <c r="I341" s="22"/>
      <c r="J341" s="2"/>
      <c r="K341" s="2"/>
      <c r="L341" s="2"/>
      <c r="M341" s="2"/>
      <c r="N341" s="2"/>
    </row>
    <row r="342" spans="1:14" s="8" customFormat="1" x14ac:dyDescent="0.2">
      <c r="A342"/>
      <c r="B342"/>
      <c r="C342">
        <f>(C338+C339+C340)*C341+0.5*(C338+C339)*C340</f>
        <v>0</v>
      </c>
      <c r="D342" s="22" t="s">
        <v>8</v>
      </c>
      <c r="E342" s="26" t="s">
        <v>152</v>
      </c>
      <c r="F342" s="128"/>
      <c r="G342" s="128"/>
      <c r="H342" s="128"/>
      <c r="I342" s="22"/>
      <c r="J342" s="2"/>
      <c r="K342" s="2"/>
      <c r="L342" s="2"/>
      <c r="M342" s="2"/>
      <c r="N342" s="2"/>
    </row>
    <row r="343" spans="1:14" s="8" customFormat="1" x14ac:dyDescent="0.2">
      <c r="A343"/>
      <c r="B343"/>
      <c r="C343"/>
      <c r="D343"/>
      <c r="E343"/>
      <c r="F343" s="128"/>
      <c r="G343" s="128"/>
      <c r="H343" s="128"/>
      <c r="I343" s="22"/>
      <c r="J343" s="2"/>
      <c r="K343" s="2"/>
      <c r="L343" s="2"/>
      <c r="M343" s="2"/>
      <c r="N343" s="2"/>
    </row>
    <row r="344" spans="1:14" s="8" customFormat="1" x14ac:dyDescent="0.2">
      <c r="A344" s="129" t="s">
        <v>135</v>
      </c>
      <c r="B344"/>
      <c r="C344"/>
      <c r="D344" s="22" t="s">
        <v>7</v>
      </c>
      <c r="E344" s="26" t="s">
        <v>106</v>
      </c>
      <c r="F344" s="128"/>
      <c r="G344" s="128"/>
      <c r="H344" s="128"/>
      <c r="I344" s="22"/>
      <c r="J344" s="2"/>
      <c r="K344" s="2"/>
      <c r="L344" s="2"/>
      <c r="M344" s="2"/>
      <c r="N344" s="2"/>
    </row>
    <row r="345" spans="1:14" s="8" customFormat="1" x14ac:dyDescent="0.2">
      <c r="A345"/>
      <c r="B345"/>
      <c r="C345"/>
      <c r="D345" s="22" t="s">
        <v>7</v>
      </c>
      <c r="E345" s="26" t="s">
        <v>105</v>
      </c>
      <c r="F345" s="128"/>
      <c r="G345" s="128"/>
      <c r="H345" s="128"/>
      <c r="I345" s="22"/>
      <c r="J345" s="2"/>
      <c r="K345" s="2"/>
      <c r="L345" s="2"/>
      <c r="M345" s="2"/>
      <c r="N345" s="2"/>
    </row>
    <row r="346" spans="1:14" s="8" customFormat="1" x14ac:dyDescent="0.2">
      <c r="A346"/>
      <c r="B346"/>
      <c r="C346"/>
      <c r="D346" s="22" t="s">
        <v>7</v>
      </c>
      <c r="E346" s="26" t="s">
        <v>156</v>
      </c>
      <c r="F346" s="128"/>
      <c r="G346" s="128"/>
      <c r="H346" s="128"/>
      <c r="I346" s="22"/>
      <c r="J346" s="2"/>
      <c r="K346" s="2"/>
      <c r="L346" s="2"/>
      <c r="M346" s="2"/>
      <c r="N346" s="2"/>
    </row>
    <row r="347" spans="1:14" s="8" customFormat="1" x14ac:dyDescent="0.2">
      <c r="A347"/>
      <c r="B347"/>
      <c r="C347"/>
      <c r="D347" s="22" t="s">
        <v>7</v>
      </c>
      <c r="E347" s="26" t="s">
        <v>157</v>
      </c>
      <c r="F347" s="128"/>
      <c r="G347" s="128"/>
      <c r="H347" s="128"/>
      <c r="I347" s="22"/>
      <c r="J347" s="2"/>
      <c r="K347" s="2"/>
      <c r="L347" s="2"/>
      <c r="M347" s="2"/>
      <c r="N347" s="2"/>
    </row>
    <row r="348" spans="1:14" s="8" customFormat="1" x14ac:dyDescent="0.2">
      <c r="A348"/>
      <c r="B348"/>
      <c r="C348"/>
      <c r="D348" s="22" t="s">
        <v>7</v>
      </c>
      <c r="E348" s="26" t="s">
        <v>158</v>
      </c>
      <c r="F348" s="128"/>
      <c r="G348" s="128"/>
      <c r="H348" s="128"/>
      <c r="I348" s="22"/>
      <c r="J348" s="2"/>
      <c r="K348" s="2"/>
      <c r="L348" s="2"/>
      <c r="M348" s="2"/>
      <c r="N348" s="2"/>
    </row>
    <row r="349" spans="1:14" s="8" customFormat="1" x14ac:dyDescent="0.2">
      <c r="A349"/>
      <c r="B349"/>
      <c r="C349">
        <f>C348*0.5*(C344+C345)</f>
        <v>0</v>
      </c>
      <c r="D349" s="22" t="s">
        <v>8</v>
      </c>
      <c r="E349" s="26" t="s">
        <v>159</v>
      </c>
      <c r="F349" s="128"/>
      <c r="G349" s="128"/>
      <c r="H349" s="128"/>
      <c r="I349" s="22"/>
      <c r="J349" s="2"/>
      <c r="K349" s="2"/>
      <c r="L349" s="2"/>
      <c r="M349" s="2"/>
      <c r="N349" s="2"/>
    </row>
    <row r="350" spans="1:14" s="8" customFormat="1" x14ac:dyDescent="0.2">
      <c r="A350"/>
      <c r="B350"/>
      <c r="C350"/>
      <c r="D350"/>
      <c r="E350"/>
      <c r="F350" s="128"/>
      <c r="G350" s="128"/>
      <c r="H350" s="128"/>
      <c r="I350" s="22"/>
      <c r="J350" s="2"/>
      <c r="K350" s="2"/>
      <c r="L350" s="2"/>
      <c r="M350" s="2"/>
      <c r="N350" s="2"/>
    </row>
    <row r="351" spans="1:14" s="8" customFormat="1" x14ac:dyDescent="0.2">
      <c r="A351" s="129" t="s">
        <v>136</v>
      </c>
      <c r="B351"/>
      <c r="C351"/>
      <c r="D351" s="22" t="s">
        <v>7</v>
      </c>
      <c r="E351" s="26" t="s">
        <v>106</v>
      </c>
      <c r="F351" s="128"/>
      <c r="G351" s="128"/>
      <c r="H351" s="128"/>
      <c r="I351" s="22"/>
      <c r="J351" s="2"/>
      <c r="K351" s="2"/>
      <c r="L351" s="2"/>
      <c r="M351" s="2"/>
      <c r="N351" s="2"/>
    </row>
    <row r="352" spans="1:14" s="8" customFormat="1" x14ac:dyDescent="0.2">
      <c r="A352"/>
      <c r="B352"/>
      <c r="C352"/>
      <c r="D352" s="22" t="s">
        <v>7</v>
      </c>
      <c r="E352" s="26" t="s">
        <v>105</v>
      </c>
      <c r="F352" s="128"/>
      <c r="G352" s="128"/>
      <c r="H352" s="128"/>
      <c r="I352" s="22"/>
      <c r="J352" s="2"/>
      <c r="K352" s="2"/>
      <c r="L352" s="2"/>
      <c r="M352" s="2"/>
      <c r="N352" s="2"/>
    </row>
    <row r="353" spans="1:14" s="8" customFormat="1" x14ac:dyDescent="0.2">
      <c r="A353"/>
      <c r="B353"/>
      <c r="C353"/>
      <c r="D353" s="22" t="s">
        <v>7</v>
      </c>
      <c r="E353" s="26" t="s">
        <v>156</v>
      </c>
      <c r="F353" s="128"/>
      <c r="G353" s="128"/>
      <c r="H353" s="128"/>
      <c r="I353" s="22"/>
      <c r="J353" s="2"/>
      <c r="K353" s="2"/>
      <c r="L353" s="2"/>
      <c r="M353" s="2"/>
      <c r="N353" s="2"/>
    </row>
    <row r="354" spans="1:14" s="8" customFormat="1" x14ac:dyDescent="0.2">
      <c r="A354"/>
      <c r="B354"/>
      <c r="C354"/>
      <c r="D354" s="22" t="s">
        <v>7</v>
      </c>
      <c r="E354" s="26" t="s">
        <v>157</v>
      </c>
      <c r="F354" s="128"/>
      <c r="G354" s="128"/>
      <c r="H354" s="128"/>
      <c r="I354" s="22"/>
      <c r="J354" s="2"/>
      <c r="K354" s="2"/>
      <c r="L354" s="2"/>
      <c r="M354" s="2"/>
      <c r="N354" s="2"/>
    </row>
    <row r="355" spans="1:14" s="8" customFormat="1" x14ac:dyDescent="0.2">
      <c r="A355"/>
      <c r="B355"/>
      <c r="C355"/>
      <c r="D355" s="22" t="s">
        <v>7</v>
      </c>
      <c r="E355" s="26" t="s">
        <v>158</v>
      </c>
      <c r="F355" s="128"/>
      <c r="G355" s="128"/>
      <c r="H355" s="128"/>
      <c r="I355" s="22"/>
      <c r="J355" s="2"/>
      <c r="K355" s="2"/>
      <c r="L355" s="2"/>
      <c r="M355" s="2"/>
      <c r="N355" s="2"/>
    </row>
    <row r="356" spans="1:14" s="8" customFormat="1" x14ac:dyDescent="0.2">
      <c r="A356"/>
      <c r="B356"/>
      <c r="C356">
        <f>C355*0.5*(C351+C352)</f>
        <v>0</v>
      </c>
      <c r="D356" s="22" t="s">
        <v>8</v>
      </c>
      <c r="E356" s="26" t="s">
        <v>159</v>
      </c>
      <c r="F356" s="128"/>
      <c r="G356" s="128"/>
      <c r="H356" s="128"/>
      <c r="I356" s="22"/>
      <c r="J356" s="2"/>
      <c r="K356" s="2"/>
      <c r="L356" s="2"/>
      <c r="M356" s="2"/>
      <c r="N356" s="2"/>
    </row>
    <row r="357" spans="1:14" s="8" customFormat="1" x14ac:dyDescent="0.2">
      <c r="F357" s="128"/>
      <c r="G357" s="128"/>
      <c r="H357" s="128"/>
      <c r="I357" s="22"/>
      <c r="J357" s="2"/>
      <c r="K357" s="2"/>
      <c r="L357" s="2"/>
      <c r="M357" s="2"/>
      <c r="N357" s="2"/>
    </row>
    <row r="358" spans="1:14" s="8" customFormat="1" x14ac:dyDescent="0.2">
      <c r="A358" s="129" t="s">
        <v>155</v>
      </c>
      <c r="B358"/>
      <c r="C358" s="130">
        <f>631.65-2.17-619</f>
        <v>10.480000000000018</v>
      </c>
      <c r="D358" s="22" t="s">
        <v>7</v>
      </c>
      <c r="E358" s="26" t="s">
        <v>106</v>
      </c>
      <c r="F358" s="128"/>
      <c r="G358" s="128"/>
      <c r="H358" s="128"/>
      <c r="I358" s="22"/>
      <c r="J358" s="2"/>
      <c r="K358" s="2"/>
      <c r="L358" s="2"/>
      <c r="M358" s="2"/>
      <c r="N358" s="2"/>
    </row>
    <row r="359" spans="1:14" s="8" customFormat="1" x14ac:dyDescent="0.2">
      <c r="A359" s="129" t="s">
        <v>151</v>
      </c>
      <c r="B359"/>
      <c r="C359" s="130">
        <f>632.99-2.17-619</f>
        <v>11.82000000000005</v>
      </c>
      <c r="D359" s="22" t="s">
        <v>7</v>
      </c>
      <c r="E359" s="26" t="s">
        <v>105</v>
      </c>
      <c r="F359" s="128"/>
      <c r="G359" s="128"/>
      <c r="H359" s="128"/>
      <c r="I359" s="22"/>
      <c r="J359" s="2"/>
      <c r="K359" s="2"/>
      <c r="L359" s="2"/>
      <c r="M359" s="2"/>
      <c r="N359" s="2"/>
    </row>
    <row r="360" spans="1:14" s="8" customFormat="1" x14ac:dyDescent="0.2">
      <c r="A360"/>
      <c r="B360"/>
      <c r="C360" s="130">
        <v>32</v>
      </c>
      <c r="D360" s="22" t="s">
        <v>7</v>
      </c>
      <c r="E360" s="26" t="s">
        <v>87</v>
      </c>
      <c r="F360" s="128"/>
      <c r="G360" s="128"/>
      <c r="H360" s="128"/>
      <c r="I360" s="22"/>
      <c r="J360" s="2"/>
      <c r="K360" s="2"/>
      <c r="L360" s="2"/>
      <c r="M360" s="2"/>
      <c r="N360" s="2"/>
    </row>
    <row r="361" spans="1:14" s="8" customFormat="1" x14ac:dyDescent="0.2">
      <c r="A361"/>
      <c r="B361"/>
      <c r="C361" s="130">
        <f>0.5*(C358+C359)*C360</f>
        <v>356.80000000000109</v>
      </c>
      <c r="D361" s="22" t="s">
        <v>8</v>
      </c>
      <c r="E361" s="26" t="s">
        <v>152</v>
      </c>
      <c r="F361" s="128"/>
      <c r="G361" s="128"/>
      <c r="H361" s="128"/>
      <c r="I361" s="22"/>
      <c r="J361" s="2"/>
      <c r="K361" s="2"/>
      <c r="L361" s="2"/>
      <c r="M361" s="2"/>
      <c r="N361" s="2"/>
    </row>
    <row r="362" spans="1:14" s="8" customFormat="1" x14ac:dyDescent="0.2">
      <c r="A362"/>
      <c r="B362"/>
      <c r="C362"/>
      <c r="D362"/>
      <c r="E362"/>
      <c r="F362" s="128"/>
      <c r="G362" s="128"/>
      <c r="H362" s="128"/>
      <c r="I362" s="22"/>
      <c r="J362" s="2"/>
      <c r="K362" s="2"/>
      <c r="L362" s="2"/>
      <c r="M362" s="2"/>
      <c r="N362" s="2"/>
    </row>
    <row r="363" spans="1:14" s="8" customFormat="1" x14ac:dyDescent="0.2">
      <c r="A363" s="129" t="s">
        <v>153</v>
      </c>
      <c r="B363"/>
      <c r="C363"/>
      <c r="D363" s="22" t="s">
        <v>7</v>
      </c>
      <c r="E363" s="26" t="s">
        <v>106</v>
      </c>
      <c r="F363" s="128"/>
      <c r="G363" s="128"/>
      <c r="H363" s="128"/>
      <c r="I363" s="22"/>
      <c r="J363" s="2"/>
      <c r="K363" s="2"/>
      <c r="L363" s="2"/>
      <c r="M363" s="2"/>
      <c r="N363" s="2"/>
    </row>
    <row r="364" spans="1:14" s="8" customFormat="1" x14ac:dyDescent="0.2">
      <c r="A364" s="129"/>
      <c r="B364"/>
      <c r="C364"/>
      <c r="D364" s="22" t="s">
        <v>7</v>
      </c>
      <c r="E364" s="26" t="s">
        <v>105</v>
      </c>
      <c r="F364" s="128"/>
      <c r="G364" s="128"/>
      <c r="H364" s="128"/>
      <c r="I364" s="22"/>
      <c r="J364" s="2"/>
      <c r="K364" s="2"/>
      <c r="L364" s="2"/>
      <c r="M364" s="2"/>
      <c r="N364" s="2"/>
    </row>
    <row r="365" spans="1:14" s="8" customFormat="1" x14ac:dyDescent="0.2">
      <c r="A365"/>
      <c r="B365"/>
      <c r="C365"/>
      <c r="D365" s="22" t="s">
        <v>7</v>
      </c>
      <c r="E365" s="26" t="s">
        <v>87</v>
      </c>
      <c r="F365" s="128"/>
      <c r="G365" s="128"/>
      <c r="H365" s="128"/>
      <c r="I365" s="22"/>
      <c r="J365" s="2"/>
      <c r="K365" s="2"/>
      <c r="L365" s="2"/>
      <c r="M365" s="2"/>
      <c r="N365" s="2"/>
    </row>
    <row r="366" spans="1:14" s="8" customFormat="1" x14ac:dyDescent="0.2">
      <c r="A366"/>
      <c r="B366"/>
      <c r="C366"/>
      <c r="D366" s="131" t="s">
        <v>7</v>
      </c>
      <c r="E366" s="26" t="s">
        <v>148</v>
      </c>
      <c r="F366" s="128"/>
      <c r="G366" s="128"/>
      <c r="H366" s="128"/>
      <c r="I366" s="22"/>
      <c r="J366" s="2"/>
      <c r="K366" s="2"/>
      <c r="L366" s="2"/>
      <c r="M366" s="2"/>
      <c r="N366" s="2"/>
    </row>
    <row r="367" spans="1:14" s="8" customFormat="1" x14ac:dyDescent="0.2">
      <c r="A367"/>
      <c r="B367"/>
      <c r="C367">
        <f>(C363+C364+C365)*C366+0.5*(C363+C364)*C365</f>
        <v>0</v>
      </c>
      <c r="D367" s="22" t="s">
        <v>8</v>
      </c>
      <c r="E367" s="26" t="s">
        <v>152</v>
      </c>
      <c r="F367" s="128"/>
      <c r="G367" s="128"/>
      <c r="H367" s="128"/>
      <c r="I367" s="22"/>
      <c r="J367" s="2"/>
      <c r="K367" s="2"/>
      <c r="L367" s="2"/>
      <c r="M367" s="2"/>
      <c r="N367" s="2"/>
    </row>
    <row r="368" spans="1:14" s="8" customFormat="1" x14ac:dyDescent="0.2">
      <c r="A368"/>
      <c r="B368"/>
      <c r="C368"/>
      <c r="D368"/>
      <c r="E368"/>
      <c r="F368" s="128"/>
      <c r="G368" s="128"/>
      <c r="H368" s="128"/>
      <c r="I368" s="22"/>
      <c r="J368" s="2"/>
      <c r="K368" s="2"/>
      <c r="L368" s="2"/>
      <c r="M368" s="2"/>
      <c r="N368" s="2"/>
    </row>
    <row r="369" spans="1:76" s="8" customFormat="1" x14ac:dyDescent="0.2">
      <c r="A369" s="129" t="s">
        <v>154</v>
      </c>
      <c r="B369"/>
      <c r="C369"/>
      <c r="D369" s="22" t="s">
        <v>7</v>
      </c>
      <c r="E369" s="26" t="s">
        <v>106</v>
      </c>
      <c r="F369" s="128"/>
      <c r="G369" s="128"/>
      <c r="H369" s="128"/>
      <c r="I369" s="22"/>
      <c r="J369" s="2"/>
      <c r="K369" s="2"/>
      <c r="L369" s="2"/>
      <c r="M369" s="2"/>
      <c r="N369" s="2"/>
    </row>
    <row r="370" spans="1:76" s="8" customFormat="1" x14ac:dyDescent="0.2">
      <c r="A370" s="129"/>
      <c r="B370"/>
      <c r="C370"/>
      <c r="D370" s="22" t="s">
        <v>7</v>
      </c>
      <c r="E370" s="26" t="s">
        <v>105</v>
      </c>
      <c r="F370" s="128"/>
      <c r="G370" s="128"/>
      <c r="H370" s="128"/>
      <c r="I370" s="22"/>
      <c r="J370" s="2"/>
      <c r="K370" s="2"/>
      <c r="L370" s="2"/>
      <c r="M370" s="2"/>
      <c r="N370" s="2"/>
    </row>
    <row r="371" spans="1:76" s="8" customFormat="1" x14ac:dyDescent="0.2">
      <c r="A371"/>
      <c r="B371"/>
      <c r="C371"/>
      <c r="D371" s="22" t="s">
        <v>7</v>
      </c>
      <c r="E371" s="26" t="s">
        <v>87</v>
      </c>
      <c r="F371" s="128"/>
      <c r="G371" s="128"/>
      <c r="H371" s="128"/>
      <c r="I371" s="22"/>
      <c r="J371" s="2"/>
      <c r="K371" s="2"/>
      <c r="L371" s="2"/>
      <c r="M371" s="2"/>
      <c r="N371" s="2"/>
    </row>
    <row r="372" spans="1:76" s="8" customFormat="1" x14ac:dyDescent="0.2">
      <c r="A372"/>
      <c r="B372"/>
      <c r="C372"/>
      <c r="D372" s="131" t="s">
        <v>7</v>
      </c>
      <c r="E372" s="26" t="s">
        <v>148</v>
      </c>
      <c r="J372" s="2"/>
      <c r="K372" s="2"/>
      <c r="L372" s="2"/>
      <c r="M372" s="2"/>
      <c r="N372" s="2"/>
    </row>
    <row r="373" spans="1:76" s="8" customFormat="1" x14ac:dyDescent="0.2">
      <c r="A373"/>
      <c r="B373"/>
      <c r="C373">
        <f>(C369+C370+C371)*C372+0.5*(C369+C370)*C371</f>
        <v>0</v>
      </c>
      <c r="D373" s="22" t="s">
        <v>8</v>
      </c>
      <c r="E373" s="26" t="s">
        <v>152</v>
      </c>
      <c r="J373" s="2"/>
      <c r="K373" s="2"/>
      <c r="L373" s="2"/>
      <c r="M373" s="2"/>
      <c r="N373" s="2"/>
    </row>
    <row r="374" spans="1:76" s="8" customFormat="1" x14ac:dyDescent="0.2">
      <c r="A374"/>
      <c r="B374"/>
      <c r="C374"/>
      <c r="D374"/>
      <c r="E374"/>
      <c r="J374" s="2"/>
      <c r="K374" s="2"/>
      <c r="L374" s="2"/>
      <c r="M374" s="2"/>
      <c r="N374" s="2"/>
    </row>
    <row r="375" spans="1:76" x14ac:dyDescent="0.2">
      <c r="A375" s="26"/>
      <c r="B375" s="26"/>
      <c r="C375" s="56">
        <f>+C373+C367+C330+C321+C325+C361+C356+C349+C342+C336</f>
        <v>5062.7255416580574</v>
      </c>
      <c r="D375" s="22" t="s">
        <v>8</v>
      </c>
      <c r="E375" s="26" t="s">
        <v>49</v>
      </c>
      <c r="F375" s="26"/>
      <c r="G375" s="26"/>
      <c r="H375" s="26"/>
      <c r="I375" s="26"/>
    </row>
    <row r="376" spans="1:76" s="18" customFormat="1" x14ac:dyDescent="0.2">
      <c r="A376" s="24"/>
      <c r="B376" s="24"/>
      <c r="C376" s="41">
        <f>C375/9</f>
        <v>562.52506018422855</v>
      </c>
      <c r="D376" s="23" t="s">
        <v>9</v>
      </c>
      <c r="E376" s="24" t="s">
        <v>49</v>
      </c>
      <c r="F376" s="24"/>
      <c r="G376" s="24"/>
      <c r="H376" s="24"/>
      <c r="I376" s="24"/>
      <c r="J376" s="2"/>
      <c r="K376" s="2"/>
      <c r="L376" s="2"/>
      <c r="M376" s="2"/>
      <c r="N376" s="2"/>
    </row>
    <row r="377" spans="1:76" s="38" customFormat="1" x14ac:dyDescent="0.2"/>
    <row r="378" spans="1:76" s="109" customFormat="1" x14ac:dyDescent="0.2">
      <c r="A378" s="35">
        <f>A34</f>
        <v>516</v>
      </c>
      <c r="B378" s="44">
        <f>B34</f>
        <v>10010</v>
      </c>
      <c r="C378" s="36">
        <f>ROUNDUP(C383,0)</f>
        <v>56</v>
      </c>
      <c r="D378" s="35" t="str">
        <f>D34</f>
        <v>FT</v>
      </c>
      <c r="E378" s="37" t="str">
        <f>E34</f>
        <v>ARMORLESS PREFORMED JOINT SEAL</v>
      </c>
      <c r="F378" s="39"/>
      <c r="G378" s="39"/>
      <c r="H378" s="39"/>
      <c r="I378" s="39"/>
      <c r="J378" s="39"/>
      <c r="K378" s="39"/>
      <c r="L378" s="39"/>
      <c r="M378" s="48"/>
      <c r="N378" s="118"/>
      <c r="O378" s="165"/>
      <c r="P378" s="165"/>
      <c r="Q378" s="165"/>
      <c r="R378" s="165"/>
      <c r="S378" s="165"/>
      <c r="T378" s="165"/>
      <c r="U378" s="165"/>
      <c r="V378" s="165"/>
      <c r="W378" s="165"/>
      <c r="X378" s="165"/>
      <c r="Y378" s="165"/>
      <c r="Z378" s="165"/>
      <c r="AA378" s="165"/>
      <c r="AB378" s="165"/>
      <c r="AC378" s="165"/>
      <c r="AD378" s="165"/>
      <c r="AE378" s="165"/>
      <c r="AF378" s="165"/>
      <c r="AG378" s="165"/>
      <c r="AH378" s="165"/>
      <c r="AI378" s="165"/>
      <c r="AJ378" s="165"/>
      <c r="AK378" s="165"/>
      <c r="AL378" s="165"/>
      <c r="AM378" s="165"/>
      <c r="AN378" s="165"/>
      <c r="AO378" s="165"/>
      <c r="AP378" s="165"/>
      <c r="AQ378" s="165"/>
      <c r="AR378" s="165"/>
      <c r="AS378" s="165"/>
      <c r="AT378" s="165"/>
      <c r="AU378" s="165"/>
      <c r="AV378" s="165"/>
      <c r="AW378" s="165"/>
      <c r="AX378" s="165"/>
      <c r="AY378" s="165"/>
      <c r="AZ378" s="165"/>
      <c r="BA378" s="165"/>
      <c r="BB378" s="165"/>
      <c r="BC378" s="165"/>
      <c r="BD378" s="165"/>
      <c r="BE378" s="165"/>
      <c r="BF378" s="165"/>
      <c r="BG378" s="165"/>
      <c r="BH378" s="165"/>
      <c r="BI378" s="165"/>
      <c r="BJ378" s="165"/>
      <c r="BK378" s="165"/>
      <c r="BL378" s="165"/>
      <c r="BM378" s="165"/>
      <c r="BN378" s="165"/>
      <c r="BO378" s="165"/>
      <c r="BP378" s="165"/>
      <c r="BQ378" s="165"/>
      <c r="BR378" s="165"/>
      <c r="BS378" s="165"/>
      <c r="BT378" s="165"/>
      <c r="BU378" s="165"/>
      <c r="BV378" s="165"/>
      <c r="BW378" s="165"/>
      <c r="BX378" s="165"/>
    </row>
    <row r="379" spans="1:76" s="108" customFormat="1" x14ac:dyDescent="0.2">
      <c r="A379" s="20" t="s">
        <v>36</v>
      </c>
      <c r="B379" s="50"/>
      <c r="C379" s="51">
        <v>27.57</v>
      </c>
      <c r="D379" s="32" t="s">
        <v>7</v>
      </c>
      <c r="E379" s="20" t="s">
        <v>101</v>
      </c>
      <c r="F379" s="32"/>
      <c r="G379" s="32"/>
      <c r="H379" s="32"/>
      <c r="I379" s="117"/>
      <c r="J379" s="2"/>
      <c r="K379" s="2"/>
      <c r="L379" s="2"/>
      <c r="M379" s="2"/>
      <c r="N379" s="2"/>
    </row>
    <row r="380" spans="1:76" s="108" customFormat="1" x14ac:dyDescent="0.2">
      <c r="A380" s="20"/>
      <c r="B380" s="50"/>
      <c r="C380" s="59"/>
      <c r="D380" s="32"/>
      <c r="E380" s="20"/>
      <c r="F380" s="32"/>
      <c r="G380" s="32"/>
      <c r="H380" s="32"/>
      <c r="I380" s="117"/>
      <c r="J380" s="2"/>
      <c r="K380" s="2"/>
      <c r="L380" s="2"/>
      <c r="M380" s="2"/>
      <c r="N380" s="2"/>
    </row>
    <row r="381" spans="1:76" s="108" customFormat="1" x14ac:dyDescent="0.2">
      <c r="A381" s="20" t="s">
        <v>37</v>
      </c>
      <c r="B381" s="50"/>
      <c r="C381" s="51">
        <v>27.54</v>
      </c>
      <c r="D381" s="32" t="s">
        <v>7</v>
      </c>
      <c r="E381" s="20" t="s">
        <v>101</v>
      </c>
      <c r="F381" s="32"/>
      <c r="G381" s="32"/>
      <c r="H381" s="32"/>
      <c r="I381" s="117"/>
      <c r="J381" s="2"/>
      <c r="K381" s="2"/>
      <c r="L381" s="2"/>
      <c r="M381" s="2"/>
      <c r="N381" s="2"/>
    </row>
    <row r="382" spans="1:76" s="108" customFormat="1" x14ac:dyDescent="0.2">
      <c r="A382" s="32"/>
      <c r="B382" s="50"/>
      <c r="C382" s="27"/>
      <c r="D382" s="32"/>
      <c r="E382" s="20"/>
      <c r="F382" s="32"/>
      <c r="G382" s="32"/>
      <c r="H382" s="32"/>
      <c r="I382" s="117"/>
      <c r="J382" s="2"/>
      <c r="K382" s="2"/>
      <c r="L382" s="2"/>
      <c r="M382" s="2"/>
      <c r="N382" s="2"/>
    </row>
    <row r="383" spans="1:76" s="16" customFormat="1" x14ac:dyDescent="0.2">
      <c r="A383" s="23"/>
      <c r="B383" s="42"/>
      <c r="C383" s="41">
        <f>C379+C381</f>
        <v>55.11</v>
      </c>
      <c r="D383" s="23" t="s">
        <v>7</v>
      </c>
      <c r="E383" s="25" t="s">
        <v>6</v>
      </c>
      <c r="F383" s="23"/>
      <c r="G383" s="23"/>
      <c r="H383" s="23"/>
      <c r="I383" s="17"/>
      <c r="J383" s="2"/>
      <c r="K383" s="2"/>
      <c r="L383" s="2"/>
      <c r="M383" s="2"/>
      <c r="N383" s="2"/>
    </row>
    <row r="384" spans="1:76" s="38" customFormat="1" x14ac:dyDescent="0.2"/>
    <row r="385" spans="1:76" s="109" customFormat="1" x14ac:dyDescent="0.2">
      <c r="A385" s="35">
        <f>A35</f>
        <v>516</v>
      </c>
      <c r="B385" s="44">
        <f>B35</f>
        <v>13200</v>
      </c>
      <c r="C385" s="36">
        <f>ROUNDUP(C392,0)</f>
        <v>64</v>
      </c>
      <c r="D385" s="35" t="str">
        <f>D35</f>
        <v>SF</v>
      </c>
      <c r="E385" s="37" t="str">
        <f>E35</f>
        <v>1/2" PREFORMED EXPANSION JOINT FILLER</v>
      </c>
      <c r="F385" s="39"/>
      <c r="G385" s="39"/>
      <c r="H385" s="39"/>
      <c r="I385" s="39"/>
      <c r="J385" s="39"/>
      <c r="K385" s="39"/>
      <c r="L385" s="39"/>
      <c r="M385" s="48"/>
      <c r="N385" s="118"/>
      <c r="O385" s="165"/>
      <c r="P385" s="165"/>
      <c r="Q385" s="165"/>
      <c r="R385" s="165"/>
      <c r="S385" s="165"/>
      <c r="T385" s="165"/>
      <c r="U385" s="165"/>
      <c r="V385" s="165"/>
      <c r="W385" s="165"/>
      <c r="X385" s="165"/>
      <c r="Y385" s="165"/>
      <c r="Z385" s="165"/>
      <c r="AA385" s="165"/>
      <c r="AB385" s="165"/>
      <c r="AC385" s="165"/>
      <c r="AD385" s="165"/>
      <c r="AE385" s="165"/>
      <c r="AF385" s="165"/>
      <c r="AG385" s="165"/>
      <c r="AH385" s="165"/>
      <c r="AI385" s="165"/>
      <c r="AJ385" s="165"/>
      <c r="AK385" s="165"/>
      <c r="AL385" s="165"/>
      <c r="AM385" s="165"/>
      <c r="AN385" s="165"/>
      <c r="AO385" s="165"/>
      <c r="AP385" s="165"/>
      <c r="AQ385" s="165"/>
      <c r="AR385" s="165"/>
      <c r="AS385" s="165"/>
      <c r="AT385" s="165"/>
      <c r="AU385" s="165"/>
      <c r="AV385" s="165"/>
      <c r="AW385" s="165"/>
      <c r="AX385" s="165"/>
      <c r="AY385" s="165"/>
      <c r="AZ385" s="165"/>
      <c r="BA385" s="165"/>
      <c r="BB385" s="165"/>
      <c r="BC385" s="165"/>
      <c r="BD385" s="165"/>
      <c r="BE385" s="165"/>
      <c r="BF385" s="165"/>
      <c r="BG385" s="165"/>
      <c r="BH385" s="165"/>
      <c r="BI385" s="165"/>
      <c r="BJ385" s="165"/>
      <c r="BK385" s="165"/>
      <c r="BL385" s="165"/>
      <c r="BM385" s="165"/>
      <c r="BN385" s="165"/>
      <c r="BO385" s="165"/>
      <c r="BP385" s="165"/>
      <c r="BQ385" s="165"/>
      <c r="BR385" s="165"/>
      <c r="BS385" s="165"/>
      <c r="BT385" s="165"/>
      <c r="BU385" s="165"/>
      <c r="BV385" s="165"/>
      <c r="BW385" s="165"/>
      <c r="BX385" s="165"/>
    </row>
    <row r="386" spans="1:76" s="108" customFormat="1" x14ac:dyDescent="0.2">
      <c r="A386" s="20" t="s">
        <v>36</v>
      </c>
      <c r="B386" s="50"/>
      <c r="C386" s="51">
        <v>1</v>
      </c>
      <c r="D386" s="32" t="s">
        <v>7</v>
      </c>
      <c r="E386" s="20" t="s">
        <v>60</v>
      </c>
      <c r="F386" s="32"/>
      <c r="G386" s="32"/>
      <c r="H386" s="117"/>
      <c r="I386" s="117"/>
      <c r="J386" s="2"/>
      <c r="K386" s="2"/>
      <c r="L386" s="2"/>
      <c r="M386" s="2"/>
      <c r="N386" s="2"/>
    </row>
    <row r="387" spans="1:76" s="108" customFormat="1" x14ac:dyDescent="0.2">
      <c r="A387" s="20"/>
      <c r="B387" s="50"/>
      <c r="C387" s="51">
        <f>C214</f>
        <v>31.614999999999998</v>
      </c>
      <c r="D387" s="32" t="s">
        <v>7</v>
      </c>
      <c r="E387" s="20" t="s">
        <v>61</v>
      </c>
      <c r="F387" s="32"/>
      <c r="G387" s="32"/>
      <c r="H387" s="117"/>
      <c r="I387" s="117"/>
      <c r="J387" s="2"/>
      <c r="K387" s="2"/>
      <c r="L387" s="2"/>
      <c r="M387" s="2"/>
      <c r="N387" s="2"/>
    </row>
    <row r="388" spans="1:76" s="108" customFormat="1" x14ac:dyDescent="0.2">
      <c r="A388" s="20"/>
      <c r="B388" s="50"/>
      <c r="C388" s="59"/>
      <c r="D388" s="32"/>
      <c r="E388" s="20"/>
      <c r="F388" s="32"/>
      <c r="G388" s="32"/>
      <c r="H388" s="117"/>
      <c r="I388" s="117"/>
      <c r="J388" s="2"/>
      <c r="K388" s="2"/>
      <c r="L388" s="2"/>
      <c r="M388" s="2"/>
      <c r="N388" s="2"/>
    </row>
    <row r="389" spans="1:76" s="108" customFormat="1" x14ac:dyDescent="0.2">
      <c r="A389" s="20" t="s">
        <v>37</v>
      </c>
      <c r="B389" s="50"/>
      <c r="C389" s="51">
        <v>1</v>
      </c>
      <c r="D389" s="32" t="s">
        <v>7</v>
      </c>
      <c r="E389" s="20" t="s">
        <v>60</v>
      </c>
      <c r="F389" s="32"/>
      <c r="G389" s="32"/>
      <c r="H389" s="117"/>
      <c r="I389" s="117"/>
      <c r="J389" s="2"/>
      <c r="K389" s="2"/>
      <c r="L389" s="2"/>
      <c r="M389" s="2"/>
      <c r="N389" s="2"/>
    </row>
    <row r="390" spans="1:76" s="108" customFormat="1" x14ac:dyDescent="0.2">
      <c r="A390" s="20"/>
      <c r="B390" s="50"/>
      <c r="C390" s="51">
        <f>C247</f>
        <v>31.577000000000002</v>
      </c>
      <c r="D390" s="32" t="s">
        <v>7</v>
      </c>
      <c r="E390" s="20" t="s">
        <v>61</v>
      </c>
      <c r="F390" s="32"/>
      <c r="G390" s="32"/>
      <c r="H390" s="117"/>
      <c r="I390" s="117"/>
      <c r="J390" s="2"/>
      <c r="K390" s="2"/>
      <c r="L390" s="2"/>
      <c r="M390" s="2"/>
      <c r="N390" s="2"/>
    </row>
    <row r="391" spans="1:76" s="108" customFormat="1" x14ac:dyDescent="0.2">
      <c r="A391" s="32"/>
      <c r="B391" s="50"/>
      <c r="C391" s="27"/>
      <c r="D391" s="32"/>
      <c r="E391" s="20"/>
      <c r="F391" s="32"/>
      <c r="G391" s="32"/>
      <c r="H391" s="117"/>
      <c r="I391" s="117"/>
      <c r="J391" s="2"/>
      <c r="K391" s="2"/>
      <c r="L391" s="2"/>
      <c r="M391" s="2"/>
      <c r="N391" s="2"/>
    </row>
    <row r="392" spans="1:76" s="16" customFormat="1" x14ac:dyDescent="0.2">
      <c r="A392" s="23"/>
      <c r="B392" s="42"/>
      <c r="C392" s="41">
        <f>C386*C387+C389*C390</f>
        <v>63.192</v>
      </c>
      <c r="D392" s="23" t="s">
        <v>8</v>
      </c>
      <c r="E392" s="25" t="s">
        <v>24</v>
      </c>
      <c r="F392" s="23"/>
      <c r="G392" s="23"/>
      <c r="H392" s="17"/>
      <c r="I392" s="17"/>
      <c r="J392" s="2"/>
      <c r="K392" s="2"/>
      <c r="L392" s="2"/>
      <c r="M392" s="2"/>
      <c r="N392" s="2"/>
    </row>
    <row r="393" spans="1:76" s="38" customFormat="1" x14ac:dyDescent="0.2"/>
    <row r="394" spans="1:76" s="109" customFormat="1" x14ac:dyDescent="0.2">
      <c r="A394" s="35">
        <f>A36</f>
        <v>516</v>
      </c>
      <c r="B394" s="44">
        <f>B36</f>
        <v>13600</v>
      </c>
      <c r="C394" s="36">
        <f>ROUNDUP(C405,0)</f>
        <v>80</v>
      </c>
      <c r="D394" s="35" t="str">
        <f>D36</f>
        <v>SF</v>
      </c>
      <c r="E394" s="37" t="str">
        <f>E36</f>
        <v>1" PREFORMED EXPANSION JOINT FILLER</v>
      </c>
      <c r="F394" s="39"/>
      <c r="G394" s="39"/>
      <c r="H394" s="39"/>
      <c r="I394" s="39"/>
      <c r="J394" s="39"/>
      <c r="K394" s="39"/>
      <c r="L394" s="39"/>
      <c r="M394" s="48"/>
      <c r="N394" s="118"/>
      <c r="O394" s="165"/>
      <c r="P394" s="165"/>
      <c r="Q394" s="165"/>
      <c r="R394" s="165"/>
      <c r="S394" s="165"/>
      <c r="T394" s="165"/>
      <c r="U394" s="165"/>
      <c r="V394" s="165"/>
      <c r="W394" s="165"/>
      <c r="X394" s="165"/>
      <c r="Y394" s="165"/>
      <c r="Z394" s="165"/>
      <c r="AA394" s="165"/>
      <c r="AB394" s="165"/>
      <c r="AC394" s="165"/>
      <c r="AD394" s="165"/>
      <c r="AE394" s="165"/>
      <c r="AF394" s="165"/>
      <c r="AG394" s="165"/>
      <c r="AH394" s="165"/>
      <c r="AI394" s="165"/>
      <c r="AJ394" s="165"/>
      <c r="AK394" s="165"/>
      <c r="AL394" s="165"/>
      <c r="AM394" s="165"/>
      <c r="AN394" s="165"/>
      <c r="AO394" s="165"/>
      <c r="AP394" s="165"/>
      <c r="AQ394" s="165"/>
      <c r="AR394" s="165"/>
      <c r="AS394" s="165"/>
      <c r="AT394" s="165"/>
      <c r="AU394" s="165"/>
      <c r="AV394" s="165"/>
      <c r="AW394" s="165"/>
      <c r="AX394" s="165"/>
      <c r="AY394" s="165"/>
      <c r="AZ394" s="165"/>
      <c r="BA394" s="165"/>
      <c r="BB394" s="165"/>
      <c r="BC394" s="165"/>
      <c r="BD394" s="165"/>
      <c r="BE394" s="165"/>
      <c r="BF394" s="165"/>
      <c r="BG394" s="165"/>
      <c r="BH394" s="165"/>
      <c r="BI394" s="165"/>
      <c r="BJ394" s="165"/>
      <c r="BK394" s="165"/>
      <c r="BL394" s="165"/>
      <c r="BM394" s="165"/>
      <c r="BN394" s="165"/>
      <c r="BO394" s="165"/>
      <c r="BP394" s="165"/>
      <c r="BQ394" s="165"/>
      <c r="BR394" s="165"/>
      <c r="BS394" s="165"/>
      <c r="BT394" s="165"/>
      <c r="BU394" s="165"/>
      <c r="BV394" s="165"/>
      <c r="BW394" s="165"/>
      <c r="BX394" s="165"/>
    </row>
    <row r="395" spans="1:76" s="108" customFormat="1" x14ac:dyDescent="0.2">
      <c r="A395" s="20" t="s">
        <v>118</v>
      </c>
      <c r="B395" s="58"/>
      <c r="C395" s="59">
        <f>C180</f>
        <v>4.0833333333333339</v>
      </c>
      <c r="D395" s="32" t="s">
        <v>8</v>
      </c>
      <c r="E395" s="20" t="s">
        <v>99</v>
      </c>
      <c r="F395" s="32"/>
      <c r="G395" s="32"/>
      <c r="H395" s="117"/>
      <c r="I395" s="117"/>
      <c r="J395" s="2"/>
      <c r="K395" s="2"/>
      <c r="L395" s="2"/>
      <c r="M395" s="2"/>
      <c r="N395" s="2"/>
    </row>
    <row r="396" spans="1:76" s="108" customFormat="1" x14ac:dyDescent="0.2">
      <c r="A396" s="67"/>
      <c r="B396" s="58"/>
      <c r="C396" s="59">
        <v>4</v>
      </c>
      <c r="D396" s="32" t="s">
        <v>12</v>
      </c>
      <c r="E396" s="20" t="s">
        <v>98</v>
      </c>
      <c r="F396" s="32"/>
      <c r="G396" s="32"/>
      <c r="H396" s="117"/>
      <c r="I396" s="117"/>
      <c r="J396" s="2"/>
      <c r="K396" s="2"/>
      <c r="L396" s="2"/>
      <c r="M396" s="2"/>
      <c r="N396" s="2"/>
    </row>
    <row r="397" spans="1:76" s="108" customFormat="1" x14ac:dyDescent="0.2">
      <c r="A397" s="67"/>
      <c r="B397" s="58"/>
      <c r="C397" s="59">
        <f>C395*C396</f>
        <v>16.333333333333336</v>
      </c>
      <c r="D397" s="32" t="s">
        <v>8</v>
      </c>
      <c r="E397" s="20" t="s">
        <v>62</v>
      </c>
      <c r="F397" s="32"/>
      <c r="G397" s="32"/>
      <c r="H397" s="117"/>
      <c r="I397" s="117"/>
      <c r="J397" s="2"/>
      <c r="K397" s="2"/>
      <c r="L397" s="2"/>
      <c r="M397" s="2"/>
      <c r="N397" s="2"/>
    </row>
    <row r="398" spans="1:76" s="108" customFormat="1" x14ac:dyDescent="0.2">
      <c r="A398" s="67"/>
      <c r="B398" s="58"/>
      <c r="C398" s="59"/>
      <c r="D398" s="32"/>
      <c r="E398" s="20"/>
      <c r="F398" s="32"/>
      <c r="G398" s="32"/>
      <c r="H398" s="117"/>
      <c r="I398" s="117"/>
      <c r="J398" s="2"/>
      <c r="K398" s="2"/>
      <c r="L398" s="2"/>
      <c r="M398" s="2"/>
      <c r="N398" s="2"/>
    </row>
    <row r="399" spans="1:76" s="108" customFormat="1" x14ac:dyDescent="0.2">
      <c r="A399" s="20" t="s">
        <v>36</v>
      </c>
      <c r="B399" s="50"/>
      <c r="C399" s="51">
        <v>1</v>
      </c>
      <c r="D399" s="32" t="s">
        <v>7</v>
      </c>
      <c r="E399" s="20" t="s">
        <v>60</v>
      </c>
      <c r="F399" s="32"/>
      <c r="G399" s="32"/>
      <c r="H399" s="117"/>
      <c r="I399" s="117"/>
      <c r="J399" s="2"/>
      <c r="K399" s="2"/>
      <c r="L399" s="2"/>
      <c r="M399" s="2"/>
      <c r="N399" s="2"/>
    </row>
    <row r="400" spans="1:76" s="108" customFormat="1" x14ac:dyDescent="0.2">
      <c r="A400" s="20"/>
      <c r="B400" s="50"/>
      <c r="C400" s="51">
        <f>C387</f>
        <v>31.614999999999998</v>
      </c>
      <c r="D400" s="32" t="s">
        <v>7</v>
      </c>
      <c r="E400" s="20" t="s">
        <v>61</v>
      </c>
      <c r="F400" s="32"/>
      <c r="G400" s="32"/>
      <c r="H400" s="117"/>
      <c r="I400" s="117"/>
      <c r="J400" s="2"/>
      <c r="K400" s="2"/>
      <c r="L400" s="2"/>
      <c r="M400" s="2"/>
      <c r="N400" s="2"/>
    </row>
    <row r="401" spans="1:76" s="108" customFormat="1" x14ac:dyDescent="0.2">
      <c r="A401" s="20"/>
      <c r="B401" s="50"/>
      <c r="C401" s="59"/>
      <c r="D401" s="32"/>
      <c r="E401" s="20"/>
      <c r="F401" s="32"/>
      <c r="G401" s="32"/>
      <c r="H401" s="117"/>
      <c r="I401" s="117"/>
      <c r="J401" s="2"/>
      <c r="K401" s="2"/>
      <c r="L401" s="2"/>
      <c r="M401" s="2"/>
      <c r="N401" s="2"/>
    </row>
    <row r="402" spans="1:76" s="108" customFormat="1" x14ac:dyDescent="0.2">
      <c r="A402" s="20" t="s">
        <v>37</v>
      </c>
      <c r="B402" s="50"/>
      <c r="C402" s="51">
        <v>1</v>
      </c>
      <c r="D402" s="32" t="s">
        <v>7</v>
      </c>
      <c r="E402" s="20" t="s">
        <v>60</v>
      </c>
      <c r="F402" s="32"/>
      <c r="G402" s="32"/>
      <c r="H402" s="117"/>
      <c r="I402" s="117"/>
      <c r="J402" s="2"/>
      <c r="K402" s="2"/>
      <c r="L402" s="2"/>
      <c r="M402" s="2"/>
      <c r="N402" s="2"/>
    </row>
    <row r="403" spans="1:76" s="108" customFormat="1" x14ac:dyDescent="0.2">
      <c r="A403" s="20"/>
      <c r="B403" s="50"/>
      <c r="C403" s="51">
        <f>C390</f>
        <v>31.577000000000002</v>
      </c>
      <c r="D403" s="32" t="s">
        <v>7</v>
      </c>
      <c r="E403" s="20" t="s">
        <v>61</v>
      </c>
      <c r="F403" s="32"/>
      <c r="G403" s="32"/>
      <c r="H403" s="117"/>
      <c r="I403" s="117"/>
      <c r="J403" s="2"/>
      <c r="K403" s="2"/>
      <c r="L403" s="2"/>
      <c r="M403" s="2"/>
      <c r="N403" s="2"/>
    </row>
    <row r="404" spans="1:76" s="108" customFormat="1" x14ac:dyDescent="0.2">
      <c r="A404" s="32"/>
      <c r="B404" s="50"/>
      <c r="C404" s="27"/>
      <c r="D404" s="32"/>
      <c r="E404" s="20"/>
      <c r="F404" s="32"/>
      <c r="G404" s="32"/>
      <c r="H404" s="117"/>
      <c r="I404" s="117"/>
      <c r="J404" s="2"/>
      <c r="K404" s="2"/>
      <c r="L404" s="2"/>
      <c r="M404" s="2"/>
      <c r="N404" s="2"/>
    </row>
    <row r="405" spans="1:76" s="16" customFormat="1" x14ac:dyDescent="0.2">
      <c r="A405" s="23"/>
      <c r="B405" s="42"/>
      <c r="C405" s="41">
        <f>C399*C400+C402*C403+C397</f>
        <v>79.525333333333336</v>
      </c>
      <c r="D405" s="23" t="s">
        <v>8</v>
      </c>
      <c r="E405" s="25" t="s">
        <v>24</v>
      </c>
      <c r="F405" s="23"/>
      <c r="G405" s="23"/>
      <c r="H405" s="17"/>
      <c r="I405" s="17"/>
      <c r="J405" s="2"/>
      <c r="K405" s="2"/>
      <c r="L405" s="2"/>
      <c r="M405" s="2"/>
      <c r="N405" s="2"/>
    </row>
    <row r="406" spans="1:76" s="38" customFormat="1" x14ac:dyDescent="0.2"/>
    <row r="407" spans="1:76" s="109" customFormat="1" x14ac:dyDescent="0.2">
      <c r="A407" s="35">
        <f>A37</f>
        <v>516</v>
      </c>
      <c r="B407" s="44">
        <f>B37</f>
        <v>13900</v>
      </c>
      <c r="C407" s="36">
        <f>ROUNDUP(C424,0)</f>
        <v>59</v>
      </c>
      <c r="D407" s="35" t="str">
        <f>D37</f>
        <v>SF</v>
      </c>
      <c r="E407" s="37" t="str">
        <f>E37</f>
        <v>2" PREFORMED EXPANSION JOINT FILLER</v>
      </c>
      <c r="F407" s="39"/>
      <c r="G407" s="39"/>
      <c r="H407" s="39"/>
      <c r="I407" s="39"/>
      <c r="J407" s="39"/>
      <c r="K407" s="39"/>
      <c r="L407" s="39"/>
      <c r="M407" s="48"/>
      <c r="N407" s="118"/>
      <c r="O407" s="165"/>
      <c r="P407" s="165"/>
      <c r="Q407" s="165"/>
      <c r="R407" s="165"/>
      <c r="S407" s="165"/>
      <c r="T407" s="165"/>
      <c r="U407" s="165"/>
      <c r="V407" s="165"/>
      <c r="W407" s="165"/>
      <c r="X407" s="165"/>
      <c r="Y407" s="165"/>
      <c r="Z407" s="165"/>
      <c r="AA407" s="165"/>
      <c r="AB407" s="165"/>
      <c r="AC407" s="165"/>
      <c r="AD407" s="165"/>
      <c r="AE407" s="165"/>
      <c r="AF407" s="165"/>
      <c r="AG407" s="165"/>
      <c r="AH407" s="165"/>
      <c r="AI407" s="165"/>
      <c r="AJ407" s="165"/>
      <c r="AK407" s="165"/>
      <c r="AL407" s="165"/>
      <c r="AM407" s="165"/>
      <c r="AN407" s="165"/>
      <c r="AO407" s="165"/>
      <c r="AP407" s="165"/>
      <c r="AQ407" s="165"/>
      <c r="AR407" s="165"/>
      <c r="AS407" s="165"/>
      <c r="AT407" s="165"/>
      <c r="AU407" s="165"/>
      <c r="AV407" s="165"/>
      <c r="AW407" s="165"/>
      <c r="AX407" s="165"/>
      <c r="AY407" s="165"/>
      <c r="AZ407" s="165"/>
      <c r="BA407" s="165"/>
      <c r="BB407" s="165"/>
      <c r="BC407" s="165"/>
      <c r="BD407" s="165"/>
      <c r="BE407" s="165"/>
      <c r="BF407" s="165"/>
      <c r="BG407" s="165"/>
      <c r="BH407" s="165"/>
      <c r="BI407" s="165"/>
      <c r="BJ407" s="165"/>
      <c r="BK407" s="165"/>
      <c r="BL407" s="165"/>
      <c r="BM407" s="165"/>
      <c r="BN407" s="165"/>
      <c r="BO407" s="165"/>
      <c r="BP407" s="165"/>
      <c r="BQ407" s="165"/>
      <c r="BR407" s="165"/>
      <c r="BS407" s="165"/>
      <c r="BT407" s="165"/>
      <c r="BU407" s="165"/>
      <c r="BV407" s="165"/>
      <c r="BW407" s="165"/>
      <c r="BX407" s="165"/>
    </row>
    <row r="408" spans="1:76" s="33" customFormat="1" x14ac:dyDescent="0.2">
      <c r="A408" s="20" t="s">
        <v>36</v>
      </c>
      <c r="B408" s="58"/>
      <c r="C408" s="59">
        <v>4.17</v>
      </c>
      <c r="D408" s="32" t="s">
        <v>7</v>
      </c>
      <c r="E408" s="20" t="s">
        <v>162</v>
      </c>
      <c r="F408" s="32"/>
      <c r="G408" s="32"/>
      <c r="H408" s="32"/>
      <c r="I408" s="32"/>
      <c r="J408" s="2"/>
      <c r="K408" s="2"/>
      <c r="L408" s="2"/>
      <c r="M408" s="2"/>
      <c r="N408" s="2"/>
    </row>
    <row r="409" spans="1:76" s="33" customFormat="1" x14ac:dyDescent="0.2">
      <c r="A409" s="20"/>
      <c r="B409" s="58"/>
      <c r="C409" s="59">
        <v>5.75</v>
      </c>
      <c r="D409" s="32"/>
      <c r="E409" s="20" t="s">
        <v>163</v>
      </c>
      <c r="F409" s="32"/>
      <c r="G409" s="32"/>
      <c r="H409" s="32"/>
      <c r="I409" s="32"/>
      <c r="J409" s="2"/>
      <c r="K409" s="2"/>
      <c r="L409" s="2"/>
      <c r="M409" s="2"/>
      <c r="N409" s="2"/>
    </row>
    <row r="410" spans="1:76" s="33" customFormat="1" x14ac:dyDescent="0.2">
      <c r="A410" s="20"/>
      <c r="B410" s="58"/>
      <c r="C410" s="51">
        <v>3</v>
      </c>
      <c r="D410" s="32" t="s">
        <v>7</v>
      </c>
      <c r="E410" s="20" t="s">
        <v>164</v>
      </c>
      <c r="F410" s="32"/>
      <c r="G410" s="32"/>
      <c r="H410" s="32"/>
      <c r="I410" s="32"/>
      <c r="J410" s="2"/>
      <c r="K410" s="2"/>
      <c r="L410" s="2"/>
      <c r="M410" s="2"/>
      <c r="N410" s="2"/>
    </row>
    <row r="411" spans="1:76" s="33" customFormat="1" x14ac:dyDescent="0.2">
      <c r="A411" s="67"/>
      <c r="B411" s="58"/>
      <c r="C411" s="51"/>
      <c r="D411" s="32" t="s">
        <v>7</v>
      </c>
      <c r="E411" s="20" t="s">
        <v>90</v>
      </c>
      <c r="F411" s="32"/>
      <c r="G411" s="32"/>
      <c r="H411" s="32"/>
      <c r="I411" s="32"/>
      <c r="J411" s="2"/>
      <c r="K411" s="2"/>
      <c r="L411" s="2"/>
      <c r="M411" s="2"/>
      <c r="N411" s="2"/>
    </row>
    <row r="412" spans="1:76" s="33" customFormat="1" x14ac:dyDescent="0.2">
      <c r="A412" s="67"/>
      <c r="B412" s="58"/>
      <c r="C412" s="51"/>
      <c r="D412" s="32" t="s">
        <v>7</v>
      </c>
      <c r="E412" s="20" t="s">
        <v>86</v>
      </c>
      <c r="F412" s="32"/>
      <c r="G412" s="32"/>
      <c r="H412" s="32"/>
      <c r="I412" s="32"/>
      <c r="J412" s="2"/>
      <c r="K412" s="2"/>
      <c r="L412" s="2"/>
      <c r="M412" s="2"/>
      <c r="N412" s="2"/>
    </row>
    <row r="413" spans="1:76" s="33" customFormat="1" x14ac:dyDescent="0.2">
      <c r="A413" s="67"/>
      <c r="B413" s="58"/>
      <c r="C413" s="59"/>
      <c r="D413" s="32" t="s">
        <v>7</v>
      </c>
      <c r="E413" s="20" t="s">
        <v>72</v>
      </c>
      <c r="F413" s="32"/>
      <c r="G413" s="32"/>
      <c r="H413" s="32"/>
      <c r="I413" s="32"/>
      <c r="J413" s="2"/>
      <c r="K413" s="2"/>
      <c r="L413" s="2"/>
      <c r="M413" s="2"/>
      <c r="N413" s="2"/>
    </row>
    <row r="414" spans="1:76" s="33" customFormat="1" x14ac:dyDescent="0.2">
      <c r="A414" s="67"/>
      <c r="B414" s="58"/>
      <c r="C414" s="59">
        <f>(C408+C409)*C410+C411*C412*2</f>
        <v>29.759999999999998</v>
      </c>
      <c r="D414" s="32" t="s">
        <v>8</v>
      </c>
      <c r="E414" s="20" t="s">
        <v>62</v>
      </c>
      <c r="F414" s="32"/>
      <c r="G414" s="32"/>
      <c r="H414" s="32"/>
      <c r="I414" s="32"/>
      <c r="J414" s="2"/>
      <c r="K414" s="2"/>
      <c r="L414" s="2"/>
      <c r="M414" s="2"/>
      <c r="N414" s="2"/>
    </row>
    <row r="415" spans="1:76" s="33" customFormat="1" x14ac:dyDescent="0.2">
      <c r="A415" s="67"/>
      <c r="B415" s="58"/>
      <c r="C415" s="59"/>
      <c r="D415" s="32"/>
      <c r="E415" s="20"/>
      <c r="F415" s="32"/>
      <c r="G415" s="32"/>
      <c r="H415" s="32"/>
      <c r="I415" s="32"/>
      <c r="J415" s="2"/>
      <c r="K415" s="2"/>
      <c r="L415" s="2"/>
      <c r="M415" s="2"/>
      <c r="N415" s="2"/>
    </row>
    <row r="416" spans="1:76" s="33" customFormat="1" x14ac:dyDescent="0.2">
      <c r="A416" s="20" t="s">
        <v>37</v>
      </c>
      <c r="B416" s="58"/>
      <c r="C416" s="59">
        <v>4.17</v>
      </c>
      <c r="D416" s="32" t="s">
        <v>7</v>
      </c>
      <c r="E416" s="20" t="s">
        <v>162</v>
      </c>
      <c r="F416" s="32"/>
      <c r="G416" s="32"/>
      <c r="H416" s="32"/>
      <c r="I416" s="32"/>
      <c r="J416" s="2"/>
      <c r="K416" s="2"/>
      <c r="L416" s="2"/>
      <c r="M416" s="2"/>
      <c r="N416" s="2"/>
    </row>
    <row r="417" spans="1:76" s="33" customFormat="1" x14ac:dyDescent="0.2">
      <c r="A417" s="20"/>
      <c r="B417" s="58"/>
      <c r="C417" s="59">
        <v>5.5</v>
      </c>
      <c r="D417" s="32"/>
      <c r="E417" s="20" t="s">
        <v>163</v>
      </c>
      <c r="F417" s="32"/>
      <c r="G417" s="32"/>
      <c r="H417" s="32"/>
      <c r="I417" s="32"/>
      <c r="J417" s="2"/>
      <c r="K417" s="2"/>
      <c r="L417" s="2"/>
      <c r="M417" s="2"/>
      <c r="N417" s="2"/>
    </row>
    <row r="418" spans="1:76" s="33" customFormat="1" x14ac:dyDescent="0.2">
      <c r="A418" s="20"/>
      <c r="B418" s="58"/>
      <c r="C418" s="51">
        <v>3</v>
      </c>
      <c r="D418" s="32" t="s">
        <v>7</v>
      </c>
      <c r="E418" s="20" t="s">
        <v>164</v>
      </c>
      <c r="F418" s="32"/>
      <c r="G418" s="32"/>
      <c r="H418" s="32"/>
      <c r="I418" s="32"/>
      <c r="J418" s="2"/>
      <c r="K418" s="2"/>
      <c r="L418" s="2"/>
      <c r="M418" s="2"/>
      <c r="N418" s="2"/>
    </row>
    <row r="419" spans="1:76" s="33" customFormat="1" x14ac:dyDescent="0.2">
      <c r="A419" s="67"/>
      <c r="B419" s="58"/>
      <c r="C419" s="51"/>
      <c r="D419" s="32" t="s">
        <v>7</v>
      </c>
      <c r="E419" s="20" t="s">
        <v>90</v>
      </c>
      <c r="F419" s="32"/>
      <c r="G419" s="32"/>
      <c r="H419" s="32"/>
      <c r="I419" s="32"/>
      <c r="J419" s="2"/>
      <c r="K419" s="2"/>
      <c r="L419" s="2"/>
      <c r="M419" s="2"/>
      <c r="N419" s="2"/>
    </row>
    <row r="420" spans="1:76" s="33" customFormat="1" x14ac:dyDescent="0.2">
      <c r="A420" s="67"/>
      <c r="B420" s="58"/>
      <c r="C420" s="51"/>
      <c r="D420" s="32" t="s">
        <v>7</v>
      </c>
      <c r="E420" s="20" t="s">
        <v>86</v>
      </c>
      <c r="F420" s="32"/>
      <c r="G420" s="32"/>
      <c r="H420" s="32"/>
      <c r="I420" s="32"/>
      <c r="J420" s="2"/>
      <c r="K420" s="2"/>
      <c r="L420" s="2"/>
      <c r="M420" s="2"/>
      <c r="N420" s="2"/>
    </row>
    <row r="421" spans="1:76" s="33" customFormat="1" x14ac:dyDescent="0.2">
      <c r="A421" s="67"/>
      <c r="B421" s="58"/>
      <c r="C421" s="59"/>
      <c r="D421" s="32" t="s">
        <v>7</v>
      </c>
      <c r="E421" s="20" t="s">
        <v>72</v>
      </c>
      <c r="F421" s="32"/>
      <c r="G421" s="32"/>
      <c r="H421" s="32"/>
      <c r="I421" s="32"/>
      <c r="J421" s="2"/>
      <c r="K421" s="2"/>
      <c r="L421" s="2"/>
      <c r="M421" s="2"/>
      <c r="N421" s="2"/>
    </row>
    <row r="422" spans="1:76" s="33" customFormat="1" x14ac:dyDescent="0.2">
      <c r="A422" s="67"/>
      <c r="B422" s="58"/>
      <c r="C422" s="59">
        <f>(C416+C417)*C418+C419*C420*2</f>
        <v>29.009999999999998</v>
      </c>
      <c r="D422" s="32" t="s">
        <v>8</v>
      </c>
      <c r="E422" s="20" t="s">
        <v>62</v>
      </c>
      <c r="F422" s="32"/>
      <c r="G422" s="32"/>
      <c r="H422" s="32"/>
      <c r="I422" s="32"/>
      <c r="J422" s="2"/>
      <c r="K422" s="2"/>
      <c r="L422" s="2"/>
      <c r="M422" s="2"/>
      <c r="N422" s="2"/>
    </row>
    <row r="423" spans="1:76" s="33" customFormat="1" x14ac:dyDescent="0.2">
      <c r="A423" s="57"/>
      <c r="B423" s="58"/>
      <c r="C423" s="59"/>
      <c r="D423" s="32"/>
      <c r="E423" s="20"/>
      <c r="F423" s="32"/>
      <c r="G423" s="32"/>
      <c r="H423" s="32"/>
      <c r="I423" s="32"/>
      <c r="J423" s="2"/>
      <c r="K423" s="2"/>
      <c r="L423" s="2"/>
      <c r="M423" s="2"/>
      <c r="N423" s="2"/>
    </row>
    <row r="424" spans="1:76" s="24" customFormat="1" x14ac:dyDescent="0.2">
      <c r="A424" s="23"/>
      <c r="B424" s="42"/>
      <c r="C424" s="41">
        <f>C414+C422</f>
        <v>58.769999999999996</v>
      </c>
      <c r="D424" s="23" t="s">
        <v>8</v>
      </c>
      <c r="E424" s="25" t="s">
        <v>24</v>
      </c>
      <c r="F424" s="23"/>
      <c r="G424" s="23"/>
      <c r="H424" s="23"/>
      <c r="I424" s="23"/>
      <c r="J424" s="2"/>
      <c r="K424" s="2"/>
      <c r="L424" s="2"/>
      <c r="M424" s="2"/>
      <c r="N424" s="2"/>
    </row>
    <row r="425" spans="1:76" s="38" customFormat="1" x14ac:dyDescent="0.2"/>
    <row r="426" spans="1:76" s="109" customFormat="1" x14ac:dyDescent="0.2">
      <c r="A426" s="35">
        <f>A38</f>
        <v>516</v>
      </c>
      <c r="B426" s="44">
        <f>B38</f>
        <v>25000</v>
      </c>
      <c r="C426" s="36">
        <f>ROUNDUP(C451,0)</f>
        <v>249</v>
      </c>
      <c r="D426" s="35" t="str">
        <f>D38</f>
        <v>SF</v>
      </c>
      <c r="E426" s="37" t="str">
        <f>E38</f>
        <v>NYLON REINFORCED NEOPRENE SHEETING</v>
      </c>
      <c r="F426" s="39"/>
      <c r="G426" s="39"/>
      <c r="H426" s="39"/>
      <c r="I426" s="39"/>
      <c r="J426" s="39"/>
      <c r="K426" s="39"/>
      <c r="L426" s="39"/>
      <c r="M426" s="48"/>
      <c r="N426" s="118"/>
      <c r="O426" s="165"/>
      <c r="P426" s="165"/>
      <c r="Q426" s="165"/>
      <c r="R426" s="165"/>
      <c r="S426" s="165"/>
      <c r="T426" s="165"/>
      <c r="U426" s="165"/>
      <c r="V426" s="165"/>
      <c r="W426" s="165"/>
      <c r="X426" s="165"/>
      <c r="Y426" s="165"/>
      <c r="Z426" s="165"/>
      <c r="AA426" s="165"/>
      <c r="AB426" s="165"/>
      <c r="AC426" s="165"/>
      <c r="AD426" s="165"/>
      <c r="AE426" s="165"/>
      <c r="AF426" s="165"/>
      <c r="AG426" s="165"/>
      <c r="AH426" s="165"/>
      <c r="AI426" s="165"/>
      <c r="AJ426" s="165"/>
      <c r="AK426" s="165"/>
      <c r="AL426" s="165"/>
      <c r="AM426" s="165"/>
      <c r="AN426" s="165"/>
      <c r="AO426" s="165"/>
      <c r="AP426" s="165"/>
      <c r="AQ426" s="165"/>
      <c r="AR426" s="165"/>
      <c r="AS426" s="165"/>
      <c r="AT426" s="165"/>
      <c r="AU426" s="165"/>
      <c r="AV426" s="165"/>
      <c r="AW426" s="165"/>
      <c r="AX426" s="165"/>
      <c r="AY426" s="165"/>
      <c r="AZ426" s="165"/>
      <c r="BA426" s="165"/>
      <c r="BB426" s="165"/>
      <c r="BC426" s="165"/>
      <c r="BD426" s="165"/>
      <c r="BE426" s="165"/>
      <c r="BF426" s="165"/>
      <c r="BG426" s="165"/>
      <c r="BH426" s="165"/>
      <c r="BI426" s="165"/>
      <c r="BJ426" s="165"/>
      <c r="BK426" s="165"/>
      <c r="BL426" s="165"/>
      <c r="BM426" s="165"/>
      <c r="BN426" s="165"/>
      <c r="BO426" s="165"/>
      <c r="BP426" s="165"/>
      <c r="BQ426" s="165"/>
      <c r="BR426" s="165"/>
      <c r="BS426" s="165"/>
      <c r="BT426" s="165"/>
      <c r="BU426" s="165"/>
      <c r="BV426" s="165"/>
      <c r="BW426" s="165"/>
      <c r="BX426" s="165"/>
    </row>
    <row r="427" spans="1:76" s="33" customFormat="1" x14ac:dyDescent="0.2">
      <c r="A427" s="20" t="s">
        <v>36</v>
      </c>
      <c r="B427" s="58"/>
      <c r="C427" s="51">
        <v>3</v>
      </c>
      <c r="D427" s="32" t="s">
        <v>7</v>
      </c>
      <c r="E427" s="20" t="s">
        <v>91</v>
      </c>
      <c r="F427" s="32"/>
      <c r="G427" s="32"/>
      <c r="H427" s="32"/>
      <c r="I427" s="32"/>
      <c r="J427" s="2"/>
      <c r="K427" s="2"/>
      <c r="L427" s="2"/>
      <c r="M427" s="2"/>
      <c r="N427" s="2"/>
    </row>
    <row r="428" spans="1:76" s="33" customFormat="1" x14ac:dyDescent="0.2">
      <c r="A428" s="20"/>
      <c r="B428" s="58"/>
      <c r="C428" s="51">
        <v>31.62</v>
      </c>
      <c r="D428" s="32" t="s">
        <v>7</v>
      </c>
      <c r="E428" s="20" t="s">
        <v>165</v>
      </c>
      <c r="F428" s="32"/>
      <c r="G428" s="32"/>
      <c r="H428" s="32"/>
      <c r="I428" s="32"/>
      <c r="J428" s="2"/>
      <c r="K428" s="2"/>
      <c r="L428" s="2"/>
      <c r="M428" s="2"/>
      <c r="N428" s="2"/>
    </row>
    <row r="429" spans="1:76" s="33" customFormat="1" x14ac:dyDescent="0.2">
      <c r="A429" s="20"/>
      <c r="B429" s="58"/>
      <c r="C429" s="59">
        <f>C427*C428</f>
        <v>94.86</v>
      </c>
      <c r="D429" s="32" t="s">
        <v>8</v>
      </c>
      <c r="E429" s="20" t="s">
        <v>73</v>
      </c>
      <c r="F429" s="32"/>
      <c r="G429" s="32"/>
      <c r="H429" s="32"/>
      <c r="I429" s="32"/>
      <c r="J429" s="2"/>
      <c r="K429" s="2"/>
      <c r="L429" s="2"/>
      <c r="M429" s="2"/>
      <c r="N429" s="2"/>
    </row>
    <row r="430" spans="1:76" s="33" customFormat="1" x14ac:dyDescent="0.2">
      <c r="A430" s="20"/>
      <c r="B430" s="58"/>
      <c r="C430" s="59"/>
      <c r="D430" s="32"/>
      <c r="E430" s="20"/>
      <c r="F430" s="32"/>
      <c r="G430" s="32"/>
      <c r="H430" s="32"/>
      <c r="I430" s="32"/>
      <c r="J430" s="2"/>
      <c r="K430" s="2"/>
      <c r="L430" s="2"/>
      <c r="M430" s="2"/>
      <c r="N430" s="2"/>
    </row>
    <row r="431" spans="1:76" s="33" customFormat="1" x14ac:dyDescent="0.2">
      <c r="A431" s="20" t="s">
        <v>120</v>
      </c>
      <c r="B431" s="50"/>
      <c r="C431" s="51">
        <v>4.17</v>
      </c>
      <c r="D431" s="32" t="s">
        <v>7</v>
      </c>
      <c r="E431" s="20" t="s">
        <v>93</v>
      </c>
      <c r="F431" s="32"/>
      <c r="G431" s="32"/>
      <c r="H431" s="32"/>
      <c r="I431" s="32"/>
      <c r="J431" s="2"/>
      <c r="K431" s="2"/>
      <c r="L431" s="2"/>
      <c r="M431" s="2"/>
      <c r="N431" s="2"/>
    </row>
    <row r="432" spans="1:76" s="33" customFormat="1" x14ac:dyDescent="0.2">
      <c r="A432" s="20" t="s">
        <v>129</v>
      </c>
      <c r="B432" s="50"/>
      <c r="C432" s="51">
        <v>3</v>
      </c>
      <c r="D432" s="32" t="s">
        <v>7</v>
      </c>
      <c r="E432" s="20" t="s">
        <v>92</v>
      </c>
      <c r="F432" s="32"/>
      <c r="G432" s="32"/>
      <c r="H432" s="32"/>
      <c r="I432" s="32"/>
      <c r="J432" s="2"/>
      <c r="K432" s="2"/>
      <c r="L432" s="2"/>
      <c r="M432" s="2"/>
      <c r="N432" s="2"/>
    </row>
    <row r="433" spans="1:14" s="33" customFormat="1" x14ac:dyDescent="0.2">
      <c r="A433" s="20"/>
      <c r="B433" s="50"/>
      <c r="C433" s="59">
        <f>C431*C432</f>
        <v>12.51</v>
      </c>
      <c r="D433" s="32" t="s">
        <v>8</v>
      </c>
      <c r="E433" s="20" t="s">
        <v>95</v>
      </c>
      <c r="F433" s="32"/>
      <c r="G433" s="32"/>
      <c r="H433" s="32"/>
      <c r="I433" s="32"/>
      <c r="J433" s="2"/>
      <c r="K433" s="2"/>
      <c r="L433" s="2"/>
      <c r="M433" s="2"/>
      <c r="N433" s="2"/>
    </row>
    <row r="434" spans="1:14" s="33" customFormat="1" x14ac:dyDescent="0.2">
      <c r="A434" s="20"/>
      <c r="B434" s="50"/>
      <c r="C434" s="59"/>
      <c r="D434" s="32"/>
      <c r="E434" s="20"/>
      <c r="F434" s="32"/>
      <c r="G434" s="32"/>
      <c r="H434" s="32"/>
      <c r="I434" s="32"/>
      <c r="J434" s="2"/>
      <c r="K434" s="2"/>
      <c r="L434" s="2"/>
      <c r="M434" s="2"/>
      <c r="N434" s="2"/>
    </row>
    <row r="435" spans="1:14" s="33" customFormat="1" x14ac:dyDescent="0.2">
      <c r="A435" s="20" t="s">
        <v>160</v>
      </c>
      <c r="B435" s="50"/>
      <c r="C435" s="51">
        <v>5.75</v>
      </c>
      <c r="D435" s="32" t="s">
        <v>7</v>
      </c>
      <c r="E435" s="20" t="s">
        <v>93</v>
      </c>
      <c r="F435" s="32"/>
      <c r="G435" s="32"/>
      <c r="H435" s="32"/>
      <c r="I435" s="32"/>
      <c r="J435" s="2"/>
      <c r="K435" s="2"/>
      <c r="L435" s="2"/>
      <c r="M435" s="2"/>
      <c r="N435" s="2"/>
    </row>
    <row r="436" spans="1:14" s="33" customFormat="1" x14ac:dyDescent="0.2">
      <c r="A436" s="20" t="s">
        <v>130</v>
      </c>
      <c r="B436" s="50"/>
      <c r="C436" s="59">
        <f>C432</f>
        <v>3</v>
      </c>
      <c r="D436" s="32" t="s">
        <v>7</v>
      </c>
      <c r="E436" s="20" t="s">
        <v>92</v>
      </c>
      <c r="F436" s="32"/>
      <c r="G436" s="32"/>
      <c r="H436" s="32"/>
      <c r="I436" s="32"/>
      <c r="J436" s="2"/>
      <c r="K436" s="2"/>
      <c r="L436" s="2"/>
      <c r="M436" s="2"/>
      <c r="N436" s="2"/>
    </row>
    <row r="437" spans="1:14" s="33" customFormat="1" x14ac:dyDescent="0.2">
      <c r="A437" s="20"/>
      <c r="B437" s="50"/>
      <c r="C437" s="59">
        <f>C435*C436</f>
        <v>17.25</v>
      </c>
      <c r="D437" s="32" t="s">
        <v>8</v>
      </c>
      <c r="E437" s="20" t="s">
        <v>95</v>
      </c>
      <c r="F437" s="32"/>
      <c r="G437" s="32"/>
      <c r="H437" s="32"/>
      <c r="I437" s="32"/>
      <c r="J437" s="2"/>
      <c r="K437" s="2"/>
      <c r="L437" s="2"/>
      <c r="M437" s="2"/>
      <c r="N437" s="2"/>
    </row>
    <row r="438" spans="1:14" s="33" customFormat="1" x14ac:dyDescent="0.2">
      <c r="F438" s="32"/>
      <c r="G438" s="32"/>
      <c r="H438" s="32"/>
      <c r="I438" s="32"/>
      <c r="J438" s="2"/>
      <c r="K438" s="2"/>
      <c r="L438" s="2"/>
      <c r="M438" s="2"/>
      <c r="N438" s="2"/>
    </row>
    <row r="439" spans="1:14" s="33" customFormat="1" x14ac:dyDescent="0.2">
      <c r="A439" s="20" t="s">
        <v>37</v>
      </c>
      <c r="B439" s="50"/>
      <c r="C439" s="59">
        <v>3</v>
      </c>
      <c r="D439" s="32" t="s">
        <v>7</v>
      </c>
      <c r="E439" s="20" t="s">
        <v>91</v>
      </c>
      <c r="H439" s="32"/>
      <c r="I439" s="32"/>
      <c r="J439" s="2"/>
      <c r="K439" s="2"/>
      <c r="L439" s="2"/>
      <c r="M439" s="2"/>
      <c r="N439" s="2"/>
    </row>
    <row r="440" spans="1:14" s="33" customFormat="1" x14ac:dyDescent="0.2">
      <c r="A440" s="32"/>
      <c r="B440" s="50"/>
      <c r="C440" s="51">
        <v>31.58</v>
      </c>
      <c r="D440" s="32" t="s">
        <v>7</v>
      </c>
      <c r="E440" s="20" t="s">
        <v>165</v>
      </c>
      <c r="H440" s="32"/>
      <c r="I440" s="32"/>
      <c r="J440" s="2"/>
      <c r="K440" s="2"/>
      <c r="L440" s="2"/>
      <c r="M440" s="2"/>
      <c r="N440" s="2"/>
    </row>
    <row r="441" spans="1:14" s="33" customFormat="1" x14ac:dyDescent="0.2">
      <c r="A441" s="32"/>
      <c r="B441" s="50"/>
      <c r="C441" s="59">
        <f>C439*C440</f>
        <v>94.74</v>
      </c>
      <c r="D441" s="32" t="s">
        <v>8</v>
      </c>
      <c r="E441" s="20" t="s">
        <v>73</v>
      </c>
      <c r="H441" s="32"/>
      <c r="I441" s="32"/>
      <c r="J441" s="2"/>
      <c r="K441" s="2"/>
      <c r="L441" s="2"/>
      <c r="M441" s="2"/>
      <c r="N441" s="2"/>
    </row>
    <row r="442" spans="1:14" s="33" customFormat="1" x14ac:dyDescent="0.2">
      <c r="A442" s="20"/>
      <c r="B442" s="50"/>
      <c r="C442" s="59"/>
      <c r="D442" s="32"/>
      <c r="E442" s="20"/>
      <c r="F442" s="32"/>
      <c r="G442" s="32"/>
      <c r="H442" s="32"/>
      <c r="I442" s="32"/>
      <c r="J442" s="2"/>
      <c r="K442" s="2"/>
      <c r="L442" s="2"/>
      <c r="M442" s="2"/>
      <c r="N442" s="2"/>
    </row>
    <row r="443" spans="1:14" s="33" customFormat="1" x14ac:dyDescent="0.2">
      <c r="A443" s="20" t="s">
        <v>121</v>
      </c>
      <c r="B443" s="50"/>
      <c r="C443" s="51">
        <v>4.17</v>
      </c>
      <c r="D443" s="32" t="s">
        <v>7</v>
      </c>
      <c r="E443" s="20" t="s">
        <v>93</v>
      </c>
      <c r="F443" s="32"/>
      <c r="G443" s="32"/>
      <c r="H443" s="32"/>
      <c r="I443" s="32"/>
      <c r="J443" s="2"/>
      <c r="K443" s="2"/>
      <c r="L443" s="2"/>
      <c r="M443" s="2"/>
      <c r="N443" s="2"/>
    </row>
    <row r="444" spans="1:14" s="33" customFormat="1" x14ac:dyDescent="0.2">
      <c r="A444" s="20" t="s">
        <v>129</v>
      </c>
      <c r="B444" s="50"/>
      <c r="C444" s="59">
        <f>C432</f>
        <v>3</v>
      </c>
      <c r="D444" s="32" t="s">
        <v>7</v>
      </c>
      <c r="E444" s="20" t="s">
        <v>92</v>
      </c>
      <c r="F444" s="32"/>
      <c r="G444" s="32"/>
      <c r="H444" s="32"/>
      <c r="I444" s="32"/>
      <c r="J444" s="2"/>
      <c r="K444" s="2"/>
      <c r="L444" s="2"/>
      <c r="M444" s="2"/>
      <c r="N444" s="2"/>
    </row>
    <row r="445" spans="1:14" s="33" customFormat="1" x14ac:dyDescent="0.2">
      <c r="A445" s="20"/>
      <c r="B445" s="50"/>
      <c r="C445" s="59">
        <f>C443*C444</f>
        <v>12.51</v>
      </c>
      <c r="D445" s="32" t="s">
        <v>8</v>
      </c>
      <c r="E445" s="20" t="s">
        <v>95</v>
      </c>
      <c r="F445" s="32"/>
      <c r="G445" s="32"/>
      <c r="H445" s="32"/>
      <c r="I445" s="32"/>
      <c r="J445" s="2"/>
      <c r="K445" s="2"/>
      <c r="L445" s="2"/>
      <c r="M445" s="2"/>
      <c r="N445" s="2"/>
    </row>
    <row r="446" spans="1:14" s="33" customFormat="1" x14ac:dyDescent="0.2">
      <c r="A446" s="20"/>
      <c r="B446" s="50"/>
      <c r="C446" s="59"/>
      <c r="D446" s="32"/>
      <c r="E446" s="20"/>
      <c r="F446" s="32"/>
      <c r="G446" s="32"/>
      <c r="H446" s="32"/>
      <c r="I446" s="32"/>
      <c r="J446" s="2"/>
      <c r="K446" s="2"/>
      <c r="L446" s="2"/>
      <c r="M446" s="2"/>
      <c r="N446" s="2"/>
    </row>
    <row r="447" spans="1:14" s="33" customFormat="1" x14ac:dyDescent="0.2">
      <c r="A447" s="20" t="s">
        <v>37</v>
      </c>
      <c r="B447" s="50"/>
      <c r="C447" s="51">
        <v>5.5</v>
      </c>
      <c r="D447" s="32" t="s">
        <v>7</v>
      </c>
      <c r="E447" s="20" t="s">
        <v>93</v>
      </c>
      <c r="F447" s="32"/>
      <c r="G447" s="32"/>
      <c r="H447" s="32"/>
      <c r="I447" s="32"/>
      <c r="J447" s="2"/>
      <c r="K447" s="2"/>
      <c r="L447" s="2"/>
      <c r="M447" s="2"/>
      <c r="N447" s="2"/>
    </row>
    <row r="448" spans="1:14" s="33" customFormat="1" x14ac:dyDescent="0.2">
      <c r="A448" s="20" t="s">
        <v>161</v>
      </c>
      <c r="B448" s="50"/>
      <c r="C448" s="59">
        <f>C432</f>
        <v>3</v>
      </c>
      <c r="D448" s="32" t="s">
        <v>7</v>
      </c>
      <c r="E448" s="20" t="s">
        <v>94</v>
      </c>
      <c r="F448" s="32"/>
      <c r="G448" s="32"/>
      <c r="H448" s="32"/>
      <c r="I448" s="32"/>
      <c r="J448" s="2"/>
      <c r="K448" s="2"/>
      <c r="L448" s="2"/>
      <c r="M448" s="2"/>
      <c r="N448" s="2"/>
    </row>
    <row r="449" spans="1:76" s="33" customFormat="1" x14ac:dyDescent="0.2">
      <c r="A449" s="20"/>
      <c r="B449" s="50"/>
      <c r="C449" s="59">
        <f>C447*C448</f>
        <v>16.5</v>
      </c>
      <c r="D449" s="32" t="s">
        <v>8</v>
      </c>
      <c r="E449" s="20" t="s">
        <v>95</v>
      </c>
      <c r="F449" s="32"/>
      <c r="G449" s="32"/>
      <c r="H449" s="32"/>
      <c r="I449" s="32"/>
      <c r="J449" s="2"/>
      <c r="K449" s="2"/>
      <c r="L449" s="2"/>
      <c r="M449" s="2"/>
      <c r="N449" s="2"/>
    </row>
    <row r="450" spans="1:76" s="33" customFormat="1" x14ac:dyDescent="0.2">
      <c r="A450" s="32"/>
      <c r="B450" s="50"/>
      <c r="C450" s="27"/>
      <c r="D450" s="32"/>
      <c r="E450" s="20"/>
      <c r="F450" s="32"/>
      <c r="G450" s="32"/>
      <c r="H450" s="32"/>
      <c r="I450" s="32"/>
      <c r="J450" s="2"/>
      <c r="K450" s="2"/>
      <c r="L450" s="2"/>
      <c r="M450" s="2"/>
      <c r="N450" s="2"/>
    </row>
    <row r="451" spans="1:76" s="24" customFormat="1" x14ac:dyDescent="0.2">
      <c r="A451" s="23"/>
      <c r="B451" s="42"/>
      <c r="C451" s="41">
        <f>C429+C433+C437+C441+C445+C449</f>
        <v>248.37</v>
      </c>
      <c r="D451" s="23" t="s">
        <v>8</v>
      </c>
      <c r="E451" s="25" t="s">
        <v>24</v>
      </c>
      <c r="F451" s="23"/>
      <c r="G451" s="23"/>
      <c r="H451" s="23"/>
      <c r="I451" s="23"/>
      <c r="J451" s="2"/>
      <c r="K451" s="2"/>
      <c r="L451" s="2"/>
      <c r="M451" s="2"/>
      <c r="N451" s="2"/>
    </row>
    <row r="452" spans="1:76" s="38" customFormat="1" x14ac:dyDescent="0.2"/>
    <row r="453" spans="1:76" s="109" customFormat="1" x14ac:dyDescent="0.2">
      <c r="A453" s="35">
        <f>A39</f>
        <v>516</v>
      </c>
      <c r="B453" s="44">
        <f>B39</f>
        <v>42600</v>
      </c>
      <c r="C453" s="36">
        <f>ROUNDUP(C458,0)</f>
        <v>63</v>
      </c>
      <c r="D453" s="35" t="str">
        <f>D39</f>
        <v>FT</v>
      </c>
      <c r="E453" s="37" t="str">
        <f>E39</f>
        <v>ELASTOMERIC BEARING PAD, MISC.: 1.5" THICK STRIP BEARING</v>
      </c>
      <c r="F453" s="39"/>
      <c r="G453" s="39"/>
      <c r="H453" s="39"/>
      <c r="I453" s="39"/>
      <c r="J453" s="39"/>
      <c r="K453" s="39"/>
      <c r="L453" s="39"/>
      <c r="M453" s="48"/>
      <c r="N453" s="118"/>
      <c r="O453" s="165"/>
      <c r="P453" s="165"/>
      <c r="Q453" s="165"/>
      <c r="R453" s="165"/>
      <c r="S453" s="165"/>
      <c r="T453" s="165"/>
      <c r="U453" s="165"/>
      <c r="V453" s="165"/>
      <c r="W453" s="165"/>
      <c r="X453" s="165"/>
      <c r="Y453" s="165"/>
      <c r="Z453" s="165"/>
      <c r="AA453" s="165"/>
      <c r="AB453" s="165"/>
      <c r="AC453" s="165"/>
      <c r="AD453" s="165"/>
      <c r="AE453" s="165"/>
      <c r="AF453" s="165"/>
      <c r="AG453" s="165"/>
      <c r="AH453" s="165"/>
      <c r="AI453" s="165"/>
      <c r="AJ453" s="165"/>
      <c r="AK453" s="165"/>
      <c r="AL453" s="165"/>
      <c r="AM453" s="165"/>
      <c r="AN453" s="165"/>
      <c r="AO453" s="165"/>
      <c r="AP453" s="165"/>
      <c r="AQ453" s="165"/>
      <c r="AR453" s="165"/>
      <c r="AS453" s="165"/>
      <c r="AT453" s="165"/>
      <c r="AU453" s="165"/>
      <c r="AV453" s="165"/>
      <c r="AW453" s="165"/>
      <c r="AX453" s="165"/>
      <c r="AY453" s="165"/>
      <c r="AZ453" s="165"/>
      <c r="BA453" s="165"/>
      <c r="BB453" s="165"/>
      <c r="BC453" s="165"/>
      <c r="BD453" s="165"/>
      <c r="BE453" s="165"/>
      <c r="BF453" s="165"/>
      <c r="BG453" s="165"/>
      <c r="BH453" s="165"/>
      <c r="BI453" s="165"/>
      <c r="BJ453" s="165"/>
      <c r="BK453" s="165"/>
      <c r="BL453" s="165"/>
      <c r="BM453" s="165"/>
      <c r="BN453" s="165"/>
      <c r="BO453" s="165"/>
      <c r="BP453" s="165"/>
      <c r="BQ453" s="165"/>
      <c r="BR453" s="165"/>
      <c r="BS453" s="165"/>
      <c r="BT453" s="165"/>
      <c r="BU453" s="165"/>
      <c r="BV453" s="165"/>
      <c r="BW453" s="165"/>
      <c r="BX453" s="165"/>
    </row>
    <row r="454" spans="1:76" s="33" customFormat="1" x14ac:dyDescent="0.2">
      <c r="A454" s="57"/>
      <c r="B454" s="58"/>
      <c r="C454" s="51">
        <v>1</v>
      </c>
      <c r="D454" s="32" t="s">
        <v>7</v>
      </c>
      <c r="E454" s="20" t="s">
        <v>96</v>
      </c>
      <c r="F454" s="32"/>
      <c r="G454" s="32"/>
      <c r="H454" s="32"/>
      <c r="I454" s="32"/>
      <c r="J454" s="2"/>
      <c r="K454" s="2"/>
      <c r="L454" s="2"/>
      <c r="M454" s="2"/>
      <c r="N454" s="2"/>
    </row>
    <row r="455" spans="1:76" s="33" customFormat="1" x14ac:dyDescent="0.2">
      <c r="A455" s="57"/>
      <c r="B455" s="58"/>
      <c r="C455" s="59">
        <f>0.5*(27+6.5/12+1+7.25/12+1+7.875/12+31+7.375/12)</f>
        <v>31.208333333333336</v>
      </c>
      <c r="D455" s="32" t="s">
        <v>7</v>
      </c>
      <c r="E455" s="20" t="s">
        <v>97</v>
      </c>
      <c r="F455" s="32"/>
      <c r="G455" s="32"/>
      <c r="H455" s="32"/>
      <c r="I455" s="32"/>
      <c r="J455" s="2"/>
      <c r="K455" s="2"/>
      <c r="L455" s="2"/>
      <c r="M455" s="2"/>
      <c r="N455" s="2"/>
    </row>
    <row r="456" spans="1:76" s="33" customFormat="1" x14ac:dyDescent="0.2">
      <c r="A456" s="57"/>
      <c r="B456" s="58"/>
      <c r="C456" s="51">
        <v>2</v>
      </c>
      <c r="D456" s="32" t="s">
        <v>25</v>
      </c>
      <c r="E456" s="20" t="s">
        <v>59</v>
      </c>
      <c r="F456" s="32"/>
      <c r="G456" s="32"/>
      <c r="H456" s="32"/>
      <c r="I456" s="32"/>
      <c r="J456" s="2"/>
      <c r="K456" s="2"/>
      <c r="L456" s="2"/>
      <c r="M456" s="2"/>
      <c r="N456" s="2"/>
    </row>
    <row r="457" spans="1:76" s="33" customFormat="1" x14ac:dyDescent="0.2">
      <c r="A457" s="32"/>
      <c r="B457" s="50"/>
      <c r="C457" s="27"/>
      <c r="D457" s="32"/>
      <c r="E457" s="20"/>
      <c r="F457" s="32"/>
      <c r="G457" s="32"/>
      <c r="H457" s="32"/>
      <c r="I457" s="32"/>
      <c r="J457" s="2"/>
      <c r="K457" s="2"/>
      <c r="L457" s="2"/>
      <c r="M457" s="2"/>
      <c r="N457" s="2"/>
    </row>
    <row r="458" spans="1:76" s="24" customFormat="1" x14ac:dyDescent="0.2">
      <c r="A458" s="23"/>
      <c r="B458" s="42"/>
      <c r="C458" s="41">
        <f>C455*C456</f>
        <v>62.416666666666671</v>
      </c>
      <c r="D458" s="23" t="s">
        <v>3</v>
      </c>
      <c r="E458" s="25" t="s">
        <v>24</v>
      </c>
      <c r="F458" s="23"/>
      <c r="G458" s="23"/>
      <c r="H458" s="23"/>
      <c r="I458" s="23"/>
      <c r="J458" s="2"/>
      <c r="K458" s="2"/>
      <c r="L458" s="2"/>
      <c r="M458" s="2"/>
      <c r="N458" s="2"/>
    </row>
    <row r="459" spans="1:76" s="38" customFormat="1" x14ac:dyDescent="0.2"/>
    <row r="460" spans="1:76" s="109" customFormat="1" x14ac:dyDescent="0.2">
      <c r="A460" s="35">
        <f>A41</f>
        <v>518</v>
      </c>
      <c r="B460" s="44">
        <f>B41</f>
        <v>21200</v>
      </c>
      <c r="C460" s="36">
        <f>ROUNDUP(C474,0)</f>
        <v>129</v>
      </c>
      <c r="D460" s="35" t="str">
        <f>D41</f>
        <v>CY</v>
      </c>
      <c r="E460" s="37" t="str">
        <f>E41</f>
        <v>POROUS BACKFILL WITH GEOTEXTILE FABRIC</v>
      </c>
      <c r="F460" s="39"/>
      <c r="G460" s="39"/>
      <c r="H460" s="39"/>
      <c r="I460" s="39"/>
      <c r="J460" s="39"/>
      <c r="K460" s="39"/>
      <c r="L460" s="39"/>
      <c r="M460" s="48"/>
      <c r="N460" s="118"/>
      <c r="O460" s="165"/>
      <c r="P460" s="165"/>
      <c r="Q460" s="165"/>
      <c r="R460" s="165"/>
      <c r="S460" s="165"/>
      <c r="T460" s="165"/>
      <c r="U460" s="165"/>
      <c r="V460" s="165"/>
      <c r="W460" s="165"/>
      <c r="X460" s="165"/>
      <c r="Y460" s="165"/>
      <c r="Z460" s="165"/>
      <c r="AA460" s="165"/>
      <c r="AB460" s="165"/>
      <c r="AC460" s="165"/>
      <c r="AD460" s="165"/>
      <c r="AE460" s="165"/>
      <c r="AF460" s="165"/>
      <c r="AG460" s="165"/>
      <c r="AH460" s="165"/>
      <c r="AI460" s="165"/>
      <c r="AJ460" s="165"/>
      <c r="AK460" s="165"/>
      <c r="AL460" s="165"/>
      <c r="AM460" s="165"/>
      <c r="AN460" s="165"/>
      <c r="AO460" s="165"/>
      <c r="AP460" s="165"/>
      <c r="AQ460" s="165"/>
      <c r="AR460" s="165"/>
      <c r="AS460" s="165"/>
      <c r="AT460" s="165"/>
      <c r="AU460" s="165"/>
      <c r="AV460" s="165"/>
      <c r="AW460" s="165"/>
      <c r="AX460" s="165"/>
      <c r="AY460" s="165"/>
      <c r="AZ460" s="165"/>
      <c r="BA460" s="165"/>
      <c r="BB460" s="165"/>
      <c r="BC460" s="165"/>
      <c r="BD460" s="165"/>
      <c r="BE460" s="165"/>
      <c r="BF460" s="165"/>
      <c r="BG460" s="165"/>
      <c r="BH460" s="165"/>
      <c r="BI460" s="165"/>
      <c r="BJ460" s="165"/>
      <c r="BK460" s="165"/>
      <c r="BL460" s="165"/>
      <c r="BM460" s="165"/>
      <c r="BN460" s="165"/>
      <c r="BO460" s="165"/>
      <c r="BP460" s="165"/>
      <c r="BQ460" s="165"/>
      <c r="BR460" s="165"/>
      <c r="BS460" s="165"/>
      <c r="BT460" s="165"/>
      <c r="BU460" s="165"/>
      <c r="BV460" s="165"/>
      <c r="BW460" s="165"/>
      <c r="BX460" s="165"/>
    </row>
    <row r="461" spans="1:76" s="33" customFormat="1" x14ac:dyDescent="0.2">
      <c r="A461" s="19" t="s">
        <v>36</v>
      </c>
      <c r="B461" s="40"/>
      <c r="C461" s="158">
        <f>17+11/12-2.17</f>
        <v>15.746666666666668</v>
      </c>
      <c r="D461" s="22" t="s">
        <v>7</v>
      </c>
      <c r="E461" s="19" t="s">
        <v>166</v>
      </c>
      <c r="F461" s="22"/>
      <c r="G461" s="22"/>
      <c r="H461" s="22"/>
      <c r="I461" s="22"/>
      <c r="J461" s="22"/>
      <c r="K461" s="2"/>
      <c r="L461" s="2"/>
      <c r="M461" s="2"/>
      <c r="N461" s="2"/>
    </row>
    <row r="462" spans="1:76" s="33" customFormat="1" x14ac:dyDescent="0.2">
      <c r="A462" s="19"/>
      <c r="B462" s="40"/>
      <c r="C462" s="158">
        <f>19+5/12-2.17</f>
        <v>17.24666666666667</v>
      </c>
      <c r="D462" s="22"/>
      <c r="E462" s="19" t="s">
        <v>167</v>
      </c>
      <c r="F462" s="22"/>
      <c r="G462" s="22"/>
      <c r="H462" s="22"/>
      <c r="I462" s="22"/>
      <c r="J462" s="22"/>
      <c r="K462" s="2"/>
      <c r="L462" s="2"/>
      <c r="M462" s="2"/>
      <c r="N462" s="2"/>
    </row>
    <row r="463" spans="1:76" s="33" customFormat="1" x14ac:dyDescent="0.2">
      <c r="A463" s="19"/>
      <c r="B463" s="40"/>
      <c r="C463" s="158">
        <v>2</v>
      </c>
      <c r="D463" s="22" t="s">
        <v>7</v>
      </c>
      <c r="E463" s="19" t="s">
        <v>30</v>
      </c>
      <c r="F463" s="22"/>
      <c r="G463" s="22"/>
      <c r="H463" s="22"/>
      <c r="I463" s="22"/>
      <c r="J463" s="22"/>
      <c r="K463" s="2"/>
      <c r="L463" s="2"/>
      <c r="M463" s="2"/>
      <c r="N463" s="2"/>
    </row>
    <row r="464" spans="1:76" s="33" customFormat="1" x14ac:dyDescent="0.2">
      <c r="A464" s="19"/>
      <c r="B464" s="40"/>
      <c r="C464" s="158">
        <f>16+10.625/12+29+4.375/12+15+4.125/12-2</f>
        <v>59.593750000000007</v>
      </c>
      <c r="D464" s="22" t="s">
        <v>7</v>
      </c>
      <c r="E464" s="19" t="s">
        <v>252</v>
      </c>
      <c r="F464" s="22"/>
      <c r="G464" s="22"/>
      <c r="H464" s="22"/>
      <c r="I464" s="22"/>
      <c r="J464" s="22"/>
      <c r="K464" s="2"/>
      <c r="L464" s="2"/>
      <c r="M464" s="2"/>
      <c r="N464" s="2"/>
    </row>
    <row r="465" spans="1:14" s="33" customFormat="1" x14ac:dyDescent="0.2">
      <c r="A465" s="19"/>
      <c r="B465" s="40"/>
      <c r="C465" s="158">
        <f>0.5*(C461+C462)*C463*C464</f>
        <v>1966.196458333334</v>
      </c>
      <c r="D465" s="22"/>
      <c r="E465" s="19" t="s">
        <v>168</v>
      </c>
      <c r="F465" s="22"/>
      <c r="G465" s="22"/>
      <c r="H465" s="22"/>
      <c r="I465" s="22"/>
      <c r="J465" s="22"/>
      <c r="K465" s="2"/>
      <c r="L465" s="2"/>
      <c r="M465" s="2"/>
      <c r="N465" s="2"/>
    </row>
    <row r="466" spans="1:14" s="33" customFormat="1" x14ac:dyDescent="0.2">
      <c r="A466" s="19"/>
      <c r="B466" s="40"/>
      <c r="C466" s="27"/>
      <c r="D466" s="22"/>
      <c r="E466" s="19"/>
      <c r="F466" s="22"/>
      <c r="G466" s="22"/>
      <c r="H466" s="22"/>
      <c r="I466" s="22"/>
      <c r="J466" s="22"/>
      <c r="K466" s="2"/>
      <c r="L466" s="2"/>
      <c r="M466" s="2"/>
      <c r="N466" s="2"/>
    </row>
    <row r="467" spans="1:14" s="33" customFormat="1" x14ac:dyDescent="0.2">
      <c r="A467" s="19" t="s">
        <v>37</v>
      </c>
      <c r="B467" s="40"/>
      <c r="C467" s="158">
        <v>12.5</v>
      </c>
      <c r="D467" s="22" t="s">
        <v>7</v>
      </c>
      <c r="E467" s="19" t="s">
        <v>166</v>
      </c>
      <c r="F467" s="22"/>
      <c r="G467" s="22"/>
      <c r="H467" s="22"/>
      <c r="I467" s="22"/>
      <c r="J467" s="22"/>
      <c r="K467" s="2"/>
      <c r="L467" s="2"/>
      <c r="M467" s="2"/>
      <c r="N467" s="2"/>
    </row>
    <row r="468" spans="1:14" s="33" customFormat="1" x14ac:dyDescent="0.2">
      <c r="A468" s="19"/>
      <c r="B468" s="40"/>
      <c r="C468" s="158">
        <f>16-2.17</f>
        <v>13.83</v>
      </c>
      <c r="D468" s="22" t="s">
        <v>7</v>
      </c>
      <c r="E468" s="19" t="s">
        <v>167</v>
      </c>
      <c r="F468" s="22"/>
      <c r="G468" s="22"/>
      <c r="H468" s="22"/>
      <c r="I468" s="22"/>
      <c r="J468" s="22"/>
      <c r="K468" s="2"/>
      <c r="L468" s="2"/>
      <c r="M468" s="2"/>
      <c r="N468" s="2"/>
    </row>
    <row r="469" spans="1:14" s="33" customFormat="1" x14ac:dyDescent="0.2">
      <c r="A469" s="19"/>
      <c r="B469" s="40"/>
      <c r="C469" s="158">
        <v>2</v>
      </c>
      <c r="D469" s="22" t="s">
        <v>7</v>
      </c>
      <c r="E469" s="19" t="s">
        <v>30</v>
      </c>
      <c r="F469" s="22"/>
      <c r="G469" s="22"/>
      <c r="H469" s="22"/>
      <c r="I469" s="22"/>
      <c r="J469" s="22"/>
      <c r="K469" s="2"/>
      <c r="L469" s="2"/>
      <c r="M469" s="2"/>
      <c r="N469" s="2"/>
    </row>
    <row r="470" spans="1:14" s="33" customFormat="1" x14ac:dyDescent="0.2">
      <c r="A470" s="19"/>
      <c r="B470" s="40"/>
      <c r="C470" s="158">
        <f>16+0.625/12+28+9.75/12+14+2.5/12-2</f>
        <v>57.072916666666664</v>
      </c>
      <c r="D470" s="22"/>
      <c r="E470" s="19" t="s">
        <v>252</v>
      </c>
      <c r="F470" s="22"/>
      <c r="G470" s="22"/>
      <c r="H470" s="22"/>
      <c r="I470" s="22"/>
      <c r="J470" s="22"/>
      <c r="K470" s="2"/>
      <c r="L470" s="2"/>
      <c r="M470" s="2"/>
      <c r="N470" s="2"/>
    </row>
    <row r="471" spans="1:14" s="33" customFormat="1" x14ac:dyDescent="0.2">
      <c r="A471" s="19"/>
      <c r="B471" s="40"/>
      <c r="C471" s="158">
        <f>0.5*(C467+C468)*C469*C470</f>
        <v>1502.7298958333331</v>
      </c>
      <c r="D471" s="22"/>
      <c r="E471" s="19" t="s">
        <v>169</v>
      </c>
      <c r="F471" s="22"/>
      <c r="G471" s="22"/>
      <c r="H471" s="22"/>
      <c r="I471" s="22"/>
      <c r="J471" s="22"/>
      <c r="K471" s="2"/>
      <c r="L471" s="2"/>
      <c r="M471" s="2"/>
      <c r="N471" s="2"/>
    </row>
    <row r="472" spans="1:14" s="33" customFormat="1" x14ac:dyDescent="0.2">
      <c r="A472" s="22"/>
      <c r="B472" s="40"/>
      <c r="C472" s="27"/>
      <c r="D472" s="22"/>
      <c r="E472" s="19"/>
      <c r="F472" s="22"/>
      <c r="G472" s="22"/>
      <c r="H472" s="22"/>
      <c r="I472" s="22"/>
      <c r="J472" s="22"/>
      <c r="K472" s="2"/>
      <c r="L472" s="2"/>
      <c r="M472" s="2"/>
      <c r="N472" s="2"/>
    </row>
    <row r="473" spans="1:14" s="33" customFormat="1" x14ac:dyDescent="0.2">
      <c r="A473" s="22"/>
      <c r="B473" s="40"/>
      <c r="C473" s="56">
        <f>C465+C471</f>
        <v>3468.9263541666669</v>
      </c>
      <c r="D473" s="22" t="s">
        <v>11</v>
      </c>
      <c r="E473" s="19" t="s">
        <v>47</v>
      </c>
      <c r="F473" s="22"/>
      <c r="G473" s="22"/>
      <c r="H473" s="22"/>
      <c r="I473" s="22"/>
      <c r="J473" s="22"/>
      <c r="K473" s="2"/>
      <c r="L473" s="2"/>
      <c r="M473" s="2"/>
      <c r="N473" s="2"/>
    </row>
    <row r="474" spans="1:14" s="33" customFormat="1" x14ac:dyDescent="0.2">
      <c r="A474" s="22"/>
      <c r="B474" s="40"/>
      <c r="C474" s="56">
        <f>C473/27</f>
        <v>128.4787538580247</v>
      </c>
      <c r="D474" s="22" t="s">
        <v>10</v>
      </c>
      <c r="E474" s="19" t="s">
        <v>47</v>
      </c>
      <c r="F474" s="22"/>
      <c r="G474" s="22"/>
      <c r="H474" s="22"/>
      <c r="I474" s="22"/>
      <c r="J474" s="22"/>
      <c r="K474" s="2"/>
      <c r="L474" s="2"/>
      <c r="M474" s="2"/>
      <c r="N474" s="2"/>
    </row>
    <row r="475" spans="1:14" s="38" customFormat="1" x14ac:dyDescent="0.2"/>
    <row r="476" spans="1:14" s="49" customFormat="1" x14ac:dyDescent="0.2">
      <c r="A476" s="35">
        <f>A42</f>
        <v>518</v>
      </c>
      <c r="B476" s="44">
        <f>B42</f>
        <v>40000</v>
      </c>
      <c r="C476" s="36">
        <f>ROUNDUP(C480,0)</f>
        <v>112</v>
      </c>
      <c r="D476" s="35" t="str">
        <f>D42</f>
        <v>FT</v>
      </c>
      <c r="E476" s="37" t="str">
        <f>E42</f>
        <v>6" PERFORATED CORRUGATED PLASTIC PIPE</v>
      </c>
      <c r="F476" s="39"/>
      <c r="G476" s="39"/>
      <c r="H476" s="39"/>
      <c r="I476" s="39"/>
      <c r="J476" s="39"/>
      <c r="K476" s="39"/>
      <c r="L476" s="39"/>
      <c r="M476" s="39"/>
      <c r="N476" s="39"/>
    </row>
    <row r="477" spans="1:14" s="33" customFormat="1" x14ac:dyDescent="0.2">
      <c r="A477" s="22"/>
      <c r="B477" s="40"/>
      <c r="C477" s="158">
        <f>14.5+11.5+30</f>
        <v>56</v>
      </c>
      <c r="D477" s="22" t="s">
        <v>7</v>
      </c>
      <c r="E477" s="19" t="s">
        <v>170</v>
      </c>
      <c r="F477" s="22"/>
      <c r="G477" s="22"/>
      <c r="H477" s="22"/>
      <c r="I477" s="22"/>
      <c r="J477" s="22"/>
      <c r="K477" s="2"/>
      <c r="L477" s="2"/>
      <c r="M477" s="2"/>
      <c r="N477" s="2"/>
    </row>
    <row r="478" spans="1:14" s="33" customFormat="1" x14ac:dyDescent="0.2">
      <c r="A478" s="22"/>
      <c r="B478" s="40"/>
      <c r="C478" s="158">
        <f>14.5+11.5+30</f>
        <v>56</v>
      </c>
      <c r="D478" s="22" t="s">
        <v>7</v>
      </c>
      <c r="E478" s="19" t="s">
        <v>171</v>
      </c>
      <c r="F478" s="22"/>
      <c r="G478" s="22"/>
      <c r="H478" s="22"/>
      <c r="I478" s="22"/>
      <c r="J478" s="22"/>
      <c r="K478" s="2"/>
      <c r="L478" s="2"/>
      <c r="M478" s="2"/>
      <c r="N478" s="2"/>
    </row>
    <row r="479" spans="1:14" s="33" customFormat="1" x14ac:dyDescent="0.2">
      <c r="A479" s="22"/>
      <c r="B479" s="40"/>
      <c r="C479" s="27"/>
      <c r="D479" s="22"/>
      <c r="E479" s="19"/>
      <c r="F479" s="22"/>
      <c r="G479" s="22"/>
      <c r="H479" s="22"/>
      <c r="I479" s="22"/>
      <c r="J479" s="22"/>
      <c r="K479" s="2"/>
      <c r="L479" s="2"/>
      <c r="M479" s="2"/>
      <c r="N479" s="2"/>
    </row>
    <row r="480" spans="1:14" s="33" customFormat="1" x14ac:dyDescent="0.2">
      <c r="A480" s="22"/>
      <c r="B480" s="40"/>
      <c r="C480" s="56">
        <f>C477+C478</f>
        <v>112</v>
      </c>
      <c r="D480" s="22" t="s">
        <v>7</v>
      </c>
      <c r="E480" s="19" t="s">
        <v>46</v>
      </c>
      <c r="F480" s="22"/>
      <c r="G480" s="22"/>
      <c r="H480" s="22"/>
      <c r="I480" s="22"/>
      <c r="J480" s="22"/>
      <c r="K480" s="2"/>
      <c r="L480" s="2"/>
      <c r="M480" s="2"/>
      <c r="N480" s="2"/>
    </row>
    <row r="481" spans="1:14" s="38" customFormat="1" x14ac:dyDescent="0.2"/>
    <row r="482" spans="1:14" s="49" customFormat="1" x14ac:dyDescent="0.2">
      <c r="A482" s="35">
        <f>A43</f>
        <v>518</v>
      </c>
      <c r="B482" s="44">
        <f>B43</f>
        <v>40010</v>
      </c>
      <c r="C482" s="36">
        <f>ROUNDUP(C486,0)</f>
        <v>16</v>
      </c>
      <c r="D482" s="35" t="str">
        <f>D43</f>
        <v>FT</v>
      </c>
      <c r="E482" s="37" t="str">
        <f>E43</f>
        <v>6" NON-PERFORATED CORRUGATED PLASTIC PIPE, INCLUDING SPECIALS</v>
      </c>
      <c r="F482" s="39"/>
      <c r="G482" s="39"/>
      <c r="H482" s="39"/>
      <c r="I482" s="39"/>
      <c r="J482" s="39"/>
      <c r="K482" s="39"/>
      <c r="L482" s="39"/>
      <c r="M482" s="39"/>
      <c r="N482" s="39"/>
    </row>
    <row r="483" spans="1:14" s="26" customFormat="1" x14ac:dyDescent="0.2">
      <c r="A483" s="22"/>
      <c r="B483" s="40"/>
      <c r="C483" s="158">
        <f>6.25+1+2</f>
        <v>9.25</v>
      </c>
      <c r="D483" s="22" t="s">
        <v>7</v>
      </c>
      <c r="E483" s="19" t="s">
        <v>170</v>
      </c>
      <c r="F483" s="22"/>
      <c r="G483" s="22"/>
      <c r="H483" s="22"/>
      <c r="I483" s="22"/>
      <c r="J483" s="2"/>
      <c r="K483" s="2"/>
      <c r="L483" s="2"/>
      <c r="M483" s="2"/>
      <c r="N483" s="2"/>
    </row>
    <row r="484" spans="1:14" s="26" customFormat="1" x14ac:dyDescent="0.2">
      <c r="A484" s="22"/>
      <c r="B484" s="40"/>
      <c r="C484" s="158">
        <f>3.02+1+2</f>
        <v>6.02</v>
      </c>
      <c r="D484" s="22" t="s">
        <v>7</v>
      </c>
      <c r="E484" s="19" t="s">
        <v>171</v>
      </c>
      <c r="F484" s="22"/>
      <c r="G484" s="22"/>
      <c r="H484" s="22"/>
      <c r="I484" s="22"/>
      <c r="J484" s="2"/>
      <c r="K484" s="2"/>
      <c r="L484" s="2"/>
      <c r="M484" s="2"/>
      <c r="N484" s="2"/>
    </row>
    <row r="485" spans="1:14" s="26" customFormat="1" x14ac:dyDescent="0.2">
      <c r="A485" s="22"/>
      <c r="B485" s="40"/>
      <c r="C485" s="27"/>
      <c r="D485" s="22"/>
      <c r="E485" s="19"/>
      <c r="F485" s="22"/>
      <c r="G485" s="22"/>
      <c r="H485" s="22"/>
      <c r="I485" s="22"/>
      <c r="J485" s="2"/>
      <c r="K485" s="2"/>
      <c r="L485" s="2"/>
      <c r="M485" s="2"/>
      <c r="N485" s="2"/>
    </row>
    <row r="486" spans="1:14" s="24" customFormat="1" x14ac:dyDescent="0.2">
      <c r="A486" s="23"/>
      <c r="B486" s="42"/>
      <c r="C486" s="41">
        <f>C483+C484</f>
        <v>15.27</v>
      </c>
      <c r="D486" s="23" t="s">
        <v>7</v>
      </c>
      <c r="E486" s="25" t="s">
        <v>46</v>
      </c>
      <c r="F486" s="23"/>
      <c r="G486" s="23"/>
      <c r="H486" s="23"/>
      <c r="I486" s="23"/>
      <c r="J486" s="23"/>
      <c r="K486" s="23"/>
      <c r="L486" s="23"/>
      <c r="M486" s="23"/>
      <c r="N486" s="23"/>
    </row>
    <row r="487" spans="1:14" s="26" customFormat="1" x14ac:dyDescent="0.2"/>
    <row r="488" spans="1:14" s="49" customFormat="1" x14ac:dyDescent="0.2">
      <c r="A488" s="35">
        <f>A46</f>
        <v>524</v>
      </c>
      <c r="B488" s="44">
        <f>B46</f>
        <v>94802</v>
      </c>
      <c r="C488" s="36">
        <f>ROUNDUP(C518,0)</f>
        <v>62</v>
      </c>
      <c r="D488" s="35" t="s">
        <v>7</v>
      </c>
      <c r="E488" s="37" t="str">
        <f>E46</f>
        <v>DRILLED SHAFTS, 42" DIAMETER, ABOVE BEDROCK</v>
      </c>
      <c r="F488" s="39"/>
      <c r="G488" s="39"/>
      <c r="H488" s="39"/>
      <c r="I488" s="39"/>
      <c r="J488" s="39"/>
      <c r="K488" s="39"/>
      <c r="L488" s="39"/>
      <c r="M488" s="39"/>
      <c r="N488" s="39"/>
    </row>
    <row r="489" spans="1:14" x14ac:dyDescent="0.2">
      <c r="A489" s="26" t="s">
        <v>205</v>
      </c>
    </row>
    <row r="490" spans="1:14" x14ac:dyDescent="0.2">
      <c r="A490" s="26" t="s">
        <v>36</v>
      </c>
      <c r="C490" s="51">
        <v>612.5</v>
      </c>
      <c r="D490" s="26" t="s">
        <v>7</v>
      </c>
      <c r="E490" s="26" t="s">
        <v>172</v>
      </c>
      <c r="F490" s="26"/>
    </row>
    <row r="491" spans="1:14" x14ac:dyDescent="0.2">
      <c r="A491" s="26"/>
      <c r="C491" s="51">
        <v>597.1</v>
      </c>
      <c r="D491" s="26" t="s">
        <v>7</v>
      </c>
      <c r="E491" s="26" t="s">
        <v>226</v>
      </c>
      <c r="F491" s="26"/>
    </row>
    <row r="492" spans="1:14" ht="15.75" thickBot="1" x14ac:dyDescent="0.25">
      <c r="A492" s="26"/>
      <c r="C492" s="162">
        <f>C522</f>
        <v>10</v>
      </c>
      <c r="D492" s="26" t="s">
        <v>7</v>
      </c>
      <c r="E492" s="26" t="s">
        <v>204</v>
      </c>
      <c r="F492" s="26"/>
    </row>
    <row r="493" spans="1:14" ht="13.5" thickTop="1" x14ac:dyDescent="0.2">
      <c r="A493" s="26"/>
      <c r="C493" s="27">
        <f>C490-C491-C492</f>
        <v>5.3999999999999773</v>
      </c>
      <c r="D493" s="26" t="s">
        <v>7</v>
      </c>
      <c r="E493" s="26" t="s">
        <v>173</v>
      </c>
      <c r="F493" s="26"/>
    </row>
    <row r="494" spans="1:14" x14ac:dyDescent="0.2">
      <c r="C494" s="51">
        <v>5</v>
      </c>
      <c r="D494" s="26" t="s">
        <v>12</v>
      </c>
      <c r="E494" s="26" t="s">
        <v>133</v>
      </c>
      <c r="F494" s="26"/>
    </row>
    <row r="495" spans="1:14" x14ac:dyDescent="0.2">
      <c r="C495" s="22">
        <f>ROUND(C493*C494,2)</f>
        <v>27</v>
      </c>
      <c r="D495" s="26" t="s">
        <v>7</v>
      </c>
      <c r="E495" s="26" t="s">
        <v>260</v>
      </c>
      <c r="F495" s="26"/>
    </row>
    <row r="496" spans="1:14" x14ac:dyDescent="0.2">
      <c r="C496" s="22"/>
      <c r="D496" s="26"/>
      <c r="E496" s="26"/>
      <c r="F496" s="26"/>
    </row>
    <row r="497" spans="1:6" x14ac:dyDescent="0.2">
      <c r="A497" s="26" t="s">
        <v>37</v>
      </c>
      <c r="C497" s="51">
        <v>614</v>
      </c>
      <c r="D497" s="26" t="s">
        <v>7</v>
      </c>
      <c r="E497" s="26" t="s">
        <v>172</v>
      </c>
      <c r="F497" s="26"/>
    </row>
    <row r="498" spans="1:6" x14ac:dyDescent="0.2">
      <c r="A498" s="26"/>
      <c r="C498" s="51">
        <v>597.70000000000005</v>
      </c>
      <c r="D498" s="26" t="s">
        <v>7</v>
      </c>
      <c r="E498" s="26" t="s">
        <v>226</v>
      </c>
      <c r="F498" s="26"/>
    </row>
    <row r="499" spans="1:6" ht="15.75" thickBot="1" x14ac:dyDescent="0.25">
      <c r="A499" s="26"/>
      <c r="C499" s="162">
        <f>C525</f>
        <v>10.5</v>
      </c>
      <c r="D499" s="26" t="s">
        <v>7</v>
      </c>
      <c r="E499" s="26" t="s">
        <v>204</v>
      </c>
      <c r="F499" s="26"/>
    </row>
    <row r="500" spans="1:6" ht="13.5" thickTop="1" x14ac:dyDescent="0.2">
      <c r="A500" s="26"/>
      <c r="C500" s="27">
        <f>C497-C498-C499</f>
        <v>5.7999999999999545</v>
      </c>
      <c r="D500" s="26" t="s">
        <v>7</v>
      </c>
      <c r="E500" s="26" t="s">
        <v>173</v>
      </c>
      <c r="F500" s="26"/>
    </row>
    <row r="501" spans="1:6" x14ac:dyDescent="0.2">
      <c r="A501" s="26"/>
      <c r="C501" s="51">
        <v>5</v>
      </c>
      <c r="D501" s="26" t="s">
        <v>12</v>
      </c>
      <c r="E501" s="26" t="s">
        <v>133</v>
      </c>
      <c r="F501" s="26"/>
    </row>
    <row r="502" spans="1:6" x14ac:dyDescent="0.2">
      <c r="C502" s="22">
        <f>ROUND(C500*C501,2)</f>
        <v>29</v>
      </c>
      <c r="D502" s="26" t="s">
        <v>7</v>
      </c>
      <c r="E502" s="26" t="s">
        <v>259</v>
      </c>
      <c r="F502" s="26"/>
    </row>
    <row r="503" spans="1:6" x14ac:dyDescent="0.2">
      <c r="C503" s="22"/>
      <c r="D503" s="26"/>
      <c r="E503" s="26"/>
      <c r="F503" s="26"/>
    </row>
    <row r="504" spans="1:6" x14ac:dyDescent="0.2">
      <c r="A504" s="26" t="s">
        <v>112</v>
      </c>
      <c r="C504" s="51">
        <v>610.79</v>
      </c>
      <c r="D504" s="26" t="s">
        <v>7</v>
      </c>
      <c r="E504" s="26" t="s">
        <v>172</v>
      </c>
      <c r="F504" s="26"/>
    </row>
    <row r="505" spans="1:6" x14ac:dyDescent="0.2">
      <c r="A505" s="26"/>
      <c r="C505" s="51">
        <v>597.64</v>
      </c>
      <c r="D505" s="26" t="s">
        <v>7</v>
      </c>
      <c r="E505" s="26" t="s">
        <v>226</v>
      </c>
      <c r="F505" s="26"/>
    </row>
    <row r="506" spans="1:6" ht="15.75" thickBot="1" x14ac:dyDescent="0.25">
      <c r="A506" s="26"/>
      <c r="C506" s="162">
        <f>C528</f>
        <v>11.46</v>
      </c>
      <c r="D506" s="26" t="s">
        <v>7</v>
      </c>
      <c r="E506" s="26" t="s">
        <v>204</v>
      </c>
      <c r="F506" s="26"/>
    </row>
    <row r="507" spans="1:6" ht="13.5" thickTop="1" x14ac:dyDescent="0.2">
      <c r="A507" s="26"/>
      <c r="C507" s="27">
        <f>C504-C505-C506</f>
        <v>1.6899999999999764</v>
      </c>
      <c r="D507" s="26" t="s">
        <v>7</v>
      </c>
      <c r="E507" s="26" t="s">
        <v>173</v>
      </c>
      <c r="F507" s="26"/>
    </row>
    <row r="508" spans="1:6" x14ac:dyDescent="0.2">
      <c r="A508" s="26"/>
      <c r="C508" s="51">
        <v>3</v>
      </c>
      <c r="D508" s="26" t="s">
        <v>12</v>
      </c>
      <c r="E508" s="26" t="s">
        <v>133</v>
      </c>
      <c r="F508" s="26"/>
    </row>
    <row r="509" spans="1:6" x14ac:dyDescent="0.2">
      <c r="C509" s="22">
        <f>ROUND(C507*C508,2)</f>
        <v>5.07</v>
      </c>
      <c r="D509" s="26" t="s">
        <v>7</v>
      </c>
      <c r="E509" s="26" t="s">
        <v>260</v>
      </c>
      <c r="F509" s="26"/>
    </row>
    <row r="510" spans="1:6" x14ac:dyDescent="0.2">
      <c r="C510" s="22"/>
      <c r="D510" s="26"/>
      <c r="E510" s="26"/>
      <c r="F510" s="26"/>
    </row>
    <row r="511" spans="1:6" x14ac:dyDescent="0.2">
      <c r="A511" s="26" t="s">
        <v>113</v>
      </c>
      <c r="C511" s="51">
        <v>605.14</v>
      </c>
      <c r="D511" s="26" t="s">
        <v>7</v>
      </c>
      <c r="E511" s="26" t="s">
        <v>172</v>
      </c>
      <c r="F511" s="26"/>
    </row>
    <row r="512" spans="1:6" x14ac:dyDescent="0.2">
      <c r="A512" s="26"/>
      <c r="C512" s="51">
        <v>591.99</v>
      </c>
      <c r="D512" s="26" t="s">
        <v>7</v>
      </c>
      <c r="E512" s="26" t="s">
        <v>226</v>
      </c>
      <c r="F512" s="26"/>
    </row>
    <row r="513" spans="1:14" ht="15.75" thickBot="1" x14ac:dyDescent="0.25">
      <c r="A513" s="26"/>
      <c r="C513" s="162">
        <f>C531</f>
        <v>13.15</v>
      </c>
      <c r="D513" s="26" t="s">
        <v>7</v>
      </c>
      <c r="E513" s="26" t="s">
        <v>204</v>
      </c>
      <c r="F513" s="26"/>
    </row>
    <row r="514" spans="1:14" ht="13.5" thickTop="1" x14ac:dyDescent="0.2">
      <c r="A514" s="26"/>
      <c r="C514" s="27">
        <f>C511-C512-C513</f>
        <v>-2.3092638912203256E-14</v>
      </c>
      <c r="D514" s="26" t="s">
        <v>7</v>
      </c>
      <c r="E514" s="26" t="s">
        <v>173</v>
      </c>
      <c r="F514" s="26"/>
    </row>
    <row r="515" spans="1:14" x14ac:dyDescent="0.2">
      <c r="A515" s="26"/>
      <c r="C515" s="51">
        <v>3</v>
      </c>
      <c r="D515" s="26" t="s">
        <v>12</v>
      </c>
      <c r="E515" s="26" t="s">
        <v>133</v>
      </c>
      <c r="F515" s="26"/>
    </row>
    <row r="516" spans="1:14" x14ac:dyDescent="0.2">
      <c r="C516" s="22">
        <f>ROUND(C514*C515,2)</f>
        <v>0</v>
      </c>
      <c r="D516" s="26" t="s">
        <v>7</v>
      </c>
      <c r="E516" s="26" t="s">
        <v>260</v>
      </c>
      <c r="F516" s="26"/>
    </row>
    <row r="517" spans="1:14" x14ac:dyDescent="0.2">
      <c r="C517" s="26"/>
      <c r="D517" s="26"/>
      <c r="E517" s="26"/>
      <c r="F517" s="26"/>
    </row>
    <row r="518" spans="1:14" s="24" customFormat="1" x14ac:dyDescent="0.2">
      <c r="A518" s="23"/>
      <c r="B518" s="42"/>
      <c r="C518" s="41">
        <f>C495+C502+C509+C516</f>
        <v>61.07</v>
      </c>
      <c r="D518" s="23" t="s">
        <v>7</v>
      </c>
      <c r="E518" s="25" t="s">
        <v>107</v>
      </c>
      <c r="F518" s="23"/>
      <c r="G518" s="23"/>
      <c r="H518" s="23"/>
      <c r="I518" s="23"/>
      <c r="J518" s="2"/>
      <c r="K518" s="2"/>
      <c r="L518" s="2"/>
      <c r="M518" s="2"/>
      <c r="N518" s="2"/>
    </row>
    <row r="519" spans="1:14" s="38" customFormat="1" x14ac:dyDescent="0.2"/>
    <row r="520" spans="1:14" s="26" customFormat="1" x14ac:dyDescent="0.2">
      <c r="A520" s="45">
        <f>A45</f>
        <v>524</v>
      </c>
      <c r="B520" s="45">
        <f>B45</f>
        <v>94704</v>
      </c>
      <c r="C520" s="46">
        <f>ROUNDUP(C534,0)</f>
        <v>177</v>
      </c>
      <c r="D520" s="45" t="str">
        <f t="shared" ref="D520:E520" si="6">D45</f>
        <v>FT</v>
      </c>
      <c r="E520" s="47" t="str">
        <f t="shared" si="6"/>
        <v>DRILLED SHAFTS, 36" DIAMETER, INTO BEDROCK</v>
      </c>
      <c r="F520" s="48"/>
      <c r="G520" s="48"/>
      <c r="H520" s="48"/>
      <c r="I520" s="48"/>
      <c r="J520" s="48"/>
      <c r="K520" s="48"/>
      <c r="L520" s="48"/>
      <c r="M520" s="48"/>
      <c r="N520" s="48"/>
    </row>
    <row r="521" spans="1:14" s="26" customFormat="1" x14ac:dyDescent="0.2">
      <c r="A521" s="26" t="s">
        <v>203</v>
      </c>
    </row>
    <row r="522" spans="1:14" s="26" customFormat="1" x14ac:dyDescent="0.2">
      <c r="A522" s="26" t="s">
        <v>36</v>
      </c>
      <c r="C522" s="51">
        <v>10</v>
      </c>
      <c r="D522" s="26" t="s">
        <v>7</v>
      </c>
      <c r="E522" s="26" t="s">
        <v>204</v>
      </c>
    </row>
    <row r="523" spans="1:14" s="26" customFormat="1" x14ac:dyDescent="0.2">
      <c r="C523" s="210">
        <f>C494</f>
        <v>5</v>
      </c>
      <c r="D523" s="26" t="s">
        <v>12</v>
      </c>
      <c r="E523" s="26" t="s">
        <v>133</v>
      </c>
    </row>
    <row r="524" spans="1:14" s="26" customFormat="1" x14ac:dyDescent="0.2"/>
    <row r="525" spans="1:14" s="26" customFormat="1" x14ac:dyDescent="0.2">
      <c r="A525" s="26" t="s">
        <v>37</v>
      </c>
      <c r="C525" s="51">
        <v>10.5</v>
      </c>
      <c r="D525" s="26" t="s">
        <v>7</v>
      </c>
      <c r="E525" s="26" t="s">
        <v>204</v>
      </c>
    </row>
    <row r="526" spans="1:14" s="26" customFormat="1" x14ac:dyDescent="0.2">
      <c r="C526" s="210">
        <f>C501</f>
        <v>5</v>
      </c>
      <c r="D526" s="26" t="s">
        <v>12</v>
      </c>
      <c r="E526" s="26" t="s">
        <v>133</v>
      </c>
    </row>
    <row r="527" spans="1:14" s="26" customFormat="1" x14ac:dyDescent="0.2"/>
    <row r="528" spans="1:14" s="26" customFormat="1" x14ac:dyDescent="0.2">
      <c r="A528" s="26" t="s">
        <v>112</v>
      </c>
      <c r="C528" s="51">
        <v>11.46</v>
      </c>
      <c r="D528" s="26" t="s">
        <v>7</v>
      </c>
      <c r="E528" s="26" t="s">
        <v>204</v>
      </c>
    </row>
    <row r="529" spans="1:14" s="26" customFormat="1" x14ac:dyDescent="0.2">
      <c r="C529" s="210">
        <f>C508</f>
        <v>3</v>
      </c>
      <c r="D529" s="26" t="s">
        <v>12</v>
      </c>
      <c r="E529" s="26" t="s">
        <v>133</v>
      </c>
    </row>
    <row r="530" spans="1:14" s="26" customFormat="1" x14ac:dyDescent="0.2"/>
    <row r="531" spans="1:14" s="26" customFormat="1" x14ac:dyDescent="0.2">
      <c r="A531" s="26" t="s">
        <v>113</v>
      </c>
      <c r="C531" s="51">
        <v>13.15</v>
      </c>
      <c r="D531" s="26" t="s">
        <v>7</v>
      </c>
      <c r="E531" s="26" t="s">
        <v>204</v>
      </c>
    </row>
    <row r="532" spans="1:14" s="26" customFormat="1" x14ac:dyDescent="0.2">
      <c r="C532" s="210">
        <f>C515</f>
        <v>3</v>
      </c>
      <c r="D532" s="26" t="s">
        <v>12</v>
      </c>
      <c r="E532" s="26" t="s">
        <v>133</v>
      </c>
    </row>
    <row r="533" spans="1:14" s="26" customFormat="1" x14ac:dyDescent="0.2"/>
    <row r="534" spans="1:14" s="142" customFormat="1" x14ac:dyDescent="0.2">
      <c r="A534" s="139"/>
      <c r="B534" s="140"/>
      <c r="C534" s="41">
        <f>C522*C523+C525*C526+C528*C529+C531*C532</f>
        <v>176.32999999999998</v>
      </c>
      <c r="D534" s="139" t="s">
        <v>7</v>
      </c>
      <c r="E534" s="141" t="s">
        <v>107</v>
      </c>
      <c r="F534" s="139"/>
      <c r="G534" s="139"/>
      <c r="H534" s="139"/>
      <c r="I534" s="139"/>
      <c r="J534" s="139"/>
      <c r="K534" s="139"/>
      <c r="L534" s="139"/>
      <c r="M534" s="139"/>
      <c r="N534" s="139"/>
    </row>
    <row r="535" spans="1:14" s="38" customFormat="1" x14ac:dyDescent="0.2"/>
    <row r="536" spans="1:14" s="49" customFormat="1" x14ac:dyDescent="0.2">
      <c r="A536" s="35">
        <f>A47</f>
        <v>524</v>
      </c>
      <c r="B536" s="44">
        <f>B47</f>
        <v>95000</v>
      </c>
      <c r="C536" s="36">
        <f>ROUNDUP(C540,0)</f>
        <v>8</v>
      </c>
      <c r="D536" s="35" t="str">
        <f>D47</f>
        <v>FT</v>
      </c>
      <c r="E536" s="37" t="str">
        <f>E47</f>
        <v xml:space="preserve">DRILLED SHAFTS, MISC.: DEMONSTRATION DRILLED SHAFT </v>
      </c>
      <c r="F536" s="39"/>
      <c r="G536" s="39"/>
      <c r="H536" s="39"/>
      <c r="I536" s="39"/>
      <c r="J536" s="39"/>
      <c r="K536" s="39"/>
      <c r="L536" s="39"/>
      <c r="M536" s="39"/>
      <c r="N536" s="39"/>
    </row>
    <row r="537" spans="1:14" s="126" customFormat="1" x14ac:dyDescent="0.2">
      <c r="A537" s="122"/>
      <c r="B537" s="123"/>
      <c r="C537" s="157">
        <f>MAX(C493,C500)</f>
        <v>5.7999999999999545</v>
      </c>
      <c r="D537" s="122" t="s">
        <v>7</v>
      </c>
      <c r="E537" s="125" t="s">
        <v>197</v>
      </c>
      <c r="F537" s="122"/>
      <c r="G537" s="122"/>
      <c r="H537" s="122"/>
      <c r="I537" s="122"/>
      <c r="J537" s="122"/>
      <c r="K537" s="122"/>
      <c r="L537" s="122"/>
      <c r="M537" s="122"/>
      <c r="N537" s="122"/>
    </row>
    <row r="538" spans="1:14" s="26" customFormat="1" x14ac:dyDescent="0.2">
      <c r="A538" s="22"/>
      <c r="B538" s="40"/>
      <c r="C538" s="51">
        <f>MAX(C507,C514)</f>
        <v>1.6899999999999764</v>
      </c>
      <c r="D538" s="22" t="s">
        <v>7</v>
      </c>
      <c r="E538" s="19" t="s">
        <v>198</v>
      </c>
      <c r="F538" s="22"/>
      <c r="G538" s="22"/>
      <c r="H538" s="22"/>
      <c r="I538" s="22"/>
      <c r="J538" s="22"/>
      <c r="K538" s="22"/>
      <c r="L538" s="22"/>
      <c r="M538" s="22"/>
      <c r="N538" s="22"/>
    </row>
    <row r="539" spans="1:14" s="26" customFormat="1" x14ac:dyDescent="0.2">
      <c r="A539" s="22"/>
      <c r="B539" s="40"/>
      <c r="D539" s="22"/>
      <c r="E539" s="19"/>
      <c r="F539" s="22"/>
      <c r="G539" s="22"/>
      <c r="H539" s="22"/>
      <c r="I539" s="22"/>
      <c r="J539" s="22"/>
      <c r="K539" s="22"/>
      <c r="L539" s="22"/>
      <c r="M539" s="22"/>
      <c r="N539" s="22"/>
    </row>
    <row r="540" spans="1:14" s="142" customFormat="1" x14ac:dyDescent="0.2">
      <c r="A540" s="139"/>
      <c r="B540" s="140"/>
      <c r="C540" s="41">
        <f>ROUNDUP(C537+C538,0)</f>
        <v>8</v>
      </c>
      <c r="D540" s="139" t="s">
        <v>7</v>
      </c>
      <c r="E540" s="141" t="s">
        <v>107</v>
      </c>
      <c r="F540" s="139"/>
      <c r="G540" s="139"/>
      <c r="H540" s="139"/>
      <c r="I540" s="139"/>
      <c r="J540" s="139"/>
      <c r="K540" s="139"/>
      <c r="L540" s="139"/>
      <c r="M540" s="139"/>
      <c r="N540" s="139"/>
    </row>
    <row r="541" spans="1:14" s="26" customFormat="1" x14ac:dyDescent="0.2"/>
    <row r="542" spans="1:14" s="49" customFormat="1" x14ac:dyDescent="0.2">
      <c r="A542" s="35">
        <f>A49</f>
        <v>526</v>
      </c>
      <c r="B542" s="44">
        <f>B49</f>
        <v>30011</v>
      </c>
      <c r="C542" s="36">
        <f>ROUNDUP(C546,0)</f>
        <v>187</v>
      </c>
      <c r="D542" s="35" t="str">
        <f>D49</f>
        <v>SY</v>
      </c>
      <c r="E542" s="37" t="str">
        <f>E49</f>
        <v>REINFORCED CONCRETE APPROACH SLABS WITH QC/QA (T=17"), AS PER PLAN</v>
      </c>
      <c r="F542" s="39"/>
      <c r="G542" s="39"/>
      <c r="H542" s="39"/>
      <c r="I542" s="39"/>
      <c r="J542" s="39"/>
      <c r="K542" s="39"/>
      <c r="L542" s="39"/>
      <c r="M542" s="39"/>
      <c r="N542" s="39"/>
    </row>
    <row r="543" spans="1:14" s="187" customFormat="1" x14ac:dyDescent="0.2">
      <c r="A543" s="125" t="s">
        <v>242</v>
      </c>
      <c r="B543" s="186"/>
      <c r="C543" s="157">
        <v>839.65</v>
      </c>
      <c r="D543" s="122" t="s">
        <v>8</v>
      </c>
      <c r="E543" s="125" t="s">
        <v>241</v>
      </c>
      <c r="F543" s="122"/>
      <c r="G543" s="122"/>
      <c r="H543" s="122"/>
      <c r="I543" s="122"/>
      <c r="J543" s="122"/>
      <c r="K543" s="122"/>
      <c r="L543" s="122"/>
      <c r="M543" s="122"/>
      <c r="N543" s="122"/>
    </row>
    <row r="544" spans="1:14" s="33" customFormat="1" x14ac:dyDescent="0.2">
      <c r="A544" s="19" t="s">
        <v>243</v>
      </c>
      <c r="B544" s="53"/>
      <c r="C544" s="51">
        <v>839.63900000000001</v>
      </c>
      <c r="D544" s="22" t="s">
        <v>8</v>
      </c>
      <c r="E544" s="19" t="s">
        <v>241</v>
      </c>
      <c r="F544" s="22"/>
      <c r="G544" s="22"/>
      <c r="H544" s="22"/>
      <c r="I544" s="22"/>
      <c r="J544" s="22"/>
      <c r="K544" s="22"/>
      <c r="L544" s="22"/>
      <c r="M544" s="22"/>
      <c r="N544" s="22"/>
    </row>
    <row r="545" spans="1:76" s="33" customFormat="1" x14ac:dyDescent="0.2">
      <c r="A545" s="121"/>
      <c r="B545" s="53"/>
      <c r="C545" s="66"/>
      <c r="D545" s="121"/>
      <c r="E545" s="127"/>
      <c r="F545" s="22"/>
      <c r="G545" s="22"/>
      <c r="H545" s="22"/>
      <c r="I545" s="22"/>
      <c r="J545" s="22"/>
      <c r="K545" s="22"/>
      <c r="L545" s="22"/>
      <c r="M545" s="22"/>
      <c r="N545" s="22"/>
    </row>
    <row r="546" spans="1:76" s="24" customFormat="1" x14ac:dyDescent="0.2">
      <c r="A546" s="23"/>
      <c r="B546" s="42"/>
      <c r="C546" s="41">
        <f>(C543+C544)/9</f>
        <v>186.58766666666668</v>
      </c>
      <c r="D546" s="23" t="s">
        <v>9</v>
      </c>
      <c r="E546" s="25" t="s">
        <v>24</v>
      </c>
      <c r="F546" s="23"/>
      <c r="G546" s="23"/>
      <c r="H546" s="23"/>
      <c r="I546" s="23"/>
      <c r="J546" s="18"/>
      <c r="K546" s="18"/>
      <c r="L546" s="18"/>
      <c r="M546" s="18"/>
      <c r="N546" s="18"/>
    </row>
    <row r="547" spans="1:76" s="38" customFormat="1" x14ac:dyDescent="0.2"/>
    <row r="548" spans="1:76" s="49" customFormat="1" x14ac:dyDescent="0.2">
      <c r="A548" s="35">
        <f>A50</f>
        <v>526</v>
      </c>
      <c r="B548" s="44">
        <f>B50</f>
        <v>90030</v>
      </c>
      <c r="C548" s="36">
        <f>ROUNDUP(C553,0)</f>
        <v>56</v>
      </c>
      <c r="D548" s="35" t="str">
        <f>D50</f>
        <v>FT</v>
      </c>
      <c r="E548" s="37" t="str">
        <f>E50</f>
        <v>TYPE C INSTALLATION</v>
      </c>
      <c r="F548" s="39"/>
      <c r="G548" s="39"/>
      <c r="H548" s="39"/>
      <c r="I548" s="39"/>
      <c r="J548" s="39"/>
      <c r="K548" s="39"/>
      <c r="L548" s="39"/>
      <c r="M548" s="39"/>
      <c r="N548" s="39"/>
    </row>
    <row r="549" spans="1:76" s="108" customFormat="1" x14ac:dyDescent="0.2">
      <c r="A549" s="20" t="s">
        <v>36</v>
      </c>
      <c r="B549" s="50"/>
      <c r="C549" s="51">
        <v>27.54</v>
      </c>
      <c r="D549" s="32" t="s">
        <v>7</v>
      </c>
      <c r="E549" s="20" t="s">
        <v>101</v>
      </c>
      <c r="F549" s="32"/>
      <c r="G549" s="32"/>
      <c r="H549" s="32"/>
      <c r="I549" s="32"/>
      <c r="J549" s="2"/>
      <c r="K549" s="2"/>
      <c r="L549" s="2"/>
      <c r="M549" s="2"/>
      <c r="N549" s="2"/>
    </row>
    <row r="550" spans="1:76" s="108" customFormat="1" x14ac:dyDescent="0.2">
      <c r="A550" s="20"/>
      <c r="B550" s="50"/>
      <c r="C550" s="59"/>
      <c r="D550" s="32"/>
      <c r="E550" s="20"/>
      <c r="F550" s="32"/>
      <c r="G550" s="32"/>
      <c r="H550" s="32"/>
      <c r="I550" s="32"/>
      <c r="J550" s="2"/>
      <c r="K550" s="2"/>
      <c r="L550" s="2"/>
      <c r="M550" s="2"/>
      <c r="N550" s="2"/>
    </row>
    <row r="551" spans="1:76" s="108" customFormat="1" x14ac:dyDescent="0.2">
      <c r="A551" s="20" t="s">
        <v>37</v>
      </c>
      <c r="B551" s="50"/>
      <c r="C551" s="51">
        <v>27.542999999999999</v>
      </c>
      <c r="D551" s="32" t="s">
        <v>7</v>
      </c>
      <c r="E551" s="20" t="s">
        <v>101</v>
      </c>
      <c r="F551" s="32"/>
      <c r="G551" s="32"/>
      <c r="H551" s="32"/>
      <c r="I551" s="32"/>
      <c r="J551" s="2"/>
      <c r="K551" s="2"/>
      <c r="L551" s="2"/>
      <c r="M551" s="2"/>
      <c r="N551" s="2"/>
    </row>
    <row r="552" spans="1:76" s="108" customFormat="1" x14ac:dyDescent="0.2">
      <c r="A552" s="32"/>
      <c r="B552" s="50"/>
      <c r="C552" s="27"/>
      <c r="D552" s="32"/>
      <c r="E552" s="20"/>
      <c r="F552" s="32"/>
      <c r="G552" s="32"/>
      <c r="H552" s="32"/>
      <c r="I552" s="32"/>
      <c r="J552" s="2"/>
      <c r="K552" s="2"/>
      <c r="L552" s="2"/>
      <c r="M552" s="2"/>
      <c r="N552" s="2"/>
    </row>
    <row r="553" spans="1:76" s="16" customFormat="1" x14ac:dyDescent="0.2">
      <c r="A553" s="23"/>
      <c r="B553" s="42"/>
      <c r="C553" s="41">
        <f>C549+C551</f>
        <v>55.082999999999998</v>
      </c>
      <c r="D553" s="23" t="s">
        <v>7</v>
      </c>
      <c r="E553" s="25" t="s">
        <v>6</v>
      </c>
      <c r="F553" s="23"/>
      <c r="G553" s="23"/>
      <c r="H553" s="23"/>
      <c r="I553" s="23"/>
      <c r="J553" s="2"/>
      <c r="K553" s="2"/>
      <c r="L553" s="2"/>
      <c r="M553" s="2"/>
      <c r="N553" s="2"/>
    </row>
    <row r="554" spans="1:76" s="38" customFormat="1" x14ac:dyDescent="0.2"/>
    <row r="555" spans="1:76" s="49" customFormat="1" x14ac:dyDescent="0.2">
      <c r="A555" s="45">
        <f>A52</f>
        <v>601</v>
      </c>
      <c r="B555" s="143">
        <f>B52</f>
        <v>21050</v>
      </c>
      <c r="C555" s="46">
        <f>ROUNDUP(C562,0)</f>
        <v>4</v>
      </c>
      <c r="D555" s="45" t="str">
        <f t="shared" ref="D555:E555" si="7">D52</f>
        <v>SY</v>
      </c>
      <c r="E555" s="47" t="str">
        <f t="shared" si="7"/>
        <v>TIED CONCRETE BLOCK MAT WITH TYPE 1 UNDERLAYMENT</v>
      </c>
      <c r="F555" s="48"/>
      <c r="G555" s="48"/>
      <c r="H555" s="48"/>
      <c r="I555" s="48"/>
      <c r="J555" s="48"/>
      <c r="K555" s="39"/>
      <c r="L555" s="39"/>
      <c r="M555" s="39"/>
      <c r="N555" s="39"/>
    </row>
    <row r="556" spans="1:76" s="33" customFormat="1" x14ac:dyDescent="0.2">
      <c r="A556" s="20" t="s">
        <v>242</v>
      </c>
      <c r="B556" s="50"/>
      <c r="C556" s="51">
        <f>4*4</f>
        <v>16</v>
      </c>
      <c r="D556" s="32" t="s">
        <v>8</v>
      </c>
      <c r="E556" s="20" t="s">
        <v>246</v>
      </c>
      <c r="F556" s="32"/>
      <c r="G556" s="32"/>
      <c r="H556" s="32"/>
      <c r="I556" s="32"/>
      <c r="J556" s="32"/>
      <c r="K556" s="2"/>
      <c r="L556" s="2"/>
      <c r="M556" s="2"/>
      <c r="N556" s="2"/>
    </row>
    <row r="557" spans="1:76" s="33" customFormat="1" ht="12.75" customHeight="1" x14ac:dyDescent="0.2">
      <c r="B557" s="50"/>
      <c r="C557" s="51">
        <v>1</v>
      </c>
      <c r="D557" s="32" t="s">
        <v>25</v>
      </c>
      <c r="E557" s="20" t="s">
        <v>247</v>
      </c>
      <c r="F557" s="32"/>
      <c r="G557" s="32"/>
      <c r="H557" s="32"/>
      <c r="I557" s="32"/>
      <c r="J557" s="32"/>
      <c r="K557" s="32"/>
      <c r="L557" s="32"/>
      <c r="M557" s="32"/>
      <c r="N557" s="32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  <c r="AO557" s="26"/>
      <c r="AP557" s="26"/>
      <c r="AQ557" s="26"/>
      <c r="AR557" s="26"/>
      <c r="AS557" s="26"/>
      <c r="AT557" s="26"/>
      <c r="AU557" s="26"/>
      <c r="AV557" s="26"/>
      <c r="AW557" s="26"/>
      <c r="AX557" s="26"/>
      <c r="AY557" s="26"/>
      <c r="AZ557" s="26"/>
      <c r="BA557" s="26"/>
      <c r="BB557" s="26"/>
      <c r="BC557" s="26"/>
      <c r="BD557" s="26"/>
      <c r="BE557" s="26"/>
      <c r="BF557" s="26"/>
      <c r="BG557" s="26"/>
      <c r="BH557" s="26"/>
      <c r="BI557" s="26"/>
      <c r="BJ557" s="26"/>
      <c r="BK557" s="26"/>
      <c r="BL557" s="26"/>
      <c r="BM557" s="26"/>
      <c r="BN557" s="26"/>
      <c r="BO557" s="26"/>
      <c r="BP557" s="26"/>
      <c r="BQ557" s="26"/>
      <c r="BR557" s="26"/>
      <c r="BS557" s="26"/>
      <c r="BT557" s="26"/>
      <c r="BU557" s="26"/>
      <c r="BV557" s="26"/>
      <c r="BW557" s="26"/>
      <c r="BX557" s="26"/>
    </row>
    <row r="558" spans="1:76" s="33" customFormat="1" x14ac:dyDescent="0.2">
      <c r="A558" s="33" t="s">
        <v>243</v>
      </c>
      <c r="B558" s="50"/>
      <c r="C558" s="51">
        <f>4*4</f>
        <v>16</v>
      </c>
      <c r="D558" s="32" t="s">
        <v>9</v>
      </c>
      <c r="E558" s="20" t="s">
        <v>246</v>
      </c>
      <c r="F558" s="32"/>
      <c r="G558" s="32"/>
      <c r="H558" s="32"/>
      <c r="I558" s="32"/>
      <c r="J558" s="32"/>
      <c r="K558" s="32"/>
      <c r="L558" s="32"/>
      <c r="M558" s="32"/>
      <c r="N558" s="32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  <c r="AO558" s="26"/>
      <c r="AP558" s="26"/>
      <c r="AQ558" s="26"/>
      <c r="AR558" s="26"/>
      <c r="AS558" s="26"/>
      <c r="AT558" s="26"/>
      <c r="AU558" s="26"/>
      <c r="AV558" s="26"/>
      <c r="AW558" s="26"/>
      <c r="AX558" s="26"/>
      <c r="AY558" s="26"/>
      <c r="AZ558" s="26"/>
      <c r="BA558" s="26"/>
      <c r="BB558" s="26"/>
      <c r="BC558" s="26"/>
      <c r="BD558" s="26"/>
      <c r="BE558" s="26"/>
      <c r="BF558" s="26"/>
      <c r="BG558" s="26"/>
      <c r="BH558" s="26"/>
      <c r="BI558" s="26"/>
      <c r="BJ558" s="26"/>
      <c r="BK558" s="26"/>
      <c r="BL558" s="26"/>
      <c r="BM558" s="26"/>
      <c r="BN558" s="26"/>
      <c r="BO558" s="26"/>
      <c r="BP558" s="26"/>
      <c r="BQ558" s="26"/>
      <c r="BR558" s="26"/>
      <c r="BS558" s="26"/>
      <c r="BT558" s="26"/>
      <c r="BU558" s="26"/>
      <c r="BV558" s="26"/>
      <c r="BW558" s="26"/>
      <c r="BX558" s="26"/>
    </row>
    <row r="559" spans="1:76" s="33" customFormat="1" x14ac:dyDescent="0.2">
      <c r="B559" s="50"/>
      <c r="C559" s="51">
        <v>1</v>
      </c>
      <c r="D559" s="32" t="s">
        <v>25</v>
      </c>
      <c r="E559" s="20" t="s">
        <v>247</v>
      </c>
      <c r="F559" s="32"/>
      <c r="G559" s="32"/>
      <c r="H559" s="32"/>
      <c r="I559" s="32"/>
      <c r="J559" s="32"/>
      <c r="K559" s="32"/>
      <c r="L559" s="32"/>
      <c r="M559" s="32"/>
      <c r="N559" s="32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  <c r="AP559" s="26"/>
      <c r="AQ559" s="26"/>
      <c r="AR559" s="26"/>
      <c r="AS559" s="26"/>
      <c r="AT559" s="26"/>
      <c r="AU559" s="26"/>
      <c r="AV559" s="26"/>
      <c r="AW559" s="26"/>
      <c r="AX559" s="26"/>
      <c r="AY559" s="26"/>
      <c r="AZ559" s="26"/>
      <c r="BA559" s="26"/>
      <c r="BB559" s="26"/>
      <c r="BC559" s="26"/>
      <c r="BD559" s="26"/>
      <c r="BE559" s="26"/>
      <c r="BF559" s="26"/>
      <c r="BG559" s="26"/>
      <c r="BH559" s="26"/>
      <c r="BI559" s="26"/>
      <c r="BJ559" s="26"/>
      <c r="BK559" s="26"/>
      <c r="BL559" s="26"/>
      <c r="BM559" s="26"/>
      <c r="BN559" s="26"/>
      <c r="BO559" s="26"/>
      <c r="BP559" s="26"/>
      <c r="BQ559" s="26"/>
      <c r="BR559" s="26"/>
      <c r="BS559" s="26"/>
      <c r="BT559" s="26"/>
      <c r="BU559" s="26"/>
      <c r="BV559" s="26"/>
      <c r="BW559" s="26"/>
      <c r="BX559" s="26"/>
    </row>
    <row r="560" spans="1:76" s="33" customFormat="1" x14ac:dyDescent="0.2">
      <c r="A560" s="32"/>
      <c r="B560" s="50"/>
      <c r="C560" s="27"/>
      <c r="D560" s="32"/>
      <c r="E560" s="20"/>
      <c r="F560" s="32"/>
      <c r="G560" s="32"/>
      <c r="H560" s="32"/>
      <c r="I560" s="32"/>
      <c r="J560" s="32"/>
      <c r="K560" s="2"/>
      <c r="L560" s="2"/>
      <c r="M560" s="2"/>
      <c r="N560" s="2"/>
    </row>
    <row r="561" spans="1:76" s="33" customFormat="1" x14ac:dyDescent="0.2">
      <c r="A561" s="32"/>
      <c r="B561" s="50"/>
      <c r="C561" s="41">
        <f>C556*C557+C558*C559</f>
        <v>32</v>
      </c>
      <c r="D561" s="32" t="s">
        <v>8</v>
      </c>
      <c r="E561" s="20" t="s">
        <v>6</v>
      </c>
      <c r="F561" s="32"/>
      <c r="G561" s="32"/>
      <c r="H561" s="32"/>
      <c r="I561" s="32"/>
      <c r="J561" s="32"/>
      <c r="K561" s="2"/>
      <c r="L561" s="2"/>
      <c r="M561" s="2"/>
      <c r="N561" s="2"/>
    </row>
    <row r="562" spans="1:76" s="26" customFormat="1" x14ac:dyDescent="0.2">
      <c r="A562" s="22"/>
      <c r="B562" s="40"/>
      <c r="C562" s="56">
        <f>C561/9</f>
        <v>3.5555555555555554</v>
      </c>
      <c r="D562" s="22" t="s">
        <v>9</v>
      </c>
      <c r="E562" s="19" t="s">
        <v>6</v>
      </c>
      <c r="F562" s="22"/>
      <c r="G562" s="22"/>
      <c r="H562" s="22"/>
      <c r="I562" s="22"/>
      <c r="J562" s="22"/>
      <c r="K562" s="2"/>
      <c r="L562" s="2"/>
      <c r="M562" s="2"/>
      <c r="N562" s="2"/>
    </row>
    <row r="563" spans="1:76" s="38" customFormat="1" x14ac:dyDescent="0.2"/>
    <row r="564" spans="1:76" s="49" customFormat="1" x14ac:dyDescent="0.2">
      <c r="A564" s="45">
        <f>A53</f>
        <v>601</v>
      </c>
      <c r="B564" s="143">
        <f>B53</f>
        <v>20000</v>
      </c>
      <c r="C564" s="46">
        <f>ROUNDUP(C569,0)</f>
        <v>0</v>
      </c>
      <c r="D564" s="45" t="str">
        <f>D53</f>
        <v>SY</v>
      </c>
      <c r="E564" s="47" t="str">
        <f>E53</f>
        <v>CRUSHED AGGREGATE SLOPE PROTECTION</v>
      </c>
      <c r="F564" s="48"/>
      <c r="G564" s="48"/>
      <c r="H564" s="48"/>
      <c r="I564" s="48"/>
      <c r="J564" s="48"/>
      <c r="K564" s="48"/>
      <c r="L564" s="48"/>
      <c r="M564" s="48"/>
      <c r="N564" s="4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  <c r="BF564" s="38"/>
      <c r="BG564" s="38"/>
      <c r="BH564" s="38"/>
      <c r="BI564" s="38"/>
      <c r="BJ564" s="38"/>
      <c r="BK564" s="38"/>
      <c r="BL564" s="38"/>
      <c r="BM564" s="38"/>
      <c r="BN564" s="38"/>
      <c r="BO564" s="38"/>
      <c r="BP564" s="38"/>
      <c r="BQ564" s="38"/>
      <c r="BR564" s="38"/>
      <c r="BS564" s="38"/>
      <c r="BT564" s="38"/>
      <c r="BU564" s="38"/>
      <c r="BV564" s="38"/>
      <c r="BW564" s="38"/>
      <c r="BX564" s="38"/>
    </row>
    <row r="565" spans="1:76" s="33" customFormat="1" x14ac:dyDescent="0.2">
      <c r="A565" s="20"/>
      <c r="B565" s="50"/>
      <c r="C565" s="51">
        <v>0</v>
      </c>
      <c r="D565" s="32" t="s">
        <v>8</v>
      </c>
      <c r="E565" s="20" t="s">
        <v>249</v>
      </c>
      <c r="F565" s="32"/>
      <c r="G565" s="32"/>
      <c r="H565" s="32"/>
      <c r="I565" s="32"/>
      <c r="J565" s="32"/>
      <c r="K565" s="32"/>
      <c r="L565" s="32"/>
      <c r="M565" s="32"/>
      <c r="N565" s="32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26"/>
      <c r="AO565" s="26"/>
      <c r="AP565" s="26"/>
      <c r="AQ565" s="26"/>
      <c r="AR565" s="26"/>
      <c r="AS565" s="26"/>
      <c r="AT565" s="26"/>
      <c r="AU565" s="26"/>
      <c r="AV565" s="26"/>
      <c r="AW565" s="26"/>
      <c r="AX565" s="26"/>
      <c r="AY565" s="26"/>
      <c r="AZ565" s="26"/>
      <c r="BA565" s="26"/>
      <c r="BB565" s="26"/>
      <c r="BC565" s="26"/>
      <c r="BD565" s="26"/>
      <c r="BE565" s="26"/>
      <c r="BF565" s="26"/>
      <c r="BG565" s="26"/>
      <c r="BH565" s="26"/>
      <c r="BI565" s="26"/>
      <c r="BJ565" s="26"/>
      <c r="BK565" s="26"/>
      <c r="BL565" s="26"/>
      <c r="BM565" s="26"/>
      <c r="BN565" s="26"/>
      <c r="BO565" s="26"/>
      <c r="BP565" s="26"/>
      <c r="BQ565" s="26"/>
      <c r="BR565" s="26"/>
      <c r="BS565" s="26"/>
      <c r="BT565" s="26"/>
      <c r="BU565" s="26"/>
      <c r="BV565" s="26"/>
      <c r="BW565" s="26"/>
      <c r="BX565" s="26"/>
    </row>
    <row r="566" spans="1:76" s="33" customFormat="1" x14ac:dyDescent="0.2">
      <c r="A566" s="240" t="s">
        <v>248</v>
      </c>
      <c r="B566" s="50"/>
      <c r="C566" s="51">
        <v>0</v>
      </c>
      <c r="D566" s="32" t="s">
        <v>7</v>
      </c>
      <c r="E566" s="20" t="s">
        <v>250</v>
      </c>
      <c r="F566" s="32"/>
      <c r="G566" s="32"/>
      <c r="H566" s="32"/>
      <c r="I566" s="32"/>
      <c r="J566" s="32"/>
      <c r="K566" s="32"/>
      <c r="L566" s="32"/>
      <c r="M566" s="32"/>
      <c r="N566" s="32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  <c r="AO566" s="26"/>
      <c r="AP566" s="26"/>
      <c r="AQ566" s="26"/>
      <c r="AR566" s="26"/>
      <c r="AS566" s="26"/>
      <c r="AT566" s="26"/>
      <c r="AU566" s="26"/>
      <c r="AV566" s="26"/>
      <c r="AW566" s="26"/>
      <c r="AX566" s="26"/>
      <c r="AY566" s="26"/>
      <c r="AZ566" s="26"/>
      <c r="BA566" s="26"/>
      <c r="BB566" s="26"/>
      <c r="BC566" s="26"/>
      <c r="BD566" s="26"/>
      <c r="BE566" s="26"/>
      <c r="BF566" s="26"/>
      <c r="BG566" s="26"/>
      <c r="BH566" s="26"/>
      <c r="BI566" s="26"/>
      <c r="BJ566" s="26"/>
      <c r="BK566" s="26"/>
      <c r="BL566" s="26"/>
      <c r="BM566" s="26"/>
      <c r="BN566" s="26"/>
      <c r="BO566" s="26"/>
      <c r="BP566" s="26"/>
      <c r="BQ566" s="26"/>
      <c r="BR566" s="26"/>
      <c r="BS566" s="26"/>
      <c r="BT566" s="26"/>
      <c r="BU566" s="26"/>
      <c r="BV566" s="26"/>
      <c r="BW566" s="26"/>
      <c r="BX566" s="26"/>
    </row>
    <row r="567" spans="1:76" s="33" customFormat="1" x14ac:dyDescent="0.2">
      <c r="A567" s="240"/>
      <c r="B567" s="50"/>
      <c r="C567" s="27"/>
      <c r="D567" s="32"/>
      <c r="E567" s="20"/>
      <c r="F567" s="32"/>
      <c r="G567" s="32"/>
      <c r="H567" s="32"/>
      <c r="I567" s="32"/>
      <c r="J567" s="32"/>
      <c r="K567" s="32"/>
      <c r="L567" s="32"/>
      <c r="M567" s="32"/>
      <c r="N567" s="32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  <c r="AO567" s="26"/>
      <c r="AP567" s="26"/>
      <c r="AQ567" s="26"/>
      <c r="AR567" s="26"/>
      <c r="AS567" s="26"/>
      <c r="AT567" s="26"/>
      <c r="AU567" s="26"/>
      <c r="AV567" s="26"/>
      <c r="AW567" s="26"/>
      <c r="AX567" s="26"/>
      <c r="AY567" s="26"/>
      <c r="AZ567" s="26"/>
      <c r="BA567" s="26"/>
      <c r="BB567" s="26"/>
      <c r="BC567" s="26"/>
      <c r="BD567" s="26"/>
      <c r="BE567" s="26"/>
      <c r="BF567" s="26"/>
      <c r="BG567" s="26"/>
      <c r="BH567" s="26"/>
      <c r="BI567" s="26"/>
      <c r="BJ567" s="26"/>
      <c r="BK567" s="26"/>
      <c r="BL567" s="26"/>
      <c r="BM567" s="26"/>
      <c r="BN567" s="26"/>
      <c r="BO567" s="26"/>
      <c r="BP567" s="26"/>
      <c r="BQ567" s="26"/>
      <c r="BR567" s="26"/>
      <c r="BS567" s="26"/>
      <c r="BT567" s="26"/>
      <c r="BU567" s="26"/>
      <c r="BV567" s="26"/>
      <c r="BW567" s="26"/>
      <c r="BX567" s="26"/>
    </row>
    <row r="568" spans="1:76" s="33" customFormat="1" x14ac:dyDescent="0.2">
      <c r="A568" s="32"/>
      <c r="B568" s="50"/>
      <c r="C568" s="41">
        <f>C565+C566</f>
        <v>0</v>
      </c>
      <c r="D568" s="32" t="s">
        <v>8</v>
      </c>
      <c r="E568" s="20" t="s">
        <v>6</v>
      </c>
      <c r="F568" s="32"/>
      <c r="G568" s="32"/>
      <c r="H568" s="32"/>
      <c r="I568" s="32"/>
      <c r="J568" s="32"/>
      <c r="K568" s="32"/>
      <c r="L568" s="32"/>
      <c r="M568" s="32"/>
      <c r="N568" s="32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  <c r="AO568" s="26"/>
      <c r="AP568" s="26"/>
      <c r="AQ568" s="26"/>
      <c r="AR568" s="26"/>
      <c r="AS568" s="26"/>
      <c r="AT568" s="26"/>
      <c r="AU568" s="26"/>
      <c r="AV568" s="26"/>
      <c r="AW568" s="26"/>
      <c r="AX568" s="26"/>
      <c r="AY568" s="26"/>
      <c r="AZ568" s="26"/>
      <c r="BA568" s="26"/>
      <c r="BB568" s="26"/>
      <c r="BC568" s="26"/>
      <c r="BD568" s="26"/>
      <c r="BE568" s="26"/>
      <c r="BF568" s="26"/>
      <c r="BG568" s="26"/>
      <c r="BH568" s="26"/>
      <c r="BI568" s="26"/>
      <c r="BJ568" s="26"/>
      <c r="BK568" s="26"/>
      <c r="BL568" s="26"/>
      <c r="BM568" s="26"/>
      <c r="BN568" s="26"/>
      <c r="BO568" s="26"/>
      <c r="BP568" s="26"/>
      <c r="BQ568" s="26"/>
      <c r="BR568" s="26"/>
      <c r="BS568" s="26"/>
      <c r="BT568" s="26"/>
      <c r="BU568" s="26"/>
      <c r="BV568" s="26"/>
      <c r="BW568" s="26"/>
      <c r="BX568" s="26"/>
    </row>
    <row r="569" spans="1:76" s="24" customFormat="1" x14ac:dyDescent="0.2">
      <c r="A569" s="23"/>
      <c r="B569" s="42"/>
      <c r="C569" s="41">
        <f>C568/9</f>
        <v>0</v>
      </c>
      <c r="D569" s="23" t="s">
        <v>9</v>
      </c>
      <c r="E569" s="25" t="s">
        <v>6</v>
      </c>
      <c r="F569" s="23"/>
      <c r="G569" s="23"/>
      <c r="H569" s="23"/>
      <c r="I569" s="23"/>
      <c r="J569" s="23"/>
      <c r="K569" s="23"/>
      <c r="L569" s="23"/>
      <c r="M569" s="23"/>
      <c r="N569" s="23"/>
    </row>
    <row r="570" spans="1:76" s="26" customFormat="1" x14ac:dyDescent="0.2"/>
    <row r="571" spans="1:76" s="49" customFormat="1" x14ac:dyDescent="0.2">
      <c r="A571" s="45">
        <f>A54</f>
        <v>601</v>
      </c>
      <c r="B571" s="143">
        <f>B54</f>
        <v>32200</v>
      </c>
      <c r="C571" s="46">
        <f>ROUNDUP(C578,0)</f>
        <v>78</v>
      </c>
      <c r="D571" s="45" t="str">
        <f>D54</f>
        <v>CY</v>
      </c>
      <c r="E571" s="47" t="str">
        <f>E54</f>
        <v>ROCK CHANNEL PROTECTION, TYPE C WITH FILTER</v>
      </c>
      <c r="F571" s="48"/>
      <c r="G571" s="48"/>
      <c r="H571" s="48"/>
      <c r="I571" s="48"/>
      <c r="J571" s="48"/>
      <c r="K571" s="48"/>
      <c r="L571" s="48"/>
      <c r="M571" s="48"/>
      <c r="N571" s="4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8"/>
      <c r="BF571" s="38"/>
      <c r="BG571" s="38"/>
      <c r="BH571" s="38"/>
      <c r="BI571" s="38"/>
      <c r="BJ571" s="38"/>
      <c r="BK571" s="38"/>
      <c r="BL571" s="38"/>
      <c r="BM571" s="38"/>
      <c r="BN571" s="38"/>
      <c r="BO571" s="38"/>
      <c r="BP571" s="38"/>
      <c r="BQ571" s="38"/>
      <c r="BR571" s="38"/>
      <c r="BS571" s="38"/>
      <c r="BT571" s="38"/>
      <c r="BU571" s="38"/>
      <c r="BV571" s="38"/>
      <c r="BW571" s="38"/>
      <c r="BX571" s="38"/>
    </row>
    <row r="572" spans="1:76" s="33" customFormat="1" x14ac:dyDescent="0.2">
      <c r="A572" s="188" t="s">
        <v>242</v>
      </c>
      <c r="B572" s="50"/>
      <c r="C572" s="51"/>
      <c r="D572" s="32" t="s">
        <v>8</v>
      </c>
      <c r="E572" s="20" t="s">
        <v>251</v>
      </c>
      <c r="F572" s="32"/>
      <c r="G572" s="32"/>
      <c r="H572" s="32"/>
      <c r="I572" s="32"/>
      <c r="J572" s="32"/>
      <c r="K572" s="32"/>
      <c r="L572" s="32"/>
      <c r="M572" s="32"/>
      <c r="N572" s="32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  <c r="AO572" s="26"/>
      <c r="AP572" s="26"/>
      <c r="AQ572" s="26"/>
      <c r="AR572" s="26"/>
      <c r="AS572" s="26"/>
      <c r="AT572" s="26"/>
      <c r="AU572" s="26"/>
      <c r="AV572" s="26"/>
      <c r="AW572" s="26"/>
      <c r="AX572" s="26"/>
      <c r="AY572" s="26"/>
      <c r="AZ572" s="26"/>
      <c r="BA572" s="26"/>
      <c r="BB572" s="26"/>
      <c r="BC572" s="26"/>
      <c r="BD572" s="26"/>
      <c r="BE572" s="26"/>
      <c r="BF572" s="26"/>
      <c r="BG572" s="26"/>
      <c r="BH572" s="26"/>
      <c r="BI572" s="26"/>
      <c r="BJ572" s="26"/>
      <c r="BK572" s="26"/>
      <c r="BL572" s="26"/>
      <c r="BM572" s="26"/>
      <c r="BN572" s="26"/>
      <c r="BO572" s="26"/>
      <c r="BP572" s="26"/>
      <c r="BQ572" s="26"/>
      <c r="BR572" s="26"/>
      <c r="BS572" s="26"/>
      <c r="BT572" s="26"/>
      <c r="BU572" s="26"/>
      <c r="BV572" s="26"/>
      <c r="BW572" s="26"/>
      <c r="BX572" s="26"/>
    </row>
    <row r="573" spans="1:76" s="33" customFormat="1" x14ac:dyDescent="0.2">
      <c r="A573" s="188"/>
      <c r="B573" s="50"/>
      <c r="C573" s="51">
        <v>2</v>
      </c>
      <c r="D573" s="32" t="s">
        <v>7</v>
      </c>
      <c r="E573" s="20" t="s">
        <v>244</v>
      </c>
      <c r="F573" s="32"/>
      <c r="G573" s="32"/>
      <c r="H573" s="32"/>
      <c r="I573" s="32"/>
      <c r="J573" s="32"/>
      <c r="K573" s="32"/>
      <c r="L573" s="32"/>
      <c r="M573" s="32"/>
      <c r="N573" s="32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26"/>
      <c r="AO573" s="26"/>
      <c r="AP573" s="26"/>
      <c r="AQ573" s="26"/>
      <c r="AR573" s="26"/>
      <c r="AS573" s="26"/>
      <c r="AT573" s="26"/>
      <c r="AU573" s="26"/>
      <c r="AV573" s="26"/>
      <c r="AW573" s="26"/>
      <c r="AX573" s="26"/>
      <c r="AY573" s="26"/>
      <c r="AZ573" s="26"/>
      <c r="BA573" s="26"/>
      <c r="BB573" s="26"/>
      <c r="BC573" s="26"/>
      <c r="BD573" s="26"/>
      <c r="BE573" s="26"/>
      <c r="BF573" s="26"/>
      <c r="BG573" s="26"/>
      <c r="BH573" s="26"/>
      <c r="BI573" s="26"/>
      <c r="BJ573" s="26"/>
      <c r="BK573" s="26"/>
      <c r="BL573" s="26"/>
      <c r="BM573" s="26"/>
      <c r="BN573" s="26"/>
      <c r="BO573" s="26"/>
      <c r="BP573" s="26"/>
      <c r="BQ573" s="26"/>
      <c r="BR573" s="26"/>
      <c r="BS573" s="26"/>
      <c r="BT573" s="26"/>
      <c r="BU573" s="26"/>
      <c r="BV573" s="26"/>
      <c r="BW573" s="26"/>
      <c r="BX573" s="26"/>
    </row>
    <row r="574" spans="1:76" s="33" customFormat="1" x14ac:dyDescent="0.2">
      <c r="A574" s="188" t="s">
        <v>243</v>
      </c>
      <c r="B574" s="50"/>
      <c r="C574" s="51">
        <v>1047</v>
      </c>
      <c r="D574" s="32" t="s">
        <v>8</v>
      </c>
      <c r="E574" s="20" t="s">
        <v>241</v>
      </c>
      <c r="F574" s="32"/>
      <c r="G574" s="32"/>
      <c r="H574" s="32"/>
      <c r="I574" s="32"/>
      <c r="J574" s="32"/>
      <c r="K574" s="32"/>
      <c r="L574" s="32"/>
      <c r="M574" s="32"/>
      <c r="N574" s="32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  <c r="AO574" s="26"/>
      <c r="AP574" s="26"/>
      <c r="AQ574" s="26"/>
      <c r="AR574" s="26"/>
      <c r="AS574" s="26"/>
      <c r="AT574" s="26"/>
      <c r="AU574" s="26"/>
      <c r="AV574" s="26"/>
      <c r="AW574" s="26"/>
      <c r="AX574" s="26"/>
      <c r="AY574" s="26"/>
      <c r="AZ574" s="26"/>
      <c r="BA574" s="26"/>
      <c r="BB574" s="26"/>
      <c r="BC574" s="26"/>
      <c r="BD574" s="26"/>
      <c r="BE574" s="26"/>
      <c r="BF574" s="26"/>
      <c r="BG574" s="26"/>
      <c r="BH574" s="26"/>
      <c r="BI574" s="26"/>
      <c r="BJ574" s="26"/>
      <c r="BK574" s="26"/>
      <c r="BL574" s="26"/>
      <c r="BM574" s="26"/>
      <c r="BN574" s="26"/>
      <c r="BO574" s="26"/>
      <c r="BP574" s="26"/>
      <c r="BQ574" s="26"/>
      <c r="BR574" s="26"/>
      <c r="BS574" s="26"/>
      <c r="BT574" s="26"/>
      <c r="BU574" s="26"/>
      <c r="BV574" s="26"/>
      <c r="BW574" s="26"/>
      <c r="BX574" s="26"/>
    </row>
    <row r="575" spans="1:76" s="33" customFormat="1" x14ac:dyDescent="0.2">
      <c r="A575" s="20"/>
      <c r="B575" s="50"/>
      <c r="C575" s="51">
        <v>2</v>
      </c>
      <c r="D575" s="32" t="s">
        <v>7</v>
      </c>
      <c r="E575" s="20" t="s">
        <v>244</v>
      </c>
      <c r="F575" s="32"/>
      <c r="G575" s="32"/>
      <c r="H575" s="32"/>
      <c r="I575" s="32"/>
      <c r="J575" s="32"/>
      <c r="K575" s="32"/>
      <c r="L575" s="32"/>
      <c r="M575" s="32"/>
      <c r="N575" s="32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  <c r="AO575" s="26"/>
      <c r="AP575" s="26"/>
      <c r="AQ575" s="26"/>
      <c r="AR575" s="26"/>
      <c r="AS575" s="26"/>
      <c r="AT575" s="26"/>
      <c r="AU575" s="26"/>
      <c r="AV575" s="26"/>
      <c r="AW575" s="26"/>
      <c r="AX575" s="26"/>
      <c r="AY575" s="26"/>
      <c r="AZ575" s="26"/>
      <c r="BA575" s="26"/>
      <c r="BB575" s="26"/>
      <c r="BC575" s="26"/>
      <c r="BD575" s="26"/>
      <c r="BE575" s="26"/>
      <c r="BF575" s="26"/>
      <c r="BG575" s="26"/>
      <c r="BH575" s="26"/>
      <c r="BI575" s="26"/>
      <c r="BJ575" s="26"/>
      <c r="BK575" s="26"/>
      <c r="BL575" s="26"/>
      <c r="BM575" s="26"/>
      <c r="BN575" s="26"/>
      <c r="BO575" s="26"/>
      <c r="BP575" s="26"/>
      <c r="BQ575" s="26"/>
      <c r="BR575" s="26"/>
      <c r="BS575" s="26"/>
      <c r="BT575" s="26"/>
      <c r="BU575" s="26"/>
      <c r="BV575" s="26"/>
      <c r="BW575" s="26"/>
      <c r="BX575" s="26"/>
    </row>
    <row r="576" spans="1:76" s="33" customFormat="1" x14ac:dyDescent="0.2">
      <c r="A576" s="32"/>
      <c r="B576" s="50"/>
      <c r="C576" s="27"/>
      <c r="D576" s="32"/>
      <c r="E576" s="20"/>
      <c r="F576" s="32"/>
      <c r="G576" s="32"/>
      <c r="H576" s="32"/>
      <c r="I576" s="32"/>
      <c r="J576" s="32"/>
      <c r="K576" s="32"/>
      <c r="L576" s="32"/>
      <c r="M576" s="32"/>
      <c r="N576" s="32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  <c r="AO576" s="26"/>
      <c r="AP576" s="26"/>
      <c r="AQ576" s="26"/>
      <c r="AR576" s="26"/>
      <c r="AS576" s="26"/>
      <c r="AT576" s="26"/>
      <c r="AU576" s="26"/>
      <c r="AV576" s="26"/>
      <c r="AW576" s="26"/>
      <c r="AX576" s="26"/>
      <c r="AY576" s="26"/>
      <c r="AZ576" s="26"/>
      <c r="BA576" s="26"/>
      <c r="BB576" s="26"/>
      <c r="BC576" s="26"/>
      <c r="BD576" s="26"/>
      <c r="BE576" s="26"/>
      <c r="BF576" s="26"/>
      <c r="BG576" s="26"/>
      <c r="BH576" s="26"/>
      <c r="BI576" s="26"/>
      <c r="BJ576" s="26"/>
      <c r="BK576" s="26"/>
      <c r="BL576" s="26"/>
      <c r="BM576" s="26"/>
      <c r="BN576" s="26"/>
      <c r="BO576" s="26"/>
      <c r="BP576" s="26"/>
      <c r="BQ576" s="26"/>
      <c r="BR576" s="26"/>
      <c r="BS576" s="26"/>
      <c r="BT576" s="26"/>
      <c r="BU576" s="26"/>
      <c r="BV576" s="26"/>
      <c r="BW576" s="26"/>
      <c r="BX576" s="26"/>
    </row>
    <row r="577" spans="1:76" s="33" customFormat="1" x14ac:dyDescent="0.2">
      <c r="A577" s="32"/>
      <c r="B577" s="50"/>
      <c r="C577" s="41">
        <f>C572*C573+C574*C575</f>
        <v>2094</v>
      </c>
      <c r="D577" s="32" t="s">
        <v>261</v>
      </c>
      <c r="E577" s="20" t="s">
        <v>6</v>
      </c>
      <c r="F577" s="32"/>
      <c r="G577" s="32"/>
      <c r="H577" s="32"/>
      <c r="I577" s="32"/>
      <c r="J577" s="32"/>
      <c r="K577" s="32"/>
      <c r="L577" s="32"/>
      <c r="M577" s="32"/>
      <c r="N577" s="32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  <c r="AO577" s="26"/>
      <c r="AP577" s="26"/>
      <c r="AQ577" s="26"/>
      <c r="AR577" s="26"/>
      <c r="AS577" s="26"/>
      <c r="AT577" s="26"/>
      <c r="AU577" s="26"/>
      <c r="AV577" s="26"/>
      <c r="AW577" s="26"/>
      <c r="AX577" s="26"/>
      <c r="AY577" s="26"/>
      <c r="AZ577" s="26"/>
      <c r="BA577" s="26"/>
      <c r="BB577" s="26"/>
      <c r="BC577" s="26"/>
      <c r="BD577" s="26"/>
      <c r="BE577" s="26"/>
      <c r="BF577" s="26"/>
      <c r="BG577" s="26"/>
      <c r="BH577" s="26"/>
      <c r="BI577" s="26"/>
      <c r="BJ577" s="26"/>
      <c r="BK577" s="26"/>
      <c r="BL577" s="26"/>
      <c r="BM577" s="26"/>
      <c r="BN577" s="26"/>
      <c r="BO577" s="26"/>
      <c r="BP577" s="26"/>
      <c r="BQ577" s="26"/>
      <c r="BR577" s="26"/>
      <c r="BS577" s="26"/>
      <c r="BT577" s="26"/>
      <c r="BU577" s="26"/>
      <c r="BV577" s="26"/>
      <c r="BW577" s="26"/>
      <c r="BX577" s="26"/>
    </row>
    <row r="578" spans="1:76" s="24" customFormat="1" x14ac:dyDescent="0.2">
      <c r="A578" s="23"/>
      <c r="B578" s="42"/>
      <c r="C578" s="41">
        <f>C577/27</f>
        <v>77.555555555555557</v>
      </c>
      <c r="D578" s="23" t="s">
        <v>20</v>
      </c>
      <c r="E578" s="25" t="s">
        <v>6</v>
      </c>
      <c r="F578" s="23"/>
      <c r="G578" s="23"/>
      <c r="H578" s="23"/>
      <c r="I578" s="23"/>
      <c r="J578" s="23"/>
      <c r="K578" s="23"/>
      <c r="L578" s="23"/>
      <c r="M578" s="23"/>
      <c r="N578" s="23"/>
    </row>
    <row r="579" spans="1:76" s="26" customFormat="1" x14ac:dyDescent="0.2"/>
    <row r="580" spans="1:76" s="49" customFormat="1" x14ac:dyDescent="0.2">
      <c r="A580" s="35">
        <f>A60</f>
        <v>894</v>
      </c>
      <c r="B580" s="44">
        <f>B60</f>
        <v>10000</v>
      </c>
      <c r="C580" s="36">
        <f>ROUNDUP(C586,0)</f>
        <v>4</v>
      </c>
      <c r="D580" s="35" t="str">
        <f t="shared" ref="D580:E580" si="8">D60</f>
        <v>EACH</v>
      </c>
      <c r="E580" s="37" t="str">
        <f t="shared" si="8"/>
        <v>THERMAL INTEGRITY PROFILING (TIP) TEST</v>
      </c>
      <c r="F580" s="39"/>
      <c r="G580" s="39"/>
      <c r="H580" s="39"/>
      <c r="I580" s="39"/>
      <c r="J580" s="39"/>
      <c r="K580" s="39"/>
      <c r="L580" s="39"/>
      <c r="M580" s="39"/>
      <c r="N580" s="39"/>
    </row>
    <row r="581" spans="1:76" s="15" customFormat="1" x14ac:dyDescent="0.2">
      <c r="A581" s="22" t="s">
        <v>199</v>
      </c>
      <c r="B581" s="40"/>
      <c r="C581" s="51">
        <v>1</v>
      </c>
      <c r="D581" s="22" t="s">
        <v>25</v>
      </c>
      <c r="E581" s="19" t="s">
        <v>196</v>
      </c>
      <c r="F581" s="22"/>
      <c r="G581" s="22"/>
      <c r="H581" s="22"/>
      <c r="I581" s="22"/>
      <c r="J581" s="22"/>
      <c r="K581" s="22"/>
      <c r="L581" s="22"/>
      <c r="M581" s="22"/>
      <c r="N581" s="22"/>
    </row>
    <row r="582" spans="1:76" s="15" customFormat="1" x14ac:dyDescent="0.2">
      <c r="A582" s="22" t="s">
        <v>200</v>
      </c>
      <c r="B582" s="40"/>
      <c r="C582" s="51">
        <v>1</v>
      </c>
      <c r="D582" s="22" t="s">
        <v>25</v>
      </c>
      <c r="E582" s="19" t="s">
        <v>196</v>
      </c>
      <c r="F582" s="22"/>
      <c r="G582" s="22"/>
      <c r="H582" s="22"/>
      <c r="I582" s="22"/>
      <c r="J582" s="22"/>
      <c r="K582" s="22"/>
      <c r="L582" s="22"/>
      <c r="M582" s="22"/>
      <c r="N582" s="22"/>
    </row>
    <row r="583" spans="1:76" s="15" customFormat="1" x14ac:dyDescent="0.2">
      <c r="A583" s="22" t="s">
        <v>201</v>
      </c>
      <c r="B583" s="40"/>
      <c r="C583" s="51">
        <v>1</v>
      </c>
      <c r="D583" s="22" t="s">
        <v>25</v>
      </c>
      <c r="E583" s="19" t="s">
        <v>196</v>
      </c>
      <c r="F583" s="22"/>
      <c r="G583" s="22"/>
      <c r="H583" s="22"/>
      <c r="I583" s="22"/>
      <c r="J583" s="22"/>
      <c r="K583" s="22"/>
      <c r="L583" s="22"/>
      <c r="M583" s="22"/>
      <c r="N583" s="22"/>
    </row>
    <row r="584" spans="1:76" s="15" customFormat="1" x14ac:dyDescent="0.2">
      <c r="A584" s="22" t="s">
        <v>202</v>
      </c>
      <c r="B584" s="40"/>
      <c r="C584" s="51">
        <v>1</v>
      </c>
      <c r="D584" s="22" t="s">
        <v>25</v>
      </c>
      <c r="E584" s="19" t="s">
        <v>196</v>
      </c>
      <c r="F584" s="22"/>
      <c r="G584" s="22"/>
      <c r="H584" s="22"/>
      <c r="I584" s="22"/>
      <c r="J584" s="22"/>
      <c r="K584" s="22"/>
      <c r="L584" s="22"/>
      <c r="M584" s="22"/>
      <c r="N584" s="22"/>
    </row>
    <row r="585" spans="1:76" s="15" customFormat="1" x14ac:dyDescent="0.2">
      <c r="A585" s="22"/>
      <c r="B585" s="40"/>
      <c r="C585" s="27"/>
      <c r="D585" s="22"/>
      <c r="F585" s="22"/>
      <c r="G585" s="22"/>
      <c r="H585" s="22"/>
      <c r="I585" s="22"/>
      <c r="J585" s="22"/>
      <c r="K585" s="22"/>
      <c r="L585" s="22"/>
      <c r="M585" s="22"/>
      <c r="N585" s="22"/>
    </row>
    <row r="586" spans="1:76" s="16" customFormat="1" x14ac:dyDescent="0.2">
      <c r="A586" s="23"/>
      <c r="B586" s="42"/>
      <c r="C586" s="41">
        <f>SUM(C581:C584)</f>
        <v>4</v>
      </c>
      <c r="D586" s="23" t="s">
        <v>25</v>
      </c>
      <c r="E586" s="25" t="s">
        <v>6</v>
      </c>
      <c r="F586" s="23"/>
      <c r="G586" s="23"/>
      <c r="H586" s="23"/>
      <c r="I586" s="23"/>
      <c r="J586" s="23"/>
      <c r="K586" s="23"/>
      <c r="L586" s="23"/>
      <c r="M586" s="23"/>
      <c r="N586" s="23"/>
    </row>
  </sheetData>
  <mergeCells count="19">
    <mergeCell ref="A566:A567"/>
    <mergeCell ref="H107:N110"/>
    <mergeCell ref="H66:N67"/>
    <mergeCell ref="H71:N72"/>
    <mergeCell ref="H86:N89"/>
    <mergeCell ref="H93:N96"/>
    <mergeCell ref="H100:N103"/>
    <mergeCell ref="A13:J14"/>
    <mergeCell ref="J4:N4"/>
    <mergeCell ref="J5:N5"/>
    <mergeCell ref="J6:N6"/>
    <mergeCell ref="J7:N7"/>
    <mergeCell ref="A12:I12"/>
    <mergeCell ref="E61:I61"/>
    <mergeCell ref="E15:I15"/>
    <mergeCell ref="E19:I19"/>
    <mergeCell ref="E21:I21"/>
    <mergeCell ref="E22:I22"/>
    <mergeCell ref="E32:I32"/>
  </mergeCells>
  <printOptions horizontalCentered="1"/>
  <pageMargins left="0.5" right="0.25" top="0.5" bottom="0.5" header="0.3" footer="0.3"/>
  <pageSetup scale="69" fitToHeight="0" orientation="landscape" r:id="rId1"/>
  <headerFooter alignWithMargins="0">
    <oddFooter>Page &amp;P of &amp;N</oddFooter>
  </headerFooter>
  <rowBreaks count="11" manualBreakCount="11">
    <brk id="104" max="13" man="1"/>
    <brk id="145" max="13" man="1"/>
    <brk id="188" max="13" man="1"/>
    <brk id="231" max="13" man="1"/>
    <brk id="269" max="13" man="1"/>
    <brk id="314" max="13" man="1"/>
    <brk id="349" max="13" man="1"/>
    <brk id="393" max="13" man="1"/>
    <brk id="441" max="13" man="1"/>
    <brk id="487" max="13" man="1"/>
    <brk id="535" max="13" man="1"/>
  </rowBreaks>
  <ignoredErrors>
    <ignoredError sqref="C1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Stage 3</vt:lpstr>
      <vt:lpstr>'Stage 3'!Print_Area</vt:lpstr>
      <vt:lpstr>'Stage 3'!Print_Titles</vt:lpstr>
    </vt:vector>
  </TitlesOfParts>
  <Company>Barr &amp; Prevost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SEARCH ITEM LIST</dc:title>
  <dc:creator>Jennifer Miller</dc:creator>
  <cp:lastModifiedBy>Julia Hart</cp:lastModifiedBy>
  <cp:lastPrinted>2024-06-13T14:04:04Z</cp:lastPrinted>
  <dcterms:created xsi:type="dcterms:W3CDTF">2004-01-07T17:54:14Z</dcterms:created>
  <dcterms:modified xsi:type="dcterms:W3CDTF">2024-09-11T18:12:07Z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