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ellen\appdata\local\bentley\projectwise\workingdir\ohiodot-pw.bentley.com_ohiodot-pw-02\adam.mellen@dot.ohio.gov\d1195270\"/>
    </mc:Choice>
  </mc:AlternateContent>
  <xr:revisionPtr revIDLastSave="0" documentId="13_ncr:1_{30017EAF-4869-40BD-89EA-213A14FFAB37}" xr6:coauthVersionLast="47" xr6:coauthVersionMax="47" xr10:uidLastSave="{00000000-0000-0000-0000-000000000000}"/>
  <bookViews>
    <workbookView xWindow="-108" yWindow="-108" windowWidth="23256" windowHeight="12456" xr2:uid="{3580FB8E-4644-4F31-8EA2-01D32E3A78AA}"/>
  </bookViews>
  <sheets>
    <sheet name="Bellville" sheetId="8" r:id="rId1"/>
    <sheet name="Butler" sheetId="6" r:id="rId2"/>
    <sheet name="Catch Basins" sheetId="7" r:id="rId3"/>
    <sheet name="Curb Ramp Subsummary" sheetId="9" r:id="rId4"/>
  </sheets>
  <definedNames>
    <definedName name="_xlnm.Print_Titles" localSheetId="0">Bellville!$1:$3</definedName>
    <definedName name="_xlnm.Print_Titles" localSheetId="1">Butler!$1:$3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2" i="8" l="1"/>
  <c r="H52" i="8"/>
  <c r="H48" i="8"/>
  <c r="P38" i="8"/>
  <c r="O38" i="8"/>
  <c r="I38" i="8"/>
  <c r="AD55" i="8"/>
  <c r="V55" i="8"/>
  <c r="P36" i="8"/>
  <c r="O36" i="8"/>
  <c r="I36" i="8"/>
  <c r="I33" i="8"/>
  <c r="X15" i="8"/>
  <c r="X18" i="8"/>
  <c r="AF53" i="8"/>
  <c r="AG53" i="8" s="1"/>
  <c r="M53" i="8"/>
  <c r="I53" i="8"/>
  <c r="O53" i="8"/>
  <c r="AF52" i="8"/>
  <c r="AG52" i="8" s="1"/>
  <c r="O51" i="8"/>
  <c r="I50" i="8"/>
  <c r="I49" i="8"/>
  <c r="P48" i="8"/>
  <c r="I48" i="8"/>
  <c r="AF47" i="8"/>
  <c r="AG47" i="8" s="1"/>
  <c r="P47" i="8"/>
  <c r="I47" i="8"/>
  <c r="P46" i="8"/>
  <c r="O46" i="8"/>
  <c r="I46" i="8"/>
  <c r="H46" i="8"/>
  <c r="P45" i="8"/>
  <c r="N45" i="8"/>
  <c r="I45" i="8"/>
  <c r="P43" i="8"/>
  <c r="I43" i="8"/>
  <c r="P42" i="8"/>
  <c r="O42" i="8"/>
  <c r="I42" i="8"/>
  <c r="M41" i="8"/>
  <c r="P41" i="8"/>
  <c r="I41" i="8"/>
  <c r="P40" i="8"/>
  <c r="I40" i="8"/>
  <c r="AG46" i="8"/>
  <c r="AG48" i="8"/>
  <c r="AG49" i="8"/>
  <c r="AG50" i="8"/>
  <c r="AG51" i="8"/>
  <c r="AG45" i="8"/>
  <c r="AG39" i="8"/>
  <c r="AG40" i="8"/>
  <c r="AG41" i="8"/>
  <c r="AG42" i="8"/>
  <c r="AG43" i="8"/>
  <c r="AG38" i="8"/>
  <c r="P26" i="8"/>
  <c r="N26" i="8"/>
  <c r="I26" i="8"/>
  <c r="AF25" i="8"/>
  <c r="AG25" i="8" s="1"/>
  <c r="P25" i="8"/>
  <c r="I25" i="8"/>
  <c r="I22" i="8"/>
  <c r="M21" i="8"/>
  <c r="M20" i="8"/>
  <c r="P21" i="8"/>
  <c r="I21" i="8"/>
  <c r="O18" i="8"/>
  <c r="H18" i="8"/>
  <c r="AF19" i="8"/>
  <c r="AG19" i="8" s="1"/>
  <c r="K55" i="8"/>
  <c r="Q55" i="8"/>
  <c r="P14" i="8"/>
  <c r="O14" i="8"/>
  <c r="I14" i="8"/>
  <c r="I13" i="8"/>
  <c r="W55" i="8"/>
  <c r="P15" i="8"/>
  <c r="I15" i="8"/>
  <c r="AG13" i="8"/>
  <c r="AG14" i="8"/>
  <c r="AG15" i="8"/>
  <c r="AG18" i="8"/>
  <c r="AG20" i="8"/>
  <c r="AG21" i="8"/>
  <c r="AG22" i="8"/>
  <c r="AG23" i="8"/>
  <c r="AG24" i="8"/>
  <c r="AG26" i="8"/>
  <c r="P11" i="8"/>
  <c r="I11" i="8"/>
  <c r="R55" i="8"/>
  <c r="AG12" i="8"/>
  <c r="AF10" i="8"/>
  <c r="AG10" i="8" s="1"/>
  <c r="AG9" i="8"/>
  <c r="P9" i="8"/>
  <c r="I9" i="8"/>
  <c r="AG8" i="8"/>
  <c r="P8" i="8"/>
  <c r="I8" i="8"/>
  <c r="AF7" i="8"/>
  <c r="AG7" i="8" s="1"/>
  <c r="I7" i="8"/>
  <c r="AF6" i="8"/>
  <c r="AG6" i="8" s="1"/>
  <c r="N6" i="8"/>
  <c r="I6" i="8"/>
  <c r="J6" i="8"/>
  <c r="J55" i="8" s="1"/>
  <c r="AL7" i="9"/>
  <c r="U61" i="6"/>
  <c r="J53" i="6"/>
  <c r="I53" i="6"/>
  <c r="U17" i="6"/>
  <c r="V17" i="6" s="1"/>
  <c r="U8" i="6"/>
  <c r="J8" i="6"/>
  <c r="V6" i="6"/>
  <c r="U6" i="6"/>
  <c r="T73" i="6"/>
  <c r="AG7" i="9" s="1"/>
  <c r="AG10" i="9" s="1"/>
  <c r="U6" i="9"/>
  <c r="U10" i="9" s="1"/>
  <c r="R6" i="9"/>
  <c r="R10" i="9" s="1"/>
  <c r="M61" i="6"/>
  <c r="O61" i="6"/>
  <c r="J61" i="6"/>
  <c r="O58" i="6"/>
  <c r="N58" i="6"/>
  <c r="N73" i="6" s="1"/>
  <c r="O7" i="9" s="1"/>
  <c r="J58" i="6"/>
  <c r="K54" i="6"/>
  <c r="O54" i="6"/>
  <c r="J52" i="6"/>
  <c r="H52" i="6"/>
  <c r="O50" i="6"/>
  <c r="O51" i="6"/>
  <c r="H50" i="6"/>
  <c r="H51" i="6"/>
  <c r="H46" i="6"/>
  <c r="O46" i="6"/>
  <c r="O47" i="6"/>
  <c r="H47" i="6"/>
  <c r="J41" i="6"/>
  <c r="J29" i="6"/>
  <c r="J23" i="6"/>
  <c r="J36" i="6"/>
  <c r="O45" i="6"/>
  <c r="H45" i="6"/>
  <c r="H44" i="6"/>
  <c r="O43" i="6"/>
  <c r="H43" i="6"/>
  <c r="H41" i="6"/>
  <c r="I40" i="6"/>
  <c r="O42" i="6"/>
  <c r="H42" i="6"/>
  <c r="G21" i="6"/>
  <c r="O20" i="6"/>
  <c r="G20" i="6"/>
  <c r="M20" i="6"/>
  <c r="I20" i="6"/>
  <c r="K16" i="6"/>
  <c r="M16" i="6"/>
  <c r="U9" i="6"/>
  <c r="V9" i="6" s="1"/>
  <c r="Q73" i="6"/>
  <c r="W7" i="9" s="1"/>
  <c r="R73" i="6"/>
  <c r="X7" i="9" s="1"/>
  <c r="Z55" i="8"/>
  <c r="AE6" i="9" s="1"/>
  <c r="AE10" i="9" s="1"/>
  <c r="Y6" i="9"/>
  <c r="Y10" i="9" s="1"/>
  <c r="Y55" i="8"/>
  <c r="AA6" i="9" s="1"/>
  <c r="AA10" i="9" s="1"/>
  <c r="AD6" i="9"/>
  <c r="AD10" i="9" s="1"/>
  <c r="AA55" i="8"/>
  <c r="AF6" i="9" s="1"/>
  <c r="AF10" i="9" s="1"/>
  <c r="AH6" i="9"/>
  <c r="AH10" i="9" s="1"/>
  <c r="AB55" i="8"/>
  <c r="AI6" i="9" s="1"/>
  <c r="AI10" i="9" s="1"/>
  <c r="AC55" i="8"/>
  <c r="AJ6" i="9" s="1"/>
  <c r="AJ10" i="9" s="1"/>
  <c r="K6" i="9"/>
  <c r="K10" i="9" s="1"/>
  <c r="U55" i="8"/>
  <c r="X6" i="9" s="1"/>
  <c r="T55" i="8"/>
  <c r="W6" i="9" s="1"/>
  <c r="AB8" i="9"/>
  <c r="AB10" i="9" s="1"/>
  <c r="S55" i="8"/>
  <c r="V6" i="9" s="1"/>
  <c r="AC8" i="9"/>
  <c r="AE55" i="8"/>
  <c r="AK6" i="9" s="1"/>
  <c r="AK10" i="9" s="1"/>
  <c r="P73" i="6"/>
  <c r="V7" i="9" s="1"/>
  <c r="S73" i="6"/>
  <c r="AC7" i="9" s="1"/>
  <c r="V8" i="6"/>
  <c r="V10" i="6"/>
  <c r="V11" i="6"/>
  <c r="V12" i="6"/>
  <c r="V14" i="6"/>
  <c r="V15" i="6"/>
  <c r="V16" i="6"/>
  <c r="V18" i="6"/>
  <c r="V19" i="6"/>
  <c r="V20" i="6"/>
  <c r="V21" i="6"/>
  <c r="V22" i="6"/>
  <c r="V23" i="6"/>
  <c r="V24" i="6"/>
  <c r="V25" i="6"/>
  <c r="V26" i="6"/>
  <c r="V27" i="6"/>
  <c r="V28" i="6"/>
  <c r="V29" i="6"/>
  <c r="V30" i="6"/>
  <c r="V31" i="6"/>
  <c r="V32" i="6"/>
  <c r="V33" i="6"/>
  <c r="V36" i="6"/>
  <c r="V37" i="6"/>
  <c r="V38" i="6"/>
  <c r="V39" i="6"/>
  <c r="V40" i="6"/>
  <c r="V41" i="6"/>
  <c r="V42" i="6"/>
  <c r="V43" i="6"/>
  <c r="V44" i="6"/>
  <c r="V45" i="6"/>
  <c r="V46" i="6"/>
  <c r="V47" i="6"/>
  <c r="V48" i="6"/>
  <c r="V49" i="6"/>
  <c r="V50" i="6"/>
  <c r="V51" i="6"/>
  <c r="V52" i="6"/>
  <c r="V53" i="6"/>
  <c r="V54" i="6"/>
  <c r="V55" i="6"/>
  <c r="V56" i="6"/>
  <c r="V57" i="6"/>
  <c r="V58" i="6"/>
  <c r="V59" i="6"/>
  <c r="V60" i="6"/>
  <c r="V61" i="6"/>
  <c r="V62" i="6"/>
  <c r="V63" i="6"/>
  <c r="V64" i="6"/>
  <c r="V65" i="6"/>
  <c r="V69" i="6"/>
  <c r="U7" i="6"/>
  <c r="V7" i="6" s="1"/>
  <c r="AG33" i="8"/>
  <c r="M18" i="6"/>
  <c r="M60" i="6"/>
  <c r="I55" i="6"/>
  <c r="I54" i="6"/>
  <c r="M52" i="6"/>
  <c r="M47" i="6"/>
  <c r="M46" i="6"/>
  <c r="I46" i="6"/>
  <c r="I43" i="6"/>
  <c r="G42" i="6"/>
  <c r="O40" i="6"/>
  <c r="I60" i="6"/>
  <c r="I45" i="6"/>
  <c r="I44" i="6"/>
  <c r="I42" i="6"/>
  <c r="T6" i="9"/>
  <c r="T10" i="9" s="1"/>
  <c r="S6" i="9"/>
  <c r="S10" i="9" s="1"/>
  <c r="M6" i="9"/>
  <c r="I6" i="9"/>
  <c r="I10" i="9" s="1"/>
  <c r="AG36" i="8"/>
  <c r="AG4" i="8"/>
  <c r="N55" i="8" l="1"/>
  <c r="L6" i="9" s="1"/>
  <c r="M55" i="8"/>
  <c r="H55" i="8"/>
  <c r="E6" i="9" s="1"/>
  <c r="G6" i="9"/>
  <c r="G10" i="9" s="1"/>
  <c r="W10" i="9"/>
  <c r="X10" i="9"/>
  <c r="V10" i="9"/>
  <c r="AC10" i="9"/>
  <c r="J73" i="6"/>
  <c r="J7" i="9" s="1"/>
  <c r="J10" i="9" s="1"/>
  <c r="X55" i="8"/>
  <c r="Z6" i="9" s="1"/>
  <c r="Z10" i="9" s="1"/>
  <c r="O6" i="9"/>
  <c r="O10" i="9" s="1"/>
  <c r="U73" i="6"/>
  <c r="AF55" i="8"/>
  <c r="AL6" i="9" s="1"/>
  <c r="AL10" i="9" s="1"/>
  <c r="H6" i="9"/>
  <c r="P6" i="9"/>
  <c r="P10" i="9" s="1"/>
  <c r="O55" i="8"/>
  <c r="N6" i="9" s="1"/>
  <c r="I55" i="8"/>
  <c r="F6" i="9" s="1"/>
  <c r="P55" i="8"/>
  <c r="Q6" i="9" s="1"/>
  <c r="AG55" i="8"/>
  <c r="AM6" i="9" s="1"/>
  <c r="L73" i="6"/>
  <c r="M7" i="9" s="1"/>
  <c r="M10" i="9" s="1"/>
  <c r="I73" i="6"/>
  <c r="H7" i="9" s="1"/>
  <c r="H10" i="9" l="1"/>
  <c r="M73" i="6"/>
  <c r="N7" i="9" s="1"/>
  <c r="N10" i="9" s="1"/>
  <c r="H73" i="6"/>
  <c r="F7" i="9" s="1"/>
  <c r="F10" i="9" s="1"/>
  <c r="K73" i="6"/>
  <c r="L7" i="9" s="1"/>
  <c r="L10" i="9" s="1"/>
  <c r="G73" i="6"/>
  <c r="E7" i="9" s="1"/>
  <c r="E10" i="9" s="1"/>
  <c r="O73" i="6"/>
  <c r="Q7" i="9" s="1"/>
  <c r="Q10" i="9" s="1"/>
  <c r="V73" i="6"/>
  <c r="AM7" i="9" s="1"/>
  <c r="AM10" i="9" s="1"/>
</calcChain>
</file>

<file path=xl/sharedStrings.xml><?xml version="1.0" encoding="utf-8"?>
<sst xmlns="http://schemas.openxmlformats.org/spreadsheetml/2006/main" count="782" uniqueCount="250">
  <si>
    <t>LOCATION</t>
  </si>
  <si>
    <t>INTERSECTION</t>
  </si>
  <si>
    <t>LOCATION CODE</t>
  </si>
  <si>
    <t>DESCRIPTOR</t>
  </si>
  <si>
    <t>SUBSET SHEET NUMBER</t>
  </si>
  <si>
    <t>WAIVER REQUESTED</t>
  </si>
  <si>
    <t>WALK REMOVED</t>
  </si>
  <si>
    <t>CURB REMOVED</t>
  </si>
  <si>
    <t>PAVEMENT REMOVED</t>
  </si>
  <si>
    <t>CURB RAMP</t>
  </si>
  <si>
    <t>4" CONCRETE WALK</t>
  </si>
  <si>
    <t>8" CONCRETE WALK</t>
  </si>
  <si>
    <t>CURB, TYPE 6</t>
  </si>
  <si>
    <t>SF</t>
  </si>
  <si>
    <t>FT</t>
  </si>
  <si>
    <t>SY</t>
  </si>
  <si>
    <t>AREA (SF)</t>
  </si>
  <si>
    <t>CY</t>
  </si>
  <si>
    <t>EA</t>
  </si>
  <si>
    <t>A1</t>
  </si>
  <si>
    <t>NO</t>
  </si>
  <si>
    <t>CURB, TYPE 6, AS PER PLAN</t>
  </si>
  <si>
    <t>PULL BOX, MISC; PULL BOX ADJUSTED TO GRADE</t>
  </si>
  <si>
    <t>NOTE: ALL CURB RAMP LOCATIONS WITHIN PROJECT LIMITS NOT SHOWN CAN BE ASSUMED TO BE ADA COMPLIANT OR HAVE A PLAN TO BECOME ADA COMPLIANT PRIOR TO/CONGRUENTLY WITH CONSTRUCTION OF THE PROJECT</t>
  </si>
  <si>
    <t>SIGN, FLAT SHEET</t>
  </si>
  <si>
    <t>VALVE BOX ADJUSTED TO GRADE</t>
  </si>
  <si>
    <t>CATCH BASIN RECONSTRUCTED TO GRADE, AS PER PLAN</t>
  </si>
  <si>
    <t>CURB RAMP, AS PER PLAN</t>
  </si>
  <si>
    <t>CATCH BASIN ADJUSTED TO GRADE, AS PER PLAN</t>
  </si>
  <si>
    <t>PULL BOX, MISC; SLIP RESISTANT LID</t>
  </si>
  <si>
    <t>611 items may be paid for under a different plan split depending on if they are in roadway or not</t>
  </si>
  <si>
    <t>A2</t>
  </si>
  <si>
    <t>NE</t>
  </si>
  <si>
    <t>TOPSOIL, AS PER PLAN (CURB RAMPS) (6" AVERAGE DEPTH)</t>
  </si>
  <si>
    <t>SE</t>
  </si>
  <si>
    <t>NW</t>
  </si>
  <si>
    <t>SW</t>
  </si>
  <si>
    <t>B1</t>
  </si>
  <si>
    <t>B2</t>
  </si>
  <si>
    <t>C1</t>
  </si>
  <si>
    <t>C2</t>
  </si>
  <si>
    <t>D1</t>
  </si>
  <si>
    <t>D2</t>
  </si>
  <si>
    <t>E1</t>
  </si>
  <si>
    <t>F1</t>
  </si>
  <si>
    <t>F2</t>
  </si>
  <si>
    <t>G1</t>
  </si>
  <si>
    <t>G2</t>
  </si>
  <si>
    <t>H1</t>
  </si>
  <si>
    <t>H2</t>
  </si>
  <si>
    <t>COMBINATION CURB AND GUTTER, TYPE 2</t>
  </si>
  <si>
    <t>YES</t>
  </si>
  <si>
    <t>MANHOLE ADJUSTED TO GRADE</t>
  </si>
  <si>
    <t>I1</t>
  </si>
  <si>
    <t>I2</t>
  </si>
  <si>
    <t>J1</t>
  </si>
  <si>
    <t>J2</t>
  </si>
  <si>
    <t>E</t>
  </si>
  <si>
    <t>W</t>
  </si>
  <si>
    <t>CHURCH ST</t>
  </si>
  <si>
    <t>K1</t>
  </si>
  <si>
    <t>K2</t>
  </si>
  <si>
    <t>L1</t>
  </si>
  <si>
    <t>L2</t>
  </si>
  <si>
    <t>M1</t>
  </si>
  <si>
    <t>M2</t>
  </si>
  <si>
    <t>N1</t>
  </si>
  <si>
    <t>N2</t>
  </si>
  <si>
    <t>O1</t>
  </si>
  <si>
    <t>O2</t>
  </si>
  <si>
    <t>P1</t>
  </si>
  <si>
    <t>P2</t>
  </si>
  <si>
    <t>B3</t>
  </si>
  <si>
    <t>H3</t>
  </si>
  <si>
    <t>H4</t>
  </si>
  <si>
    <t>BUTLER CURB RAMPS</t>
  </si>
  <si>
    <t>THIRD AVE</t>
  </si>
  <si>
    <t>STEWART AVE</t>
  </si>
  <si>
    <t>WILSON AVE</t>
  </si>
  <si>
    <t>COLLEGE ST</t>
  </si>
  <si>
    <t>INDEPENDENCE ALLEY</t>
  </si>
  <si>
    <t>COUNTRYMAN ALLEY</t>
  </si>
  <si>
    <t>Q1</t>
  </si>
  <si>
    <t>Q2</t>
  </si>
  <si>
    <t>R1</t>
  </si>
  <si>
    <t>R2</t>
  </si>
  <si>
    <t>S1</t>
  </si>
  <si>
    <t>S2</t>
  </si>
  <si>
    <t>T1</t>
  </si>
  <si>
    <t>T2</t>
  </si>
  <si>
    <t>U1</t>
  </si>
  <si>
    <t>U2</t>
  </si>
  <si>
    <t>V1</t>
  </si>
  <si>
    <t>V2</t>
  </si>
  <si>
    <t>V3</t>
  </si>
  <si>
    <t>W1</t>
  </si>
  <si>
    <t>HARRIS ALLEY</t>
  </si>
  <si>
    <t xml:space="preserve">INDEPENDENCE ALLEY </t>
  </si>
  <si>
    <t>BIKE TRAIL (WORTHINGTON)</t>
  </si>
  <si>
    <t>SHORT ALLEY</t>
  </si>
  <si>
    <t>GRUBB AVE</t>
  </si>
  <si>
    <t>GYM ALLEY</t>
  </si>
  <si>
    <t>TRAXLER ST</t>
  </si>
  <si>
    <t>MORGAN ST</t>
  </si>
  <si>
    <t>HESS ALLEY</t>
  </si>
  <si>
    <t>HAZLETT ALLEY</t>
  </si>
  <si>
    <t>HENRY ST</t>
  </si>
  <si>
    <t>THRUSH ALLEY</t>
  </si>
  <si>
    <t>NEWVILLE ST</t>
  </si>
  <si>
    <t>ELM ST</t>
  </si>
  <si>
    <t>BIKE TRAIL (NEWVILLE)</t>
  </si>
  <si>
    <t>CRAIG ST</t>
  </si>
  <si>
    <t>LIBERTY ST</t>
  </si>
  <si>
    <t>SPOHN ALLEY</t>
  </si>
  <si>
    <t>DRUMMOND ST</t>
  </si>
  <si>
    <t>NARROW ST</t>
  </si>
  <si>
    <t>STEVEN DR</t>
  </si>
  <si>
    <t>FIRST ST</t>
  </si>
  <si>
    <t>SECOND ST</t>
  </si>
  <si>
    <t>X1</t>
  </si>
  <si>
    <t>X2</t>
  </si>
  <si>
    <t>Y1</t>
  </si>
  <si>
    <t>Y2</t>
  </si>
  <si>
    <t>Z1</t>
  </si>
  <si>
    <t>Z2</t>
  </si>
  <si>
    <t>AA1</t>
  </si>
  <si>
    <t>AA2</t>
  </si>
  <si>
    <t>BB1</t>
  </si>
  <si>
    <t>BB2</t>
  </si>
  <si>
    <t>CC1</t>
  </si>
  <si>
    <t>CC2</t>
  </si>
  <si>
    <t>CC3</t>
  </si>
  <si>
    <t>CC4</t>
  </si>
  <si>
    <t>DD1</t>
  </si>
  <si>
    <t>DD2</t>
  </si>
  <si>
    <t>EE1</t>
  </si>
  <si>
    <t>EE2</t>
  </si>
  <si>
    <t>FF1</t>
  </si>
  <si>
    <t>FF2</t>
  </si>
  <si>
    <t>GG1</t>
  </si>
  <si>
    <t>GG2</t>
  </si>
  <si>
    <t>HH1</t>
  </si>
  <si>
    <t>HH2</t>
  </si>
  <si>
    <t>II1</t>
  </si>
  <si>
    <t>II2</t>
  </si>
  <si>
    <t>II3</t>
  </si>
  <si>
    <t>II4</t>
  </si>
  <si>
    <t>JJ1</t>
  </si>
  <si>
    <t>JJ2</t>
  </si>
  <si>
    <t>KK1</t>
  </si>
  <si>
    <t>KK2</t>
  </si>
  <si>
    <t>LL1</t>
  </si>
  <si>
    <t>LL2</t>
  </si>
  <si>
    <t>MM1</t>
  </si>
  <si>
    <t>MM2</t>
  </si>
  <si>
    <t>NN1</t>
  </si>
  <si>
    <t>NN2</t>
  </si>
  <si>
    <t>OO1</t>
  </si>
  <si>
    <t>OO2</t>
  </si>
  <si>
    <t>PP1</t>
  </si>
  <si>
    <t>PP2</t>
  </si>
  <si>
    <t>QQ1</t>
  </si>
  <si>
    <t>QQ2</t>
  </si>
  <si>
    <t>RR1</t>
  </si>
  <si>
    <t>RR2</t>
  </si>
  <si>
    <t>SS1</t>
  </si>
  <si>
    <t>SS2</t>
  </si>
  <si>
    <t>TT1</t>
  </si>
  <si>
    <t>TT2</t>
  </si>
  <si>
    <t>S</t>
  </si>
  <si>
    <t>N</t>
  </si>
  <si>
    <t>W2</t>
  </si>
  <si>
    <t>GROUND ROD</t>
  </si>
  <si>
    <t>SIGNAL SUPPORT FOUNDATION</t>
  </si>
  <si>
    <t>REMOVAL OF GROUND MOUNTED POST SUPPORT AND REERECTION</t>
  </si>
  <si>
    <t>REMOVAL OF GROUND MOUNTED SIGN AND REERECTION</t>
  </si>
  <si>
    <t>PLAN SPLIT</t>
  </si>
  <si>
    <t>01/NHS</t>
  </si>
  <si>
    <t>02/STR</t>
  </si>
  <si>
    <t>TOTAL CARRIED TO ROADWAY SUBSUMMARY SHEET (02/STR)</t>
  </si>
  <si>
    <t>AGGREGATE BASE</t>
  </si>
  <si>
    <t>PEDESTAL, 8', TRANSFORMER BASE</t>
  </si>
  <si>
    <t>PEDESTAL FOUNDATION, AS PER PLAN</t>
  </si>
  <si>
    <t>ACCESSIBLE PEDESTRIAN PUSHBUTTON</t>
  </si>
  <si>
    <t>SIGN SUPPORT ASSEMBLY, POLE MOUNTED</t>
  </si>
  <si>
    <t>REUSE OF PEDESTRIAN PUSHBUTTON, AS PER PLAN</t>
  </si>
  <si>
    <t>REUSE OF PEDESTRIAN SIGNAL HEAD, AS PER PLAN</t>
  </si>
  <si>
    <t>CURB AND GUTTER REMOVED</t>
  </si>
  <si>
    <t>REMOVAL MISC.: LANDSCAPE ROCKS</t>
  </si>
  <si>
    <t>PEDESTAL MISC.: REUSE OF PEDESTRIAN PEDESTAL</t>
  </si>
  <si>
    <t>PAVEMENT REPAIR, AS PER PLAN</t>
  </si>
  <si>
    <t>REMOVAL OF GROUND MOUNTED SIGN AND DISPOSAL</t>
  </si>
  <si>
    <t>NO WORK AT THIS LOCATION</t>
  </si>
  <si>
    <t>REUSE OF SIGNAL SUPPORT, AS PER PLAN</t>
  </si>
  <si>
    <t>COCHRAN ST</t>
  </si>
  <si>
    <t>TOTALS TO GENERAL SUMMARY</t>
  </si>
  <si>
    <t>06/SAE</t>
  </si>
  <si>
    <t>S.R. 13 SUBTOTALS</t>
  </si>
  <si>
    <t>S.R. 95 AND S.R. 97 SUBTOTALS</t>
  </si>
  <si>
    <t>SIGNING MISC.: SOLAR-POWERED RECTANGULAR RAPID FLASHING BEACON (RRFB) SIGN ASSEMBLY</t>
  </si>
  <si>
    <t>CURB RAMP QUANTITIES</t>
  </si>
  <si>
    <t>OHIO ST</t>
  </si>
  <si>
    <t>01/STR</t>
  </si>
  <si>
    <t>HOWE ST</t>
  </si>
  <si>
    <t>ARCHER ST</t>
  </si>
  <si>
    <t>MAPLEGROVE AVE</t>
  </si>
  <si>
    <t>LEE DR</t>
  </si>
  <si>
    <t>WHEELING &amp; LAKE ERIE RR</t>
  </si>
  <si>
    <t>DOLLAR GENERAL</t>
  </si>
  <si>
    <t>RAILROAD ST</t>
  </si>
  <si>
    <t>BROADWAY ST</t>
  </si>
  <si>
    <t>I3</t>
  </si>
  <si>
    <t>WOOSTER ST</t>
  </si>
  <si>
    <t>AINSWORTH ST</t>
  </si>
  <si>
    <t>J3</t>
  </si>
  <si>
    <t>ELYRIA ST</t>
  </si>
  <si>
    <t>L3</t>
  </si>
  <si>
    <t>TOTAL CARRIED TO ROADWAY SUBSUMMARY SHEET (01/STR)</t>
  </si>
  <si>
    <t>MILL ST</t>
  </si>
  <si>
    <t>GILBERT ST</t>
  </si>
  <si>
    <t>M3</t>
  </si>
  <si>
    <t>N3</t>
  </si>
  <si>
    <t>PARK ST</t>
  </si>
  <si>
    <t>O3</t>
  </si>
  <si>
    <t>O4</t>
  </si>
  <si>
    <t>LEGION ST</t>
  </si>
  <si>
    <t>REDFIELD ST</t>
  </si>
  <si>
    <t>R3</t>
  </si>
  <si>
    <t>LODI CURB RAMPS</t>
  </si>
  <si>
    <t>J4</t>
  </si>
  <si>
    <t>CLEARING AND GRUBBING, AS PER PLAN</t>
  </si>
  <si>
    <t>LS</t>
  </si>
  <si>
    <t>CATCH BASIN ADJUSTED TO GRADE</t>
  </si>
  <si>
    <t>GROUND MOUNTED SUPPORT, NO. 3 POST, AS PER PLAN</t>
  </si>
  <si>
    <t>REMOVAL MISC.: RETAINING WALL</t>
  </si>
  <si>
    <t>6" CONDUIT, TYPE D</t>
  </si>
  <si>
    <t>REMOVAL MISC.: ABANDONED SUPPORT FOUNDATION</t>
  </si>
  <si>
    <t>REMOVAL OF POLE MOUNTED SIGN AND REERECTION</t>
  </si>
  <si>
    <t>REMOVAL OF MISCELLANEOUS TRAFFIC SIGNAL ITEM (PEDESTAL FOUNDATION)</t>
  </si>
  <si>
    <t>NO WORK AT THIS LOCATION (RMP0028721, RIGHT OF WAY)</t>
  </si>
  <si>
    <t>NO WORK AT THIS LOCATION (RMP0028719, RIGHT OF WAY)</t>
  </si>
  <si>
    <t>NO WORK AT THIS LOCATION (ADA COMPLIANT)</t>
  </si>
  <si>
    <t>NO WORK AT THIS LOCATION (RMP0008956, RIGHT OF WAY)</t>
  </si>
  <si>
    <t>NO WORK AT THIS LOCATION (RMP0008955, RIGHT OF WAY)</t>
  </si>
  <si>
    <t>NO WORK AT THIS LOCATION (RMP0008959, RIGHT OF WAY)</t>
  </si>
  <si>
    <t>NO WORK AT THIS LOCATION (RMP0008958, RIGHT OF WAY)</t>
  </si>
  <si>
    <t>NO WORK AT THIS LOCATION (RMP0008960, RIGHT OF WAY)</t>
  </si>
  <si>
    <t>NO WORK AT THIS LOCATION (RMP0016309, ROAD SLOPE - NO IMPROVEMENT CAN BE MADE TOWARDS COMPLIANCE ON THIS RAMP)</t>
  </si>
  <si>
    <t>NO WORK AT THIS LOCATION (RMP0016317, RIGHT OF WAY)</t>
  </si>
  <si>
    <t>I4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</si>
</sst>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1F1F1F"/>
      <name val="Calibri"/>
      <family val="2"/>
    </font>
    <font>
      <b/>
      <i/>
      <u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 textRotation="90" wrapText="1"/>
    </xf>
    <xf numFmtId="0" fontId="0" fillId="0" borderId="0" xfId="0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0" xfId="0" applyFill="1"/>
    <xf numFmtId="0" fontId="0" fillId="0" borderId="0" xfId="0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2" fontId="3" fillId="0" borderId="24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/>
    <xf numFmtId="0" fontId="3" fillId="0" borderId="2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/>
    <xf numFmtId="0" fontId="3" fillId="0" borderId="12" xfId="0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2" fontId="3" fillId="0" borderId="25" xfId="0" applyNumberFormat="1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1" fontId="3" fillId="0" borderId="9" xfId="0" applyNumberFormat="1" applyFont="1" applyBorder="1"/>
    <xf numFmtId="2" fontId="3" fillId="0" borderId="14" xfId="0" applyNumberFormat="1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2" fontId="3" fillId="0" borderId="9" xfId="0" applyNumberFormat="1" applyFont="1" applyBorder="1" applyAlignment="1">
      <alignment vertical="center"/>
    </xf>
    <xf numFmtId="1" fontId="3" fillId="0" borderId="9" xfId="0" applyNumberFormat="1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3" fontId="2" fillId="0" borderId="34" xfId="0" applyNumberFormat="1" applyFont="1" applyBorder="1" applyAlignment="1">
      <alignment horizontal="center" vertical="center"/>
    </xf>
    <xf numFmtId="3" fontId="2" fillId="0" borderId="35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left" vertical="center"/>
    </xf>
    <xf numFmtId="2" fontId="3" fillId="0" borderId="23" xfId="0" applyNumberFormat="1" applyFont="1" applyBorder="1" applyAlignment="1">
      <alignment horizontal="left" vertical="center"/>
    </xf>
    <xf numFmtId="2" fontId="3" fillId="0" borderId="27" xfId="0" applyNumberFormat="1" applyFont="1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textRotation="90"/>
    </xf>
    <xf numFmtId="0" fontId="3" fillId="0" borderId="16" xfId="0" applyFont="1" applyBorder="1" applyAlignment="1">
      <alignment horizontal="center" vertical="center" textRotation="90"/>
    </xf>
    <xf numFmtId="0" fontId="3" fillId="0" borderId="8" xfId="0" applyFont="1" applyBorder="1" applyAlignment="1">
      <alignment horizontal="center" vertical="center" textRotation="90"/>
    </xf>
    <xf numFmtId="0" fontId="3" fillId="0" borderId="17" xfId="0" applyFont="1" applyBorder="1" applyAlignment="1">
      <alignment horizontal="center" vertical="center" textRotation="90"/>
    </xf>
    <xf numFmtId="0" fontId="3" fillId="0" borderId="9" xfId="0" applyFont="1" applyBorder="1" applyAlignment="1">
      <alignment horizontal="center" vertical="center" textRotation="90"/>
    </xf>
    <xf numFmtId="0" fontId="3" fillId="0" borderId="18" xfId="0" applyFont="1" applyBorder="1" applyAlignment="1">
      <alignment horizontal="center" vertical="center" textRotation="90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 wrapText="1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17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26" xfId="0" applyFont="1" applyBorder="1" applyAlignment="1">
      <alignment horizontal="center" vertical="center" textRotation="90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 textRotation="90"/>
    </xf>
    <xf numFmtId="0" fontId="0" fillId="0" borderId="16" xfId="0" applyBorder="1" applyAlignment="1">
      <alignment horizontal="center" vertical="center" textRotation="90"/>
    </xf>
    <xf numFmtId="0" fontId="0" fillId="0" borderId="8" xfId="0" applyBorder="1" applyAlignment="1">
      <alignment horizontal="center" vertical="center" textRotation="90"/>
    </xf>
    <xf numFmtId="0" fontId="0" fillId="0" borderId="17" xfId="0" applyBorder="1" applyAlignment="1">
      <alignment horizontal="center" vertical="center" textRotation="90"/>
    </xf>
    <xf numFmtId="0" fontId="0" fillId="0" borderId="9" xfId="0" applyBorder="1" applyAlignment="1">
      <alignment horizontal="center" vertical="center" textRotation="90"/>
    </xf>
    <xf numFmtId="0" fontId="0" fillId="0" borderId="18" xfId="0" applyBorder="1" applyAlignment="1">
      <alignment horizontal="center" vertical="center" textRotation="90"/>
    </xf>
    <xf numFmtId="0" fontId="0" fillId="0" borderId="9" xfId="0" applyBorder="1" applyAlignment="1">
      <alignment horizontal="center" vertical="center" textRotation="90" wrapText="1"/>
    </xf>
    <xf numFmtId="0" fontId="0" fillId="0" borderId="18" xfId="0" applyBorder="1" applyAlignment="1">
      <alignment horizontal="center" vertical="center" textRotation="90" wrapText="1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 textRotation="90"/>
    </xf>
    <xf numFmtId="0" fontId="3" fillId="0" borderId="38" xfId="0" applyFont="1" applyBorder="1" applyAlignment="1">
      <alignment horizontal="center" vertical="center" textRotation="90"/>
    </xf>
    <xf numFmtId="0" fontId="3" fillId="0" borderId="25" xfId="0" applyFont="1" applyBorder="1" applyAlignment="1">
      <alignment horizontal="center" vertical="center" textRotation="90"/>
    </xf>
    <xf numFmtId="0" fontId="3" fillId="0" borderId="39" xfId="0" applyFont="1" applyBorder="1" applyAlignment="1">
      <alignment horizontal="center" vertical="center" textRotation="90"/>
    </xf>
    <xf numFmtId="0" fontId="3" fillId="0" borderId="40" xfId="0" applyFont="1" applyBorder="1" applyAlignment="1">
      <alignment horizontal="center" vertical="center" textRotation="90"/>
    </xf>
    <xf numFmtId="0" fontId="3" fillId="0" borderId="41" xfId="0" applyFont="1" applyBorder="1" applyAlignment="1">
      <alignment horizontal="center" vertical="center" textRotation="90"/>
    </xf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D4F5B-6E86-4231-A72F-785245F5D0AA}">
  <dimension ref="A1:AI57"/>
  <sheetViews>
    <sheetView tabSelected="1" zoomScaleNormal="100" workbookViewId="0">
      <pane xSplit="3" ySplit="3" topLeftCell="D36" activePane="bottomRight" state="frozen"/>
      <selection pane="topRight" activeCell="D1" sqref="D1"/>
      <selection pane="bottomLeft" activeCell="A4" sqref="A4"/>
      <selection pane="bottomRight" activeCell="H53" sqref="H53"/>
    </sheetView>
  </sheetViews>
  <sheetFormatPr defaultRowHeight="14.4" x14ac:dyDescent="0.3"/>
  <cols>
    <col min="1" max="1" width="37.88671875" customWidth="1"/>
    <col min="2" max="2" width="4.44140625" bestFit="1" customWidth="1"/>
    <col min="3" max="3" width="4.88671875" bestFit="1" customWidth="1"/>
    <col min="4" max="4" width="8.109375" bestFit="1" customWidth="1"/>
    <col min="5" max="6" width="6.88671875" bestFit="1" customWidth="1"/>
    <col min="7" max="7" width="8.88671875" customWidth="1"/>
    <col min="8" max="10" width="9.109375" customWidth="1"/>
    <col min="11" max="11" width="12" customWidth="1"/>
    <col min="12" max="14" width="9.109375" customWidth="1"/>
    <col min="15" max="15" width="10.5546875" customWidth="1"/>
    <col min="16" max="19" width="9.109375" customWidth="1"/>
    <col min="20" max="20" width="13.5546875" customWidth="1"/>
    <col min="21" max="23" width="12.109375" customWidth="1"/>
    <col min="24" max="25" width="9.109375" customWidth="1"/>
    <col min="26" max="26" width="11.6640625" customWidth="1"/>
    <col min="27" max="27" width="9.109375" customWidth="1"/>
    <col min="28" max="29" width="12.33203125" customWidth="1"/>
    <col min="30" max="30" width="13.88671875" customWidth="1"/>
    <col min="31" max="33" width="9.109375" customWidth="1"/>
  </cols>
  <sheetData>
    <row r="1" spans="1:35" ht="11.25" customHeight="1" x14ac:dyDescent="0.3">
      <c r="A1" s="74" t="s">
        <v>0</v>
      </c>
      <c r="B1" s="75"/>
      <c r="C1" s="59"/>
      <c r="D1" s="10"/>
      <c r="E1" s="10"/>
      <c r="F1" s="10"/>
      <c r="G1" s="10">
        <v>201</v>
      </c>
      <c r="H1" s="72">
        <v>202</v>
      </c>
      <c r="I1" s="73"/>
      <c r="J1" s="73"/>
      <c r="K1" s="73"/>
      <c r="L1" s="75"/>
      <c r="M1" s="45">
        <v>253</v>
      </c>
      <c r="N1" s="72">
        <v>608</v>
      </c>
      <c r="O1" s="73"/>
      <c r="P1" s="10">
        <v>609</v>
      </c>
      <c r="Q1" s="72">
        <v>611</v>
      </c>
      <c r="R1" s="73"/>
      <c r="S1" s="10">
        <v>625</v>
      </c>
      <c r="T1" s="73">
        <v>630</v>
      </c>
      <c r="U1" s="73"/>
      <c r="V1" s="73"/>
      <c r="W1" s="73"/>
      <c r="X1" s="73"/>
      <c r="Y1" s="73"/>
      <c r="Z1" s="72">
        <v>632</v>
      </c>
      <c r="AA1" s="73"/>
      <c r="AB1" s="73"/>
      <c r="AC1" s="73"/>
      <c r="AD1" s="75"/>
      <c r="AE1" s="10">
        <v>638</v>
      </c>
      <c r="AF1" s="59">
        <v>659</v>
      </c>
      <c r="AG1" s="60"/>
    </row>
    <row r="2" spans="1:35" ht="97.5" customHeight="1" x14ac:dyDescent="0.3">
      <c r="A2" s="61" t="s">
        <v>1</v>
      </c>
      <c r="B2" s="63" t="s">
        <v>2</v>
      </c>
      <c r="C2" s="65" t="s">
        <v>3</v>
      </c>
      <c r="D2" s="67" t="s">
        <v>176</v>
      </c>
      <c r="E2" s="67" t="s">
        <v>4</v>
      </c>
      <c r="F2" s="69" t="s">
        <v>5</v>
      </c>
      <c r="G2" s="11" t="s">
        <v>230</v>
      </c>
      <c r="H2" s="11" t="s">
        <v>6</v>
      </c>
      <c r="I2" s="11" t="s">
        <v>7</v>
      </c>
      <c r="J2" s="11" t="s">
        <v>8</v>
      </c>
      <c r="K2" s="11" t="s">
        <v>236</v>
      </c>
      <c r="L2" s="11" t="s">
        <v>234</v>
      </c>
      <c r="M2" s="11" t="s">
        <v>190</v>
      </c>
      <c r="N2" s="11" t="s">
        <v>9</v>
      </c>
      <c r="O2" s="11" t="s">
        <v>10</v>
      </c>
      <c r="P2" s="11" t="s">
        <v>12</v>
      </c>
      <c r="Q2" s="12" t="s">
        <v>235</v>
      </c>
      <c r="R2" s="12" t="s">
        <v>232</v>
      </c>
      <c r="S2" s="11" t="s">
        <v>172</v>
      </c>
      <c r="T2" s="11" t="s">
        <v>174</v>
      </c>
      <c r="U2" s="11" t="s">
        <v>175</v>
      </c>
      <c r="V2" s="11" t="s">
        <v>237</v>
      </c>
      <c r="W2" s="11" t="s">
        <v>233</v>
      </c>
      <c r="X2" s="11" t="s">
        <v>24</v>
      </c>
      <c r="Y2" s="11" t="s">
        <v>184</v>
      </c>
      <c r="Z2" s="11" t="s">
        <v>189</v>
      </c>
      <c r="AA2" s="11" t="s">
        <v>182</v>
      </c>
      <c r="AB2" s="11" t="s">
        <v>186</v>
      </c>
      <c r="AC2" s="11" t="s">
        <v>185</v>
      </c>
      <c r="AD2" s="11" t="s">
        <v>238</v>
      </c>
      <c r="AE2" s="11" t="s">
        <v>25</v>
      </c>
      <c r="AF2" s="67" t="s">
        <v>33</v>
      </c>
      <c r="AG2" s="71"/>
    </row>
    <row r="3" spans="1:35" ht="11.25" customHeight="1" thickBot="1" x14ac:dyDescent="0.35">
      <c r="A3" s="62"/>
      <c r="B3" s="64"/>
      <c r="C3" s="66"/>
      <c r="D3" s="68"/>
      <c r="E3" s="68"/>
      <c r="F3" s="70"/>
      <c r="G3" s="13" t="s">
        <v>231</v>
      </c>
      <c r="H3" s="13" t="s">
        <v>13</v>
      </c>
      <c r="I3" s="13" t="s">
        <v>14</v>
      </c>
      <c r="J3" s="13" t="s">
        <v>15</v>
      </c>
      <c r="K3" s="13" t="s">
        <v>18</v>
      </c>
      <c r="L3" s="13" t="s">
        <v>231</v>
      </c>
      <c r="M3" s="13" t="s">
        <v>17</v>
      </c>
      <c r="N3" s="13" t="s">
        <v>13</v>
      </c>
      <c r="O3" s="13" t="s">
        <v>13</v>
      </c>
      <c r="P3" s="13" t="s">
        <v>14</v>
      </c>
      <c r="Q3" s="13" t="s">
        <v>14</v>
      </c>
      <c r="R3" s="13" t="s">
        <v>18</v>
      </c>
      <c r="S3" s="13" t="s">
        <v>18</v>
      </c>
      <c r="T3" s="13" t="s">
        <v>18</v>
      </c>
      <c r="U3" s="13" t="s">
        <v>18</v>
      </c>
      <c r="V3" s="13" t="s">
        <v>18</v>
      </c>
      <c r="W3" s="13" t="s">
        <v>14</v>
      </c>
      <c r="X3" s="13" t="s">
        <v>13</v>
      </c>
      <c r="Y3" s="13" t="s">
        <v>18</v>
      </c>
      <c r="Z3" s="13" t="s">
        <v>18</v>
      </c>
      <c r="AA3" s="13" t="s">
        <v>18</v>
      </c>
      <c r="AB3" s="13" t="s">
        <v>18</v>
      </c>
      <c r="AC3" s="13" t="s">
        <v>18</v>
      </c>
      <c r="AD3" s="13" t="s">
        <v>18</v>
      </c>
      <c r="AE3" s="13" t="s">
        <v>18</v>
      </c>
      <c r="AF3" s="14" t="s">
        <v>16</v>
      </c>
      <c r="AG3" s="15" t="s">
        <v>17</v>
      </c>
    </row>
    <row r="4" spans="1:35" ht="11.25" customHeight="1" thickTop="1" x14ac:dyDescent="0.3">
      <c r="A4" s="7" t="s">
        <v>228</v>
      </c>
      <c r="B4" s="16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31"/>
      <c r="T4" s="31"/>
      <c r="U4" s="31"/>
      <c r="V4" s="31"/>
      <c r="W4" s="31"/>
      <c r="X4" s="17"/>
      <c r="Y4" s="31"/>
      <c r="Z4" s="31"/>
      <c r="AA4" s="31"/>
      <c r="AB4" s="31"/>
      <c r="AC4" s="31"/>
      <c r="AD4" s="31"/>
      <c r="AE4" s="31"/>
      <c r="AF4" s="16"/>
      <c r="AG4" s="18" t="str">
        <f>IF(AF4="","", MAX(0.25, MROUND(AF4*0.5/27, 0.25)))</f>
        <v/>
      </c>
    </row>
    <row r="5" spans="1:35" ht="11.25" customHeight="1" x14ac:dyDescent="0.3">
      <c r="A5" s="7"/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6"/>
      <c r="O5" s="17"/>
      <c r="P5" s="17"/>
      <c r="Q5" s="17"/>
      <c r="R5" s="31"/>
      <c r="S5" s="31"/>
      <c r="T5" s="31"/>
      <c r="U5" s="31"/>
      <c r="V5" s="31"/>
      <c r="W5" s="31"/>
      <c r="X5" s="17"/>
      <c r="Y5" s="31"/>
      <c r="Z5" s="31"/>
      <c r="AA5" s="31"/>
      <c r="AB5" s="31"/>
      <c r="AC5" s="31"/>
      <c r="AD5" s="31"/>
      <c r="AE5" s="31"/>
      <c r="AF5" s="16"/>
      <c r="AG5" s="18"/>
    </row>
    <row r="6" spans="1:35" ht="11.25" customHeight="1" x14ac:dyDescent="0.3">
      <c r="A6" s="19" t="s">
        <v>201</v>
      </c>
      <c r="B6" s="20" t="s">
        <v>19</v>
      </c>
      <c r="C6" s="20" t="s">
        <v>35</v>
      </c>
      <c r="D6" s="20" t="s">
        <v>202</v>
      </c>
      <c r="E6" s="20">
        <v>5</v>
      </c>
      <c r="F6" s="20" t="s">
        <v>20</v>
      </c>
      <c r="G6" s="20"/>
      <c r="H6" s="21">
        <v>39.301600000000001</v>
      </c>
      <c r="I6" s="21">
        <f>1+1+4.08+1+1</f>
        <v>8.08</v>
      </c>
      <c r="J6" s="21">
        <f>1.4431/9</f>
        <v>0.16034444444444446</v>
      </c>
      <c r="K6" s="21"/>
      <c r="L6" s="21"/>
      <c r="M6" s="21"/>
      <c r="N6" s="22">
        <f>34.37</f>
        <v>34.369999999999997</v>
      </c>
      <c r="O6" s="21">
        <v>8.19</v>
      </c>
      <c r="P6" s="21">
        <v>2</v>
      </c>
      <c r="Q6" s="20"/>
      <c r="R6" s="23"/>
      <c r="S6" s="23"/>
      <c r="T6" s="23"/>
      <c r="U6" s="23"/>
      <c r="V6" s="23"/>
      <c r="W6" s="23"/>
      <c r="X6" s="21"/>
      <c r="Y6" s="23"/>
      <c r="Z6" s="23"/>
      <c r="AA6" s="23"/>
      <c r="AB6" s="23"/>
      <c r="AC6" s="23"/>
      <c r="AD6" s="23"/>
      <c r="AE6" s="23"/>
      <c r="AF6" s="24">
        <f>1.53+0.96</f>
        <v>2.4900000000000002</v>
      </c>
      <c r="AG6" s="25">
        <f>IF(AF6="","", MAX(0.25, MROUND(AF6*0.5/27, 0.25)))</f>
        <v>0.25</v>
      </c>
    </row>
    <row r="7" spans="1:35" ht="11.25" customHeight="1" x14ac:dyDescent="0.3">
      <c r="A7" s="19" t="s">
        <v>201</v>
      </c>
      <c r="B7" s="20" t="s">
        <v>31</v>
      </c>
      <c r="C7" s="20" t="s">
        <v>32</v>
      </c>
      <c r="D7" s="20" t="s">
        <v>202</v>
      </c>
      <c r="E7" s="20">
        <v>5</v>
      </c>
      <c r="F7" s="20" t="s">
        <v>20</v>
      </c>
      <c r="G7" s="20"/>
      <c r="H7" s="21">
        <v>55.66</v>
      </c>
      <c r="I7" s="21">
        <f>1+1+4.75+1+1</f>
        <v>8.75</v>
      </c>
      <c r="J7" s="21"/>
      <c r="K7" s="21"/>
      <c r="L7" s="21"/>
      <c r="M7" s="21"/>
      <c r="N7" s="21">
        <v>39.4</v>
      </c>
      <c r="O7" s="21">
        <v>14.22</v>
      </c>
      <c r="P7" s="21">
        <v>2</v>
      </c>
      <c r="Q7" s="21"/>
      <c r="R7" s="23"/>
      <c r="S7" s="23"/>
      <c r="T7" s="23"/>
      <c r="U7" s="23"/>
      <c r="V7" s="23"/>
      <c r="W7" s="23"/>
      <c r="X7" s="21"/>
      <c r="Y7" s="23"/>
      <c r="Z7" s="23"/>
      <c r="AA7" s="23"/>
      <c r="AB7" s="23"/>
      <c r="AC7" s="23"/>
      <c r="AD7" s="23"/>
      <c r="AE7" s="23"/>
      <c r="AF7" s="24">
        <f>2.7+0.89</f>
        <v>3.5900000000000003</v>
      </c>
      <c r="AG7" s="25">
        <f t="shared" ref="AG7:AG26" si="0">IF(AF7="","", MAX(0.25, MROUND(AF7*0.5/27, 0.25)))</f>
        <v>0.25</v>
      </c>
      <c r="AI7" s="9"/>
    </row>
    <row r="8" spans="1:35" ht="11.25" customHeight="1" x14ac:dyDescent="0.3">
      <c r="A8" s="19" t="s">
        <v>203</v>
      </c>
      <c r="B8" s="20" t="s">
        <v>37</v>
      </c>
      <c r="C8" s="20" t="s">
        <v>35</v>
      </c>
      <c r="D8" s="20" t="s">
        <v>202</v>
      </c>
      <c r="E8" s="20">
        <v>6</v>
      </c>
      <c r="F8" s="20" t="s">
        <v>20</v>
      </c>
      <c r="G8" s="20"/>
      <c r="H8" s="21">
        <v>79.09</v>
      </c>
      <c r="I8" s="21">
        <f>1+1+4.25+1+8.333+1+4.083+1+2</f>
        <v>23.665999999999997</v>
      </c>
      <c r="J8" s="26"/>
      <c r="K8" s="26"/>
      <c r="L8" s="21"/>
      <c r="M8" s="21"/>
      <c r="N8" s="21">
        <v>86.94</v>
      </c>
      <c r="O8" s="21"/>
      <c r="P8" s="21">
        <f>2+8.333+1</f>
        <v>11.333</v>
      </c>
      <c r="Q8" s="21"/>
      <c r="R8" s="23"/>
      <c r="S8" s="23"/>
      <c r="T8" s="23">
        <v>1</v>
      </c>
      <c r="U8" s="23">
        <v>1</v>
      </c>
      <c r="V8" s="23"/>
      <c r="W8" s="23"/>
      <c r="X8" s="21"/>
      <c r="Y8" s="23"/>
      <c r="Z8" s="23"/>
      <c r="AA8" s="23"/>
      <c r="AB8" s="23"/>
      <c r="AC8" s="23"/>
      <c r="AD8" s="23"/>
      <c r="AE8" s="23"/>
      <c r="AF8" s="24">
        <v>20.07</v>
      </c>
      <c r="AG8" s="25">
        <f t="shared" si="0"/>
        <v>0.25</v>
      </c>
      <c r="AI8" s="9"/>
    </row>
    <row r="9" spans="1:35" ht="11.25" customHeight="1" x14ac:dyDescent="0.3">
      <c r="A9" s="19" t="s">
        <v>203</v>
      </c>
      <c r="B9" s="20" t="s">
        <v>38</v>
      </c>
      <c r="C9" s="20" t="s">
        <v>32</v>
      </c>
      <c r="D9" s="20" t="s">
        <v>202</v>
      </c>
      <c r="E9" s="20">
        <v>6</v>
      </c>
      <c r="F9" s="20" t="s">
        <v>20</v>
      </c>
      <c r="G9" s="20"/>
      <c r="H9" s="21">
        <v>53.05</v>
      </c>
      <c r="I9" s="21">
        <f>1.417+1+4+1+18.583</f>
        <v>26</v>
      </c>
      <c r="J9" s="21"/>
      <c r="K9" s="21"/>
      <c r="L9" s="21"/>
      <c r="M9" s="21"/>
      <c r="N9" s="21">
        <v>34.06</v>
      </c>
      <c r="O9" s="21">
        <v>21.47</v>
      </c>
      <c r="P9" s="21">
        <f>1.417+18.583+1</f>
        <v>21</v>
      </c>
      <c r="Q9" s="21"/>
      <c r="R9" s="23"/>
      <c r="S9" s="23"/>
      <c r="T9" s="23"/>
      <c r="U9" s="23"/>
      <c r="V9" s="23"/>
      <c r="W9" s="23"/>
      <c r="X9" s="21"/>
      <c r="Y9" s="23"/>
      <c r="Z9" s="23"/>
      <c r="AA9" s="23"/>
      <c r="AB9" s="23"/>
      <c r="AC9" s="23"/>
      <c r="AD9" s="23"/>
      <c r="AE9" s="23"/>
      <c r="AF9" s="24">
        <v>3.1619999999999999</v>
      </c>
      <c r="AG9" s="25">
        <f t="shared" si="0"/>
        <v>0.25</v>
      </c>
      <c r="AI9" s="9"/>
    </row>
    <row r="10" spans="1:35" ht="11.25" customHeight="1" x14ac:dyDescent="0.3">
      <c r="A10" s="19" t="s">
        <v>203</v>
      </c>
      <c r="B10" s="20" t="s">
        <v>72</v>
      </c>
      <c r="C10" s="20" t="s">
        <v>36</v>
      </c>
      <c r="D10" s="20" t="s">
        <v>202</v>
      </c>
      <c r="E10" s="20">
        <v>6</v>
      </c>
      <c r="F10" s="20" t="s">
        <v>20</v>
      </c>
      <c r="G10" s="20"/>
      <c r="H10" s="21">
        <v>73.66</v>
      </c>
      <c r="I10" s="21"/>
      <c r="J10" s="21"/>
      <c r="K10" s="21"/>
      <c r="L10" s="21"/>
      <c r="M10" s="21"/>
      <c r="N10" s="21">
        <v>50.26</v>
      </c>
      <c r="O10" s="21"/>
      <c r="P10" s="21"/>
      <c r="Q10" s="21"/>
      <c r="R10" s="23"/>
      <c r="S10" s="23"/>
      <c r="T10" s="23"/>
      <c r="U10" s="23"/>
      <c r="V10" s="23"/>
      <c r="W10" s="23"/>
      <c r="X10" s="21"/>
      <c r="Y10" s="23"/>
      <c r="Z10" s="23"/>
      <c r="AA10" s="23"/>
      <c r="AB10" s="23"/>
      <c r="AC10" s="23"/>
      <c r="AD10" s="23"/>
      <c r="AE10" s="23"/>
      <c r="AF10" s="24">
        <f>11.65+11.75</f>
        <v>23.4</v>
      </c>
      <c r="AG10" s="25">
        <f t="shared" si="0"/>
        <v>0.5</v>
      </c>
      <c r="AI10" s="9"/>
    </row>
    <row r="11" spans="1:35" ht="11.25" customHeight="1" x14ac:dyDescent="0.3">
      <c r="A11" s="19" t="s">
        <v>204</v>
      </c>
      <c r="B11" s="20" t="s">
        <v>39</v>
      </c>
      <c r="C11" s="20" t="s">
        <v>36</v>
      </c>
      <c r="D11" s="20" t="s">
        <v>202</v>
      </c>
      <c r="E11" s="20">
        <v>7</v>
      </c>
      <c r="F11" s="20" t="s">
        <v>20</v>
      </c>
      <c r="G11" s="20"/>
      <c r="H11" s="21">
        <v>95.93</v>
      </c>
      <c r="I11" s="21">
        <f>4.083+1+4+1</f>
        <v>10.083</v>
      </c>
      <c r="J11" s="21"/>
      <c r="K11" s="21"/>
      <c r="L11" s="21"/>
      <c r="M11" s="21"/>
      <c r="N11" s="21">
        <v>59.02</v>
      </c>
      <c r="O11" s="21">
        <v>37.22</v>
      </c>
      <c r="P11" s="21">
        <f>11.167+4.083</f>
        <v>15.25</v>
      </c>
      <c r="Q11" s="21"/>
      <c r="R11" s="23"/>
      <c r="S11" s="23"/>
      <c r="T11" s="23"/>
      <c r="U11" s="23"/>
      <c r="V11" s="23"/>
      <c r="W11" s="23"/>
      <c r="X11" s="21"/>
      <c r="Y11" s="23"/>
      <c r="Z11" s="23"/>
      <c r="AA11" s="23"/>
      <c r="AB11" s="23"/>
      <c r="AC11" s="23"/>
      <c r="AD11" s="23"/>
      <c r="AE11" s="23"/>
      <c r="AF11" s="24"/>
      <c r="AG11" s="25"/>
      <c r="AI11" s="9"/>
    </row>
    <row r="12" spans="1:35" ht="11.25" customHeight="1" x14ac:dyDescent="0.3">
      <c r="A12" s="19" t="s">
        <v>204</v>
      </c>
      <c r="B12" s="20" t="s">
        <v>40</v>
      </c>
      <c r="C12" s="20" t="s">
        <v>34</v>
      </c>
      <c r="D12" s="20" t="s">
        <v>202</v>
      </c>
      <c r="E12" s="20">
        <v>7</v>
      </c>
      <c r="F12" s="20" t="s">
        <v>20</v>
      </c>
      <c r="G12" s="20" t="s">
        <v>231</v>
      </c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3">
        <v>1</v>
      </c>
      <c r="S12" s="23"/>
      <c r="T12" s="23"/>
      <c r="U12" s="23"/>
      <c r="V12" s="23"/>
      <c r="W12" s="23"/>
      <c r="X12" s="21"/>
      <c r="Y12" s="23"/>
      <c r="Z12" s="23"/>
      <c r="AA12" s="23"/>
      <c r="AB12" s="23"/>
      <c r="AC12" s="23"/>
      <c r="AD12" s="23"/>
      <c r="AE12" s="23"/>
      <c r="AF12" s="24">
        <v>76.83</v>
      </c>
      <c r="AG12" s="25">
        <f t="shared" si="0"/>
        <v>1.5</v>
      </c>
      <c r="AI12" s="9"/>
    </row>
    <row r="13" spans="1:35" ht="11.25" customHeight="1" x14ac:dyDescent="0.3">
      <c r="A13" s="19" t="s">
        <v>205</v>
      </c>
      <c r="B13" s="20" t="s">
        <v>41</v>
      </c>
      <c r="C13" s="20" t="s">
        <v>36</v>
      </c>
      <c r="D13" s="20" t="s">
        <v>202</v>
      </c>
      <c r="E13" s="20">
        <v>8</v>
      </c>
      <c r="F13" s="20" t="s">
        <v>20</v>
      </c>
      <c r="G13" s="20"/>
      <c r="H13" s="21">
        <v>42.65</v>
      </c>
      <c r="I13" s="21">
        <f>5+1+4.167</f>
        <v>10.167</v>
      </c>
      <c r="J13" s="21"/>
      <c r="K13" s="21"/>
      <c r="L13" s="21"/>
      <c r="M13" s="21"/>
      <c r="N13" s="21">
        <v>36.200000000000003</v>
      </c>
      <c r="O13" s="21">
        <v>7.83</v>
      </c>
      <c r="P13" s="21">
        <v>5</v>
      </c>
      <c r="Q13" s="21"/>
      <c r="R13" s="23"/>
      <c r="S13" s="23"/>
      <c r="T13" s="23"/>
      <c r="U13" s="23"/>
      <c r="V13" s="23"/>
      <c r="W13" s="23"/>
      <c r="X13" s="21"/>
      <c r="Y13" s="23"/>
      <c r="Z13" s="23"/>
      <c r="AA13" s="23"/>
      <c r="AB13" s="23"/>
      <c r="AC13" s="23"/>
      <c r="AD13" s="23"/>
      <c r="AE13" s="23"/>
      <c r="AF13" s="24">
        <v>0.93</v>
      </c>
      <c r="AG13" s="25">
        <f t="shared" si="0"/>
        <v>0.25</v>
      </c>
      <c r="AI13" s="9"/>
    </row>
    <row r="14" spans="1:35" ht="11.25" customHeight="1" x14ac:dyDescent="0.3">
      <c r="A14" s="19" t="s">
        <v>205</v>
      </c>
      <c r="B14" s="20" t="s">
        <v>42</v>
      </c>
      <c r="C14" s="20" t="s">
        <v>34</v>
      </c>
      <c r="D14" s="20" t="s">
        <v>202</v>
      </c>
      <c r="E14" s="20">
        <v>8</v>
      </c>
      <c r="F14" s="20" t="s">
        <v>20</v>
      </c>
      <c r="G14" s="20"/>
      <c r="H14" s="21">
        <v>39.049999999999997</v>
      </c>
      <c r="I14" s="21">
        <f>1+1+4.083+1+0.5</f>
        <v>7.5830000000000002</v>
      </c>
      <c r="J14" s="21"/>
      <c r="K14" s="21"/>
      <c r="L14" s="21"/>
      <c r="M14" s="21"/>
      <c r="N14" s="21">
        <v>68.56</v>
      </c>
      <c r="O14" s="21">
        <f>12.95+10.34</f>
        <v>23.29</v>
      </c>
      <c r="P14" s="21">
        <f>1+3.417</f>
        <v>4.4169999999999998</v>
      </c>
      <c r="Q14" s="21"/>
      <c r="R14" s="23"/>
      <c r="S14" s="23"/>
      <c r="T14" s="23"/>
      <c r="U14" s="23"/>
      <c r="V14" s="23"/>
      <c r="W14" s="23"/>
      <c r="X14" s="21"/>
      <c r="Y14" s="23"/>
      <c r="Z14" s="23"/>
      <c r="AA14" s="23"/>
      <c r="AB14" s="23"/>
      <c r="AC14" s="23"/>
      <c r="AD14" s="23"/>
      <c r="AE14" s="23"/>
      <c r="AF14" s="24"/>
      <c r="AG14" s="25" t="str">
        <f t="shared" si="0"/>
        <v/>
      </c>
      <c r="AI14" s="9"/>
    </row>
    <row r="15" spans="1:35" ht="11.25" customHeight="1" x14ac:dyDescent="0.3">
      <c r="A15" s="19" t="s">
        <v>206</v>
      </c>
      <c r="B15" s="20" t="s">
        <v>43</v>
      </c>
      <c r="C15" s="20" t="s">
        <v>35</v>
      </c>
      <c r="D15" s="20" t="s">
        <v>202</v>
      </c>
      <c r="E15" s="20">
        <v>8</v>
      </c>
      <c r="F15" s="20" t="s">
        <v>20</v>
      </c>
      <c r="G15" s="20"/>
      <c r="H15" s="21">
        <v>60.66</v>
      </c>
      <c r="I15" s="21">
        <f>1+1.5+11</f>
        <v>13.5</v>
      </c>
      <c r="J15" s="21"/>
      <c r="K15" s="21"/>
      <c r="L15" s="21"/>
      <c r="M15" s="21"/>
      <c r="N15" s="21">
        <v>46.67</v>
      </c>
      <c r="O15" s="21">
        <v>20.100000000000001</v>
      </c>
      <c r="P15" s="21">
        <f>11+1+3.333</f>
        <v>15.333</v>
      </c>
      <c r="Q15" s="21"/>
      <c r="R15" s="23"/>
      <c r="S15" s="23"/>
      <c r="T15" s="23"/>
      <c r="U15" s="23"/>
      <c r="V15" s="23"/>
      <c r="W15" s="23">
        <v>8</v>
      </c>
      <c r="X15" s="21">
        <f>1.5*1+3*1.5</f>
        <v>6</v>
      </c>
      <c r="Y15" s="23"/>
      <c r="Z15" s="23"/>
      <c r="AA15" s="23"/>
      <c r="AB15" s="23"/>
      <c r="AC15" s="23"/>
      <c r="AD15" s="23"/>
      <c r="AE15" s="23"/>
      <c r="AF15" s="24">
        <v>39.33</v>
      </c>
      <c r="AG15" s="25">
        <f t="shared" si="0"/>
        <v>0.75</v>
      </c>
      <c r="AI15" s="9"/>
    </row>
    <row r="16" spans="1:35" ht="11.25" customHeight="1" x14ac:dyDescent="0.3">
      <c r="A16" s="19" t="s">
        <v>207</v>
      </c>
      <c r="B16" s="20" t="s">
        <v>44</v>
      </c>
      <c r="C16" s="20" t="s">
        <v>36</v>
      </c>
      <c r="D16" s="20" t="s">
        <v>202</v>
      </c>
      <c r="E16" s="20">
        <v>9</v>
      </c>
      <c r="F16" s="20" t="s">
        <v>51</v>
      </c>
      <c r="G16" s="20"/>
      <c r="H16" s="52" t="s">
        <v>239</v>
      </c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4"/>
      <c r="AI16" s="9"/>
    </row>
    <row r="17" spans="1:35" ht="11.25" customHeight="1" x14ac:dyDescent="0.3">
      <c r="A17" s="19" t="s">
        <v>207</v>
      </c>
      <c r="B17" s="20" t="s">
        <v>45</v>
      </c>
      <c r="C17" s="20" t="s">
        <v>34</v>
      </c>
      <c r="D17" s="20" t="s">
        <v>202</v>
      </c>
      <c r="E17" s="20">
        <v>10</v>
      </c>
      <c r="F17" s="20" t="s">
        <v>51</v>
      </c>
      <c r="G17" s="20"/>
      <c r="H17" s="52" t="s">
        <v>240</v>
      </c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4"/>
      <c r="AI17" s="9"/>
    </row>
    <row r="18" spans="1:35" ht="11.25" customHeight="1" x14ac:dyDescent="0.3">
      <c r="A18" s="19" t="s">
        <v>208</v>
      </c>
      <c r="B18" s="20" t="s">
        <v>46</v>
      </c>
      <c r="C18" s="20" t="s">
        <v>32</v>
      </c>
      <c r="D18" s="20" t="s">
        <v>202</v>
      </c>
      <c r="E18" s="20">
        <v>10</v>
      </c>
      <c r="F18" s="20" t="s">
        <v>20</v>
      </c>
      <c r="G18" s="20"/>
      <c r="H18" s="21">
        <f>67.02+26.13</f>
        <v>93.149999999999991</v>
      </c>
      <c r="I18" s="21"/>
      <c r="J18" s="21"/>
      <c r="K18" s="21"/>
      <c r="L18" s="21"/>
      <c r="M18" s="21"/>
      <c r="N18" s="21">
        <v>58.44</v>
      </c>
      <c r="O18" s="21">
        <f>29.84+22.44+20.32</f>
        <v>72.599999999999994</v>
      </c>
      <c r="P18" s="21"/>
      <c r="Q18" s="21"/>
      <c r="R18" s="23"/>
      <c r="S18" s="23"/>
      <c r="T18" s="23"/>
      <c r="U18" s="23"/>
      <c r="V18" s="23"/>
      <c r="W18" s="23">
        <v>8</v>
      </c>
      <c r="X18" s="21">
        <f>1.5*1+3*1.5</f>
        <v>6</v>
      </c>
      <c r="Y18" s="23"/>
      <c r="Z18" s="23"/>
      <c r="AA18" s="23"/>
      <c r="AB18" s="23"/>
      <c r="AC18" s="23"/>
      <c r="AD18" s="23"/>
      <c r="AE18" s="23"/>
      <c r="AF18" s="24"/>
      <c r="AG18" s="25" t="str">
        <f t="shared" si="0"/>
        <v/>
      </c>
      <c r="AI18" s="9"/>
    </row>
    <row r="19" spans="1:35" ht="11.25" customHeight="1" x14ac:dyDescent="0.3">
      <c r="A19" s="19" t="s">
        <v>208</v>
      </c>
      <c r="B19" s="20" t="s">
        <v>47</v>
      </c>
      <c r="C19" s="20" t="s">
        <v>34</v>
      </c>
      <c r="D19" s="20" t="s">
        <v>202</v>
      </c>
      <c r="E19" s="20">
        <v>10</v>
      </c>
      <c r="F19" s="20" t="s">
        <v>51</v>
      </c>
      <c r="G19" s="20"/>
      <c r="H19" s="21"/>
      <c r="I19" s="21"/>
      <c r="J19" s="21"/>
      <c r="K19" s="23">
        <v>1</v>
      </c>
      <c r="L19" s="23" t="s">
        <v>231</v>
      </c>
      <c r="M19" s="23"/>
      <c r="N19" s="21">
        <v>44.4</v>
      </c>
      <c r="O19" s="21"/>
      <c r="P19" s="21"/>
      <c r="Q19" s="23">
        <v>8</v>
      </c>
      <c r="R19" s="23"/>
      <c r="S19" s="23"/>
      <c r="T19" s="23"/>
      <c r="U19" s="23"/>
      <c r="V19" s="23"/>
      <c r="W19" s="23"/>
      <c r="X19" s="21"/>
      <c r="Y19" s="23"/>
      <c r="Z19" s="23"/>
      <c r="AA19" s="23"/>
      <c r="AB19" s="23"/>
      <c r="AC19" s="23"/>
      <c r="AD19" s="23"/>
      <c r="AE19" s="23"/>
      <c r="AF19" s="24">
        <f>22.11+13.67</f>
        <v>35.78</v>
      </c>
      <c r="AG19" s="25">
        <f t="shared" si="0"/>
        <v>0.75</v>
      </c>
      <c r="AI19" s="9"/>
    </row>
    <row r="20" spans="1:35" ht="11.25" customHeight="1" x14ac:dyDescent="0.3">
      <c r="A20" s="19" t="s">
        <v>209</v>
      </c>
      <c r="B20" s="20" t="s">
        <v>48</v>
      </c>
      <c r="C20" s="20" t="s">
        <v>35</v>
      </c>
      <c r="D20" s="20" t="s">
        <v>202</v>
      </c>
      <c r="E20" s="20">
        <v>11</v>
      </c>
      <c r="F20" s="20" t="s">
        <v>20</v>
      </c>
      <c r="G20" s="20"/>
      <c r="H20" s="21">
        <v>41.01</v>
      </c>
      <c r="I20" s="21"/>
      <c r="J20" s="21"/>
      <c r="K20" s="21"/>
      <c r="L20" s="21"/>
      <c r="M20" s="21">
        <f>(1.7512+3.6952)/9*8/36</f>
        <v>0.13447901234567902</v>
      </c>
      <c r="N20" s="21">
        <v>28.46</v>
      </c>
      <c r="O20" s="21">
        <v>8.5</v>
      </c>
      <c r="P20" s="21"/>
      <c r="Q20" s="21"/>
      <c r="R20" s="23"/>
      <c r="S20" s="23"/>
      <c r="T20" s="23"/>
      <c r="U20" s="23"/>
      <c r="V20" s="23"/>
      <c r="W20" s="23"/>
      <c r="X20" s="21"/>
      <c r="Y20" s="23"/>
      <c r="Z20" s="23"/>
      <c r="AA20" s="23"/>
      <c r="AB20" s="23"/>
      <c r="AC20" s="23"/>
      <c r="AD20" s="23"/>
      <c r="AE20" s="23"/>
      <c r="AF20" s="24"/>
      <c r="AG20" s="25" t="str">
        <f t="shared" si="0"/>
        <v/>
      </c>
      <c r="AI20" s="9"/>
    </row>
    <row r="21" spans="1:35" ht="11.25" customHeight="1" x14ac:dyDescent="0.3">
      <c r="A21" s="19" t="s">
        <v>209</v>
      </c>
      <c r="B21" s="20" t="s">
        <v>49</v>
      </c>
      <c r="C21" s="20" t="s">
        <v>32</v>
      </c>
      <c r="D21" s="20" t="s">
        <v>202</v>
      </c>
      <c r="E21" s="20">
        <v>11</v>
      </c>
      <c r="F21" s="20" t="s">
        <v>20</v>
      </c>
      <c r="G21" s="20"/>
      <c r="H21" s="21">
        <v>71.83</v>
      </c>
      <c r="I21" s="21">
        <f>14.75+1+5.417+1+2.917</f>
        <v>25.084000000000003</v>
      </c>
      <c r="J21" s="21"/>
      <c r="K21" s="21"/>
      <c r="L21" s="21"/>
      <c r="M21" s="21">
        <f>52.3196/9*8/36</f>
        <v>1.2918419753086419</v>
      </c>
      <c r="N21" s="21">
        <v>47.54</v>
      </c>
      <c r="O21" s="21">
        <v>18.38</v>
      </c>
      <c r="P21" s="21">
        <f>2.917+14.75</f>
        <v>17.667000000000002</v>
      </c>
      <c r="Q21" s="21"/>
      <c r="R21" s="23"/>
      <c r="S21" s="23"/>
      <c r="T21" s="23"/>
      <c r="U21" s="23"/>
      <c r="V21" s="23"/>
      <c r="W21" s="23"/>
      <c r="X21" s="21"/>
      <c r="Y21" s="23"/>
      <c r="Z21" s="23"/>
      <c r="AA21" s="23"/>
      <c r="AB21" s="23"/>
      <c r="AC21" s="23"/>
      <c r="AD21" s="23"/>
      <c r="AE21" s="23"/>
      <c r="AF21" s="24"/>
      <c r="AG21" s="25" t="str">
        <f t="shared" si="0"/>
        <v/>
      </c>
      <c r="AI21" s="9"/>
    </row>
    <row r="22" spans="1:35" ht="11.25" customHeight="1" x14ac:dyDescent="0.3">
      <c r="A22" s="19" t="s">
        <v>209</v>
      </c>
      <c r="B22" s="20" t="s">
        <v>73</v>
      </c>
      <c r="C22" s="20" t="s">
        <v>36</v>
      </c>
      <c r="D22" s="20" t="s">
        <v>202</v>
      </c>
      <c r="E22" s="20">
        <v>11</v>
      </c>
      <c r="F22" s="20" t="s">
        <v>20</v>
      </c>
      <c r="G22" s="20"/>
      <c r="H22" s="21">
        <v>74.430000000000007</v>
      </c>
      <c r="I22" s="21">
        <f>1+1+4.333</f>
        <v>6.3330000000000002</v>
      </c>
      <c r="J22" s="21"/>
      <c r="K22" s="21"/>
      <c r="L22" s="21"/>
      <c r="M22" s="21"/>
      <c r="N22" s="21">
        <v>72.06</v>
      </c>
      <c r="O22" s="21">
        <v>9.8699999999999992</v>
      </c>
      <c r="P22" s="21">
        <v>1</v>
      </c>
      <c r="Q22" s="21"/>
      <c r="R22" s="23"/>
      <c r="S22" s="23"/>
      <c r="T22" s="23"/>
      <c r="U22" s="23"/>
      <c r="V22" s="23"/>
      <c r="W22" s="23"/>
      <c r="X22" s="21"/>
      <c r="Y22" s="23"/>
      <c r="Z22" s="23"/>
      <c r="AA22" s="23"/>
      <c r="AB22" s="23"/>
      <c r="AC22" s="23"/>
      <c r="AD22" s="23"/>
      <c r="AE22" s="23"/>
      <c r="AF22" s="24">
        <v>1.51</v>
      </c>
      <c r="AG22" s="25">
        <f t="shared" si="0"/>
        <v>0.25</v>
      </c>
      <c r="AI22" s="9"/>
    </row>
    <row r="23" spans="1:35" ht="11.25" customHeight="1" x14ac:dyDescent="0.3">
      <c r="A23" s="19" t="s">
        <v>209</v>
      </c>
      <c r="B23" s="20" t="s">
        <v>74</v>
      </c>
      <c r="C23" s="20" t="s">
        <v>34</v>
      </c>
      <c r="D23" s="20" t="s">
        <v>202</v>
      </c>
      <c r="E23" s="20">
        <v>11</v>
      </c>
      <c r="F23" s="20" t="s">
        <v>20</v>
      </c>
      <c r="G23" s="20"/>
      <c r="H23" s="21">
        <v>47.87</v>
      </c>
      <c r="I23" s="21"/>
      <c r="J23" s="21"/>
      <c r="K23" s="21"/>
      <c r="L23" s="21"/>
      <c r="M23" s="21"/>
      <c r="N23" s="21">
        <v>37.5</v>
      </c>
      <c r="O23" s="21">
        <v>16.88</v>
      </c>
      <c r="P23" s="21"/>
      <c r="Q23" s="21"/>
      <c r="R23" s="23"/>
      <c r="S23" s="23"/>
      <c r="T23" s="23"/>
      <c r="U23" s="23"/>
      <c r="V23" s="23"/>
      <c r="W23" s="23"/>
      <c r="X23" s="21"/>
      <c r="Y23" s="23"/>
      <c r="Z23" s="23"/>
      <c r="AA23" s="23"/>
      <c r="AB23" s="23"/>
      <c r="AC23" s="23"/>
      <c r="AD23" s="23"/>
      <c r="AE23" s="23"/>
      <c r="AF23" s="24">
        <v>0.48</v>
      </c>
      <c r="AG23" s="25">
        <f t="shared" si="0"/>
        <v>0.25</v>
      </c>
      <c r="AI23" s="9"/>
    </row>
    <row r="24" spans="1:35" ht="11.25" customHeight="1" x14ac:dyDescent="0.3">
      <c r="A24" s="19" t="s">
        <v>210</v>
      </c>
      <c r="B24" s="20" t="s">
        <v>53</v>
      </c>
      <c r="C24" s="20" t="s">
        <v>35</v>
      </c>
      <c r="D24" s="20" t="s">
        <v>202</v>
      </c>
      <c r="E24" s="20">
        <v>12</v>
      </c>
      <c r="F24" s="20" t="s">
        <v>20</v>
      </c>
      <c r="G24" s="20"/>
      <c r="H24" s="21">
        <v>47.87</v>
      </c>
      <c r="I24" s="21"/>
      <c r="J24" s="21"/>
      <c r="K24" s="21"/>
      <c r="L24" s="21"/>
      <c r="M24" s="21"/>
      <c r="N24" s="21">
        <v>35.56</v>
      </c>
      <c r="O24" s="21">
        <v>15.37</v>
      </c>
      <c r="P24" s="21"/>
      <c r="Q24" s="21"/>
      <c r="R24" s="23"/>
      <c r="S24" s="23"/>
      <c r="T24" s="23"/>
      <c r="U24" s="23"/>
      <c r="V24" s="23"/>
      <c r="W24" s="23"/>
      <c r="X24" s="21"/>
      <c r="Y24" s="23"/>
      <c r="Z24" s="23"/>
      <c r="AA24" s="23"/>
      <c r="AB24" s="23"/>
      <c r="AC24" s="23"/>
      <c r="AD24" s="23"/>
      <c r="AE24" s="23"/>
      <c r="AF24" s="24">
        <v>0.3</v>
      </c>
      <c r="AG24" s="25">
        <f t="shared" si="0"/>
        <v>0.25</v>
      </c>
      <c r="AI24" s="9"/>
    </row>
    <row r="25" spans="1:35" ht="11.25" customHeight="1" x14ac:dyDescent="0.3">
      <c r="A25" s="19" t="s">
        <v>210</v>
      </c>
      <c r="B25" s="20" t="s">
        <v>54</v>
      </c>
      <c r="C25" s="20" t="s">
        <v>32</v>
      </c>
      <c r="D25" s="20" t="s">
        <v>202</v>
      </c>
      <c r="E25" s="20">
        <v>12</v>
      </c>
      <c r="F25" s="20" t="s">
        <v>20</v>
      </c>
      <c r="G25" s="20"/>
      <c r="H25" s="21">
        <v>39.65</v>
      </c>
      <c r="I25" s="21">
        <f>2.667+1+5.167</f>
        <v>8.8339999999999996</v>
      </c>
      <c r="J25" s="21"/>
      <c r="K25" s="21"/>
      <c r="L25" s="21"/>
      <c r="M25" s="21"/>
      <c r="N25" s="21">
        <v>38.380000000000003</v>
      </c>
      <c r="O25" s="21"/>
      <c r="P25" s="21">
        <f>2.667</f>
        <v>2.6669999999999998</v>
      </c>
      <c r="Q25" s="21"/>
      <c r="R25" s="23"/>
      <c r="S25" s="23"/>
      <c r="T25" s="23"/>
      <c r="U25" s="23"/>
      <c r="V25" s="23"/>
      <c r="W25" s="23"/>
      <c r="X25" s="21"/>
      <c r="Y25" s="23"/>
      <c r="Z25" s="23"/>
      <c r="AA25" s="23"/>
      <c r="AB25" s="23"/>
      <c r="AC25" s="23"/>
      <c r="AD25" s="23"/>
      <c r="AE25" s="23"/>
      <c r="AF25" s="24">
        <f>1.07+0.48</f>
        <v>1.55</v>
      </c>
      <c r="AG25" s="25">
        <f t="shared" si="0"/>
        <v>0.25</v>
      </c>
      <c r="AI25" s="9"/>
    </row>
    <row r="26" spans="1:35" ht="11.25" customHeight="1" x14ac:dyDescent="0.3">
      <c r="A26" s="19" t="s">
        <v>210</v>
      </c>
      <c r="B26" s="20" t="s">
        <v>211</v>
      </c>
      <c r="C26" s="20" t="s">
        <v>34</v>
      </c>
      <c r="D26" s="20" t="s">
        <v>202</v>
      </c>
      <c r="E26" s="20">
        <v>12</v>
      </c>
      <c r="F26" s="20" t="s">
        <v>20</v>
      </c>
      <c r="G26" s="20"/>
      <c r="H26" s="21">
        <v>81.09</v>
      </c>
      <c r="I26" s="21">
        <f>2+1+4+1+3</f>
        <v>11</v>
      </c>
      <c r="J26" s="21"/>
      <c r="K26" s="21"/>
      <c r="L26" s="21"/>
      <c r="M26" s="21"/>
      <c r="N26" s="21">
        <f>32.43</f>
        <v>32.43</v>
      </c>
      <c r="O26" s="21">
        <v>50.91</v>
      </c>
      <c r="P26" s="21">
        <f>3+2</f>
        <v>5</v>
      </c>
      <c r="Q26" s="21"/>
      <c r="R26" s="23"/>
      <c r="S26" s="23"/>
      <c r="T26" s="23"/>
      <c r="U26" s="23"/>
      <c r="V26" s="23"/>
      <c r="W26" s="23"/>
      <c r="X26" s="21"/>
      <c r="Y26" s="23"/>
      <c r="Z26" s="23"/>
      <c r="AA26" s="23"/>
      <c r="AB26" s="23"/>
      <c r="AC26" s="23"/>
      <c r="AD26" s="23"/>
      <c r="AE26" s="23"/>
      <c r="AF26" s="24">
        <v>0.81</v>
      </c>
      <c r="AG26" s="25">
        <f t="shared" si="0"/>
        <v>0.25</v>
      </c>
      <c r="AI26" s="9"/>
    </row>
    <row r="27" spans="1:35" ht="11.25" customHeight="1" x14ac:dyDescent="0.3">
      <c r="A27" s="19" t="s">
        <v>210</v>
      </c>
      <c r="B27" s="20" t="s">
        <v>249</v>
      </c>
      <c r="C27" s="20" t="s">
        <v>36</v>
      </c>
      <c r="D27" s="20" t="s">
        <v>202</v>
      </c>
      <c r="E27" s="20">
        <v>12</v>
      </c>
      <c r="F27" s="20" t="s">
        <v>20</v>
      </c>
      <c r="G27" s="51"/>
      <c r="H27" s="52" t="s">
        <v>241</v>
      </c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4"/>
      <c r="AI27" s="9"/>
    </row>
    <row r="28" spans="1:35" ht="11.25" customHeight="1" x14ac:dyDescent="0.3">
      <c r="A28" s="19" t="s">
        <v>213</v>
      </c>
      <c r="B28" s="20" t="s">
        <v>55</v>
      </c>
      <c r="C28" s="20" t="s">
        <v>35</v>
      </c>
      <c r="D28" s="20" t="s">
        <v>202</v>
      </c>
      <c r="E28" s="20">
        <v>13</v>
      </c>
      <c r="F28" s="20" t="s">
        <v>20</v>
      </c>
      <c r="G28" s="51"/>
      <c r="H28" s="52" t="s">
        <v>241</v>
      </c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4"/>
      <c r="AI28" s="9"/>
    </row>
    <row r="29" spans="1:35" ht="11.25" customHeight="1" x14ac:dyDescent="0.3">
      <c r="A29" s="19" t="s">
        <v>213</v>
      </c>
      <c r="B29" s="20" t="s">
        <v>56</v>
      </c>
      <c r="C29" s="20" t="s">
        <v>36</v>
      </c>
      <c r="D29" s="20" t="s">
        <v>202</v>
      </c>
      <c r="E29" s="20">
        <v>13</v>
      </c>
      <c r="F29" s="20" t="s">
        <v>51</v>
      </c>
      <c r="G29" s="51"/>
      <c r="H29" s="52" t="s">
        <v>242</v>
      </c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4"/>
      <c r="AI29" s="9"/>
    </row>
    <row r="30" spans="1:35" ht="11.25" customHeight="1" x14ac:dyDescent="0.3">
      <c r="A30" s="19" t="s">
        <v>213</v>
      </c>
      <c r="B30" s="20" t="s">
        <v>214</v>
      </c>
      <c r="C30" s="20" t="s">
        <v>36</v>
      </c>
      <c r="D30" s="20" t="s">
        <v>202</v>
      </c>
      <c r="E30" s="20">
        <v>13</v>
      </c>
      <c r="F30" s="20" t="s">
        <v>51</v>
      </c>
      <c r="G30" s="51"/>
      <c r="H30" s="52" t="s">
        <v>243</v>
      </c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4"/>
      <c r="AI30" s="9"/>
    </row>
    <row r="31" spans="1:35" ht="11.25" customHeight="1" x14ac:dyDescent="0.3">
      <c r="A31" s="19" t="s">
        <v>213</v>
      </c>
      <c r="B31" s="20" t="s">
        <v>229</v>
      </c>
      <c r="C31" s="20" t="s">
        <v>34</v>
      </c>
      <c r="D31" s="20" t="s">
        <v>202</v>
      </c>
      <c r="E31" s="20">
        <v>13</v>
      </c>
      <c r="F31" s="20" t="s">
        <v>51</v>
      </c>
      <c r="G31" s="51"/>
      <c r="H31" s="52" t="s">
        <v>244</v>
      </c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4"/>
      <c r="AI31" s="9"/>
    </row>
    <row r="32" spans="1:35" ht="11.25" customHeight="1" x14ac:dyDescent="0.3">
      <c r="A32" s="19" t="s">
        <v>212</v>
      </c>
      <c r="B32" s="20" t="s">
        <v>60</v>
      </c>
      <c r="C32" s="20" t="s">
        <v>36</v>
      </c>
      <c r="D32" s="20" t="s">
        <v>202</v>
      </c>
      <c r="E32" s="20">
        <v>14</v>
      </c>
      <c r="F32" s="20" t="s">
        <v>51</v>
      </c>
      <c r="G32" s="51"/>
      <c r="H32" s="52" t="s">
        <v>245</v>
      </c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4"/>
      <c r="AI32" s="9"/>
    </row>
    <row r="33" spans="1:35" ht="11.25" customHeight="1" x14ac:dyDescent="0.3">
      <c r="A33" s="19" t="s">
        <v>212</v>
      </c>
      <c r="B33" s="20" t="s">
        <v>61</v>
      </c>
      <c r="C33" s="20" t="s">
        <v>34</v>
      </c>
      <c r="D33" s="20" t="s">
        <v>202</v>
      </c>
      <c r="E33" s="20">
        <v>14</v>
      </c>
      <c r="F33" s="20" t="s">
        <v>20</v>
      </c>
      <c r="G33" s="20"/>
      <c r="H33" s="21">
        <v>300.5</v>
      </c>
      <c r="I33" s="21">
        <f>2+3.167+4.16+6.333</f>
        <v>15.66</v>
      </c>
      <c r="J33" s="21"/>
      <c r="K33" s="21"/>
      <c r="L33" s="21"/>
      <c r="M33" s="21"/>
      <c r="N33" s="21">
        <v>83.51</v>
      </c>
      <c r="O33" s="21">
        <v>221.04</v>
      </c>
      <c r="P33" s="21"/>
      <c r="Q33" s="21"/>
      <c r="R33" s="21"/>
      <c r="S33" s="23">
        <v>1</v>
      </c>
      <c r="T33" s="23"/>
      <c r="U33" s="23"/>
      <c r="V33" s="23">
        <v>1</v>
      </c>
      <c r="W33" s="23"/>
      <c r="X33" s="21"/>
      <c r="Y33" s="23">
        <v>1</v>
      </c>
      <c r="Z33" s="23">
        <v>1</v>
      </c>
      <c r="AA33" s="23">
        <v>1</v>
      </c>
      <c r="AB33" s="23">
        <v>1</v>
      </c>
      <c r="AC33" s="23">
        <v>1</v>
      </c>
      <c r="AD33" s="23">
        <v>1</v>
      </c>
      <c r="AE33" s="23"/>
      <c r="AF33" s="24"/>
      <c r="AG33" s="25" t="str">
        <f t="shared" ref="AG33:AG53" si="1">IF(AF33="","", MAX(0.25, MROUND(AF33*0.5/27, 0.25)))</f>
        <v/>
      </c>
      <c r="AI33" s="9"/>
    </row>
    <row r="34" spans="1:35" ht="11.25" customHeight="1" x14ac:dyDescent="0.3">
      <c r="A34" s="19" t="s">
        <v>215</v>
      </c>
      <c r="B34" s="20" t="s">
        <v>62</v>
      </c>
      <c r="C34" s="20" t="s">
        <v>35</v>
      </c>
      <c r="D34" s="20" t="s">
        <v>202</v>
      </c>
      <c r="E34" s="20">
        <v>15</v>
      </c>
      <c r="F34" s="20" t="s">
        <v>20</v>
      </c>
      <c r="G34" s="51"/>
      <c r="H34" s="52" t="s">
        <v>241</v>
      </c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4"/>
      <c r="AI34" s="9"/>
    </row>
    <row r="35" spans="1:35" ht="11.25" customHeight="1" x14ac:dyDescent="0.3">
      <c r="A35" s="19" t="s">
        <v>215</v>
      </c>
      <c r="B35" s="20" t="s">
        <v>63</v>
      </c>
      <c r="C35" s="20" t="s">
        <v>32</v>
      </c>
      <c r="D35" s="20" t="s">
        <v>202</v>
      </c>
      <c r="E35" s="20">
        <v>15</v>
      </c>
      <c r="F35" s="20" t="s">
        <v>51</v>
      </c>
      <c r="G35" s="51"/>
      <c r="H35" s="52" t="s">
        <v>246</v>
      </c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4"/>
      <c r="AI35" s="9"/>
    </row>
    <row r="36" spans="1:35" ht="11.25" customHeight="1" x14ac:dyDescent="0.3">
      <c r="A36" s="19" t="s">
        <v>215</v>
      </c>
      <c r="B36" s="20" t="s">
        <v>216</v>
      </c>
      <c r="C36" s="20" t="s">
        <v>34</v>
      </c>
      <c r="D36" s="20" t="s">
        <v>202</v>
      </c>
      <c r="E36" s="20">
        <v>15</v>
      </c>
      <c r="F36" s="20" t="s">
        <v>20</v>
      </c>
      <c r="G36" s="20" t="s">
        <v>231</v>
      </c>
      <c r="H36" s="21">
        <v>144.6</v>
      </c>
      <c r="I36" s="21">
        <f>2.25+1+4.083+2+3+11</f>
        <v>23.332999999999998</v>
      </c>
      <c r="J36" s="21"/>
      <c r="K36" s="21"/>
      <c r="L36" s="21"/>
      <c r="M36" s="21"/>
      <c r="N36" s="21">
        <v>48.98</v>
      </c>
      <c r="O36" s="21">
        <f>74.68+8.97</f>
        <v>83.65</v>
      </c>
      <c r="P36" s="21">
        <f>2.25+11</f>
        <v>13.25</v>
      </c>
      <c r="Q36" s="21"/>
      <c r="R36" s="21"/>
      <c r="S36" s="23">
        <v>1</v>
      </c>
      <c r="T36" s="23"/>
      <c r="U36" s="23"/>
      <c r="V36" s="23">
        <v>1</v>
      </c>
      <c r="W36" s="23"/>
      <c r="X36" s="21"/>
      <c r="Y36" s="23">
        <v>1</v>
      </c>
      <c r="Z36" s="23">
        <v>1</v>
      </c>
      <c r="AA36" s="23">
        <v>1</v>
      </c>
      <c r="AB36" s="23">
        <v>1</v>
      </c>
      <c r="AC36" s="23">
        <v>1</v>
      </c>
      <c r="AD36" s="23">
        <v>1</v>
      </c>
      <c r="AE36" s="23">
        <v>1</v>
      </c>
      <c r="AF36" s="24">
        <v>10.51</v>
      </c>
      <c r="AG36" s="25">
        <f t="shared" si="1"/>
        <v>0.25</v>
      </c>
      <c r="AI36" s="9"/>
    </row>
    <row r="37" spans="1:35" ht="11.25" customHeight="1" x14ac:dyDescent="0.3">
      <c r="A37" s="19" t="s">
        <v>218</v>
      </c>
      <c r="B37" s="20" t="s">
        <v>64</v>
      </c>
      <c r="C37" s="20" t="s">
        <v>35</v>
      </c>
      <c r="D37" s="20" t="s">
        <v>202</v>
      </c>
      <c r="E37" s="20">
        <v>16</v>
      </c>
      <c r="F37" s="20" t="s">
        <v>51</v>
      </c>
      <c r="G37" s="51"/>
      <c r="H37" s="52" t="s">
        <v>247</v>
      </c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4"/>
      <c r="AI37" s="9"/>
    </row>
    <row r="38" spans="1:35" ht="11.25" customHeight="1" x14ac:dyDescent="0.3">
      <c r="A38" s="19" t="s">
        <v>218</v>
      </c>
      <c r="B38" s="20" t="s">
        <v>65</v>
      </c>
      <c r="C38" s="20" t="s">
        <v>36</v>
      </c>
      <c r="D38" s="20" t="s">
        <v>202</v>
      </c>
      <c r="E38" s="20">
        <v>16</v>
      </c>
      <c r="F38" s="20" t="s">
        <v>20</v>
      </c>
      <c r="G38" s="20"/>
      <c r="H38" s="21">
        <v>159.47</v>
      </c>
      <c r="I38" s="21">
        <f>3+1+4.167+1+5+6.083+5+4+1+4</f>
        <v>34.25</v>
      </c>
      <c r="J38" s="21"/>
      <c r="K38" s="21"/>
      <c r="L38" s="21"/>
      <c r="M38" s="21"/>
      <c r="N38" s="21">
        <v>124.07</v>
      </c>
      <c r="O38" s="21">
        <f>25.74+15.5+14.1</f>
        <v>55.339999999999996</v>
      </c>
      <c r="P38" s="21">
        <f>3+6.083+4</f>
        <v>13.083</v>
      </c>
      <c r="Q38" s="21"/>
      <c r="R38" s="21"/>
      <c r="S38" s="23"/>
      <c r="T38" s="23"/>
      <c r="U38" s="23"/>
      <c r="V38" s="23"/>
      <c r="W38" s="23"/>
      <c r="X38" s="21"/>
      <c r="Y38" s="23"/>
      <c r="Z38" s="23"/>
      <c r="AA38" s="23"/>
      <c r="AB38" s="23"/>
      <c r="AC38" s="23"/>
      <c r="AD38" s="23"/>
      <c r="AE38" s="23"/>
      <c r="AF38" s="24"/>
      <c r="AG38" s="25" t="str">
        <f t="shared" si="1"/>
        <v/>
      </c>
    </row>
    <row r="39" spans="1:35" ht="11.25" customHeight="1" x14ac:dyDescent="0.3">
      <c r="A39" s="19" t="s">
        <v>218</v>
      </c>
      <c r="B39" s="20" t="s">
        <v>220</v>
      </c>
      <c r="C39" s="20" t="s">
        <v>34</v>
      </c>
      <c r="D39" s="20" t="s">
        <v>202</v>
      </c>
      <c r="E39" s="20">
        <v>16</v>
      </c>
      <c r="F39" s="20" t="s">
        <v>20</v>
      </c>
      <c r="G39" s="20"/>
      <c r="H39" s="21">
        <v>50.07</v>
      </c>
      <c r="I39" s="21">
        <v>1</v>
      </c>
      <c r="J39" s="21"/>
      <c r="K39" s="21"/>
      <c r="L39" s="21"/>
      <c r="M39" s="21"/>
      <c r="N39" s="21">
        <v>36.06</v>
      </c>
      <c r="O39" s="21">
        <v>17.72</v>
      </c>
      <c r="P39" s="21"/>
      <c r="Q39" s="21"/>
      <c r="R39" s="21"/>
      <c r="S39" s="23"/>
      <c r="T39" s="23"/>
      <c r="U39" s="23"/>
      <c r="V39" s="23"/>
      <c r="W39" s="23"/>
      <c r="X39" s="21"/>
      <c r="Y39" s="23"/>
      <c r="Z39" s="23"/>
      <c r="AA39" s="23"/>
      <c r="AB39" s="23"/>
      <c r="AC39" s="23"/>
      <c r="AD39" s="23"/>
      <c r="AE39" s="23"/>
      <c r="AF39" s="24"/>
      <c r="AG39" s="25" t="str">
        <f t="shared" si="1"/>
        <v/>
      </c>
      <c r="AI39" s="3"/>
    </row>
    <row r="40" spans="1:35" ht="11.25" customHeight="1" x14ac:dyDescent="0.3">
      <c r="A40" s="19" t="s">
        <v>219</v>
      </c>
      <c r="B40" s="20" t="s">
        <v>66</v>
      </c>
      <c r="C40" s="20" t="s">
        <v>32</v>
      </c>
      <c r="D40" s="20" t="s">
        <v>202</v>
      </c>
      <c r="E40" s="20">
        <v>17</v>
      </c>
      <c r="F40" s="20" t="s">
        <v>51</v>
      </c>
      <c r="G40" s="20"/>
      <c r="H40" s="20">
        <v>75.67</v>
      </c>
      <c r="I40" s="21">
        <f>3.667+1+4+1+2</f>
        <v>11.667</v>
      </c>
      <c r="J40" s="21"/>
      <c r="K40" s="21"/>
      <c r="L40" s="21"/>
      <c r="M40" s="21"/>
      <c r="N40" s="21">
        <v>38.950000000000003</v>
      </c>
      <c r="O40" s="21">
        <v>25.21</v>
      </c>
      <c r="P40" s="20">
        <f>3.667+2</f>
        <v>5.6669999999999998</v>
      </c>
      <c r="Q40" s="20"/>
      <c r="R40" s="20"/>
      <c r="S40" s="23"/>
      <c r="T40" s="23"/>
      <c r="U40" s="23"/>
      <c r="V40" s="23"/>
      <c r="W40" s="23"/>
      <c r="X40" s="21"/>
      <c r="Y40" s="23"/>
      <c r="Z40" s="23"/>
      <c r="AA40" s="23"/>
      <c r="AB40" s="23"/>
      <c r="AC40" s="23"/>
      <c r="AD40" s="23"/>
      <c r="AE40" s="23"/>
      <c r="AF40" s="24">
        <v>15.47</v>
      </c>
      <c r="AG40" s="25">
        <f t="shared" si="1"/>
        <v>0.25</v>
      </c>
      <c r="AI40" s="9"/>
    </row>
    <row r="41" spans="1:35" ht="11.25" customHeight="1" x14ac:dyDescent="0.3">
      <c r="A41" s="19" t="s">
        <v>219</v>
      </c>
      <c r="B41" s="20" t="s">
        <v>67</v>
      </c>
      <c r="C41" s="20" t="s">
        <v>36</v>
      </c>
      <c r="D41" s="20" t="s">
        <v>202</v>
      </c>
      <c r="E41" s="20">
        <v>17</v>
      </c>
      <c r="F41" s="20" t="s">
        <v>20</v>
      </c>
      <c r="G41" s="20"/>
      <c r="H41" s="21">
        <v>54.11</v>
      </c>
      <c r="I41" s="21">
        <f>2+1+4.167+1</f>
        <v>8.1669999999999998</v>
      </c>
      <c r="J41" s="21"/>
      <c r="K41" s="21"/>
      <c r="L41" s="21"/>
      <c r="M41" s="21">
        <f>1.7699/9*8/36</f>
        <v>4.3701234567901232E-2</v>
      </c>
      <c r="N41" s="21">
        <v>40.29</v>
      </c>
      <c r="O41" s="21">
        <v>13.09</v>
      </c>
      <c r="P41" s="21">
        <f>2</f>
        <v>2</v>
      </c>
      <c r="Q41" s="21"/>
      <c r="R41" s="21"/>
      <c r="S41" s="23"/>
      <c r="T41" s="23"/>
      <c r="U41" s="23"/>
      <c r="V41" s="23"/>
      <c r="W41" s="23"/>
      <c r="X41" s="21"/>
      <c r="Y41" s="23"/>
      <c r="Z41" s="23"/>
      <c r="AA41" s="23"/>
      <c r="AB41" s="23"/>
      <c r="AC41" s="23"/>
      <c r="AD41" s="23"/>
      <c r="AE41" s="23"/>
      <c r="AF41" s="24">
        <v>1.75</v>
      </c>
      <c r="AG41" s="25">
        <f t="shared" si="1"/>
        <v>0.25</v>
      </c>
      <c r="AI41" s="9"/>
    </row>
    <row r="42" spans="1:35" ht="11.25" customHeight="1" x14ac:dyDescent="0.3">
      <c r="A42" s="19" t="s">
        <v>219</v>
      </c>
      <c r="B42" s="20" t="s">
        <v>221</v>
      </c>
      <c r="C42" s="20" t="s">
        <v>34</v>
      </c>
      <c r="D42" s="20" t="s">
        <v>202</v>
      </c>
      <c r="E42" s="20">
        <v>17</v>
      </c>
      <c r="F42" s="20" t="s">
        <v>20</v>
      </c>
      <c r="G42" s="20"/>
      <c r="H42" s="21">
        <v>134.91</v>
      </c>
      <c r="I42" s="21">
        <f>1+4+1+10.167+1+4.167+1+1.333</f>
        <v>23.667000000000002</v>
      </c>
      <c r="J42" s="21"/>
      <c r="K42" s="21"/>
      <c r="L42" s="21"/>
      <c r="M42" s="21"/>
      <c r="N42" s="21">
        <v>94.9</v>
      </c>
      <c r="O42" s="21">
        <f>30.06+23.75</f>
        <v>53.81</v>
      </c>
      <c r="P42" s="21">
        <f>1+10.167+1.333</f>
        <v>12.5</v>
      </c>
      <c r="Q42" s="21"/>
      <c r="R42" s="21"/>
      <c r="S42" s="23"/>
      <c r="T42" s="23"/>
      <c r="U42" s="23"/>
      <c r="V42" s="23"/>
      <c r="W42" s="23"/>
      <c r="X42" s="21"/>
      <c r="Y42" s="23"/>
      <c r="Z42" s="23"/>
      <c r="AA42" s="23"/>
      <c r="AB42" s="23"/>
      <c r="AC42" s="23"/>
      <c r="AD42" s="23"/>
      <c r="AE42" s="23"/>
      <c r="AF42" s="24"/>
      <c r="AG42" s="25" t="str">
        <f t="shared" si="1"/>
        <v/>
      </c>
      <c r="AI42" s="9"/>
    </row>
    <row r="43" spans="1:35" ht="11.25" customHeight="1" x14ac:dyDescent="0.3">
      <c r="A43" s="19" t="s">
        <v>222</v>
      </c>
      <c r="B43" s="20" t="s">
        <v>68</v>
      </c>
      <c r="C43" s="20" t="s">
        <v>35</v>
      </c>
      <c r="D43" s="20" t="s">
        <v>202</v>
      </c>
      <c r="E43" s="20">
        <v>18</v>
      </c>
      <c r="F43" s="20" t="s">
        <v>20</v>
      </c>
      <c r="G43" s="20"/>
      <c r="H43" s="21"/>
      <c r="I43" s="21">
        <f>1+1+4.25+1+1.667</f>
        <v>8.9169999999999998</v>
      </c>
      <c r="J43" s="21"/>
      <c r="K43" s="21"/>
      <c r="L43" s="21"/>
      <c r="M43" s="21"/>
      <c r="N43" s="21">
        <v>48.17</v>
      </c>
      <c r="O43" s="21"/>
      <c r="P43" s="21">
        <f>1+1.667</f>
        <v>2.6669999999999998</v>
      </c>
      <c r="Q43" s="21"/>
      <c r="R43" s="21"/>
      <c r="S43" s="23"/>
      <c r="T43" s="23"/>
      <c r="U43" s="23"/>
      <c r="V43" s="23"/>
      <c r="W43" s="23"/>
      <c r="X43" s="21"/>
      <c r="Y43" s="23"/>
      <c r="Z43" s="23"/>
      <c r="AA43" s="23"/>
      <c r="AB43" s="23"/>
      <c r="AC43" s="23"/>
      <c r="AD43" s="23"/>
      <c r="AE43" s="23"/>
      <c r="AF43" s="24"/>
      <c r="AG43" s="25" t="str">
        <f t="shared" si="1"/>
        <v/>
      </c>
      <c r="AI43" s="9"/>
    </row>
    <row r="44" spans="1:35" ht="11.25" customHeight="1" x14ac:dyDescent="0.3">
      <c r="A44" s="19" t="s">
        <v>222</v>
      </c>
      <c r="B44" s="20" t="s">
        <v>69</v>
      </c>
      <c r="C44" s="20" t="s">
        <v>35</v>
      </c>
      <c r="D44" s="20" t="s">
        <v>202</v>
      </c>
      <c r="E44" s="20">
        <v>18</v>
      </c>
      <c r="F44" s="20" t="s">
        <v>51</v>
      </c>
      <c r="G44" s="51"/>
      <c r="H44" s="52" t="s">
        <v>248</v>
      </c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4"/>
      <c r="AI44" s="9"/>
    </row>
    <row r="45" spans="1:35" ht="11.25" customHeight="1" x14ac:dyDescent="0.3">
      <c r="A45" s="19" t="s">
        <v>222</v>
      </c>
      <c r="B45" s="20" t="s">
        <v>223</v>
      </c>
      <c r="C45" s="20" t="s">
        <v>32</v>
      </c>
      <c r="D45" s="20" t="s">
        <v>202</v>
      </c>
      <c r="E45" s="20">
        <v>18</v>
      </c>
      <c r="F45" s="20" t="s">
        <v>20</v>
      </c>
      <c r="G45" s="20"/>
      <c r="H45" s="21">
        <v>62.44</v>
      </c>
      <c r="I45" s="21">
        <f>2.5+1+5+1+3</f>
        <v>12.5</v>
      </c>
      <c r="J45" s="21"/>
      <c r="K45" s="21"/>
      <c r="L45" s="21"/>
      <c r="M45" s="21"/>
      <c r="N45" s="21">
        <f>42.35</f>
        <v>42.35</v>
      </c>
      <c r="O45" s="21">
        <v>23.23</v>
      </c>
      <c r="P45" s="21">
        <f>3+2.5+2.5+3+4+4.667</f>
        <v>19.667000000000002</v>
      </c>
      <c r="Q45" s="21"/>
      <c r="R45" s="21"/>
      <c r="S45" s="23"/>
      <c r="T45" s="23"/>
      <c r="U45" s="23"/>
      <c r="V45" s="23"/>
      <c r="W45" s="23"/>
      <c r="X45" s="21"/>
      <c r="Y45" s="23"/>
      <c r="Z45" s="23"/>
      <c r="AA45" s="23"/>
      <c r="AB45" s="23"/>
      <c r="AC45" s="23"/>
      <c r="AD45" s="23"/>
      <c r="AE45" s="23"/>
      <c r="AF45" s="24">
        <v>1.53</v>
      </c>
      <c r="AG45" s="25">
        <f t="shared" si="1"/>
        <v>0.25</v>
      </c>
      <c r="AI45" s="9"/>
    </row>
    <row r="46" spans="1:35" ht="11.25" customHeight="1" x14ac:dyDescent="0.3">
      <c r="A46" s="19" t="s">
        <v>222</v>
      </c>
      <c r="B46" s="20" t="s">
        <v>224</v>
      </c>
      <c r="C46" s="20" t="s">
        <v>36</v>
      </c>
      <c r="D46" s="20" t="s">
        <v>202</v>
      </c>
      <c r="E46" s="20">
        <v>18</v>
      </c>
      <c r="F46" s="20" t="s">
        <v>20</v>
      </c>
      <c r="G46" s="20"/>
      <c r="H46" s="21">
        <f>50.44+55.82</f>
        <v>106.25999999999999</v>
      </c>
      <c r="I46" s="21">
        <f>1+1+4+1+1</f>
        <v>8</v>
      </c>
      <c r="J46" s="21"/>
      <c r="K46" s="21"/>
      <c r="L46" s="21"/>
      <c r="M46" s="21"/>
      <c r="N46" s="21">
        <v>80.81</v>
      </c>
      <c r="O46" s="21">
        <f>18.74+24.29</f>
        <v>43.03</v>
      </c>
      <c r="P46" s="21">
        <f>1+1</f>
        <v>2</v>
      </c>
      <c r="Q46" s="21"/>
      <c r="R46" s="21"/>
      <c r="S46" s="23"/>
      <c r="T46" s="23"/>
      <c r="U46" s="23"/>
      <c r="V46" s="23"/>
      <c r="W46" s="23"/>
      <c r="X46" s="21"/>
      <c r="Y46" s="23"/>
      <c r="Z46" s="23"/>
      <c r="AA46" s="23"/>
      <c r="AB46" s="23"/>
      <c r="AC46" s="23"/>
      <c r="AD46" s="23"/>
      <c r="AE46" s="23"/>
      <c r="AF46" s="24">
        <v>50.04</v>
      </c>
      <c r="AG46" s="25">
        <f t="shared" si="1"/>
        <v>1</v>
      </c>
      <c r="AI46" s="9"/>
    </row>
    <row r="47" spans="1:35" ht="11.25" customHeight="1" x14ac:dyDescent="0.3">
      <c r="A47" s="19" t="s">
        <v>59</v>
      </c>
      <c r="B47" s="20" t="s">
        <v>70</v>
      </c>
      <c r="C47" s="20" t="s">
        <v>36</v>
      </c>
      <c r="D47" s="20" t="s">
        <v>202</v>
      </c>
      <c r="E47" s="20">
        <v>19</v>
      </c>
      <c r="F47" s="20" t="s">
        <v>20</v>
      </c>
      <c r="G47" s="20"/>
      <c r="H47" s="21">
        <v>80.290000000000006</v>
      </c>
      <c r="I47" s="21">
        <f>13.417+1+4.417+1+3.917</f>
        <v>23.750999999999998</v>
      </c>
      <c r="J47" s="21"/>
      <c r="K47" s="21"/>
      <c r="L47" s="21"/>
      <c r="M47" s="21"/>
      <c r="N47" s="21">
        <v>77.349999999999994</v>
      </c>
      <c r="O47" s="21">
        <v>33.68</v>
      </c>
      <c r="P47" s="21">
        <f>13.417+3.917</f>
        <v>17.334</v>
      </c>
      <c r="Q47" s="21"/>
      <c r="R47" s="21"/>
      <c r="S47" s="23"/>
      <c r="T47" s="23"/>
      <c r="U47" s="23"/>
      <c r="V47" s="23"/>
      <c r="W47" s="23"/>
      <c r="X47" s="21"/>
      <c r="Y47" s="23"/>
      <c r="Z47" s="23"/>
      <c r="AA47" s="23"/>
      <c r="AB47" s="23"/>
      <c r="AC47" s="23"/>
      <c r="AD47" s="23"/>
      <c r="AE47" s="23"/>
      <c r="AF47" s="24">
        <f>4.94+3.54</f>
        <v>8.48</v>
      </c>
      <c r="AG47" s="25">
        <f t="shared" si="1"/>
        <v>0.25</v>
      </c>
      <c r="AI47" s="9"/>
    </row>
    <row r="48" spans="1:35" ht="11.25" customHeight="1" x14ac:dyDescent="0.3">
      <c r="A48" s="19" t="s">
        <v>59</v>
      </c>
      <c r="B48" s="20" t="s">
        <v>71</v>
      </c>
      <c r="C48" s="20" t="s">
        <v>34</v>
      </c>
      <c r="D48" s="20" t="s">
        <v>202</v>
      </c>
      <c r="E48" s="20">
        <v>19</v>
      </c>
      <c r="F48" s="20" t="s">
        <v>20</v>
      </c>
      <c r="G48" s="20"/>
      <c r="H48" s="21">
        <f>64.63+30.45</f>
        <v>95.08</v>
      </c>
      <c r="I48" s="21">
        <f>4+1+4.917+1+1.5</f>
        <v>12.417</v>
      </c>
      <c r="J48" s="21"/>
      <c r="K48" s="21"/>
      <c r="L48" s="21"/>
      <c r="M48" s="21"/>
      <c r="N48" s="21">
        <v>88</v>
      </c>
      <c r="O48" s="21"/>
      <c r="P48" s="21">
        <f>4+1.5</f>
        <v>5.5</v>
      </c>
      <c r="Q48" s="21"/>
      <c r="R48" s="21"/>
      <c r="S48" s="23"/>
      <c r="T48" s="23"/>
      <c r="U48" s="23"/>
      <c r="V48" s="23"/>
      <c r="W48" s="23"/>
      <c r="X48" s="21"/>
      <c r="Y48" s="23"/>
      <c r="Z48" s="23"/>
      <c r="AA48" s="23"/>
      <c r="AB48" s="23"/>
      <c r="AC48" s="23"/>
      <c r="AD48" s="23"/>
      <c r="AE48" s="23"/>
      <c r="AF48" s="24">
        <v>18.52</v>
      </c>
      <c r="AG48" s="25">
        <f t="shared" si="1"/>
        <v>0.25</v>
      </c>
      <c r="AI48" s="9"/>
    </row>
    <row r="49" spans="1:35" ht="11.25" customHeight="1" x14ac:dyDescent="0.3">
      <c r="A49" s="19" t="s">
        <v>225</v>
      </c>
      <c r="B49" s="20" t="s">
        <v>82</v>
      </c>
      <c r="C49" s="20" t="s">
        <v>36</v>
      </c>
      <c r="D49" s="20" t="s">
        <v>202</v>
      </c>
      <c r="E49" s="20">
        <v>20</v>
      </c>
      <c r="F49" s="20" t="s">
        <v>20</v>
      </c>
      <c r="G49" s="20"/>
      <c r="H49" s="21">
        <v>39.979999999999997</v>
      </c>
      <c r="I49" s="21">
        <f>6.083+1+4.25</f>
        <v>11.333</v>
      </c>
      <c r="J49" s="21"/>
      <c r="K49" s="21"/>
      <c r="L49" s="21"/>
      <c r="M49" s="21"/>
      <c r="N49" s="21">
        <v>53.05</v>
      </c>
      <c r="O49" s="21">
        <v>5.12</v>
      </c>
      <c r="P49" s="21">
        <v>6.08</v>
      </c>
      <c r="Q49" s="21"/>
      <c r="R49" s="21"/>
      <c r="S49" s="23"/>
      <c r="T49" s="23"/>
      <c r="U49" s="23"/>
      <c r="V49" s="23"/>
      <c r="W49" s="23"/>
      <c r="X49" s="21"/>
      <c r="Y49" s="23"/>
      <c r="Z49" s="23"/>
      <c r="AA49" s="23"/>
      <c r="AB49" s="23"/>
      <c r="AC49" s="23"/>
      <c r="AD49" s="23"/>
      <c r="AE49" s="23"/>
      <c r="AF49" s="24"/>
      <c r="AG49" s="25" t="str">
        <f t="shared" si="1"/>
        <v/>
      </c>
      <c r="AI49" s="9"/>
    </row>
    <row r="50" spans="1:35" ht="11.25" customHeight="1" x14ac:dyDescent="0.3">
      <c r="A50" s="19" t="s">
        <v>225</v>
      </c>
      <c r="B50" s="20" t="s">
        <v>83</v>
      </c>
      <c r="C50" s="20" t="s">
        <v>34</v>
      </c>
      <c r="D50" s="20" t="s">
        <v>202</v>
      </c>
      <c r="E50" s="20">
        <v>20</v>
      </c>
      <c r="F50" s="20" t="s">
        <v>20</v>
      </c>
      <c r="G50" s="20"/>
      <c r="H50" s="21">
        <v>30.73</v>
      </c>
      <c r="I50" s="21">
        <f>1+1+4.25</f>
        <v>6.25</v>
      </c>
      <c r="J50" s="21"/>
      <c r="K50" s="21"/>
      <c r="L50" s="21"/>
      <c r="M50" s="21"/>
      <c r="N50" s="21">
        <v>34.57</v>
      </c>
      <c r="O50" s="21"/>
      <c r="P50" s="21">
        <v>1</v>
      </c>
      <c r="Q50" s="21"/>
      <c r="R50" s="21"/>
      <c r="S50" s="23"/>
      <c r="T50" s="23"/>
      <c r="U50" s="23"/>
      <c r="V50" s="23"/>
      <c r="W50" s="23"/>
      <c r="X50" s="21"/>
      <c r="Y50" s="23"/>
      <c r="Z50" s="23"/>
      <c r="AA50" s="23"/>
      <c r="AB50" s="23"/>
      <c r="AC50" s="23"/>
      <c r="AD50" s="23"/>
      <c r="AE50" s="23"/>
      <c r="AF50" s="24">
        <v>0.35</v>
      </c>
      <c r="AG50" s="25">
        <f t="shared" si="1"/>
        <v>0.25</v>
      </c>
      <c r="AI50" s="9"/>
    </row>
    <row r="51" spans="1:35" ht="11.25" customHeight="1" x14ac:dyDescent="0.3">
      <c r="A51" s="19" t="s">
        <v>226</v>
      </c>
      <c r="B51" s="20" t="s">
        <v>84</v>
      </c>
      <c r="C51" s="20" t="s">
        <v>35</v>
      </c>
      <c r="D51" s="20" t="s">
        <v>202</v>
      </c>
      <c r="E51" s="20">
        <v>21</v>
      </c>
      <c r="F51" s="20" t="s">
        <v>20</v>
      </c>
      <c r="G51" s="20"/>
      <c r="H51" s="21">
        <v>175.5</v>
      </c>
      <c r="I51" s="21"/>
      <c r="J51" s="21"/>
      <c r="K51" s="21"/>
      <c r="L51" s="21"/>
      <c r="M51" s="21"/>
      <c r="N51" s="21">
        <v>74.900000000000006</v>
      </c>
      <c r="O51" s="21">
        <f>72.56+39.54</f>
        <v>112.1</v>
      </c>
      <c r="P51" s="21"/>
      <c r="Q51" s="21"/>
      <c r="R51" s="21"/>
      <c r="S51" s="23"/>
      <c r="T51" s="23">
        <v>1</v>
      </c>
      <c r="U51" s="23">
        <v>1</v>
      </c>
      <c r="V51" s="23"/>
      <c r="W51" s="23"/>
      <c r="X51" s="21"/>
      <c r="Y51" s="23"/>
      <c r="Z51" s="23"/>
      <c r="AA51" s="23"/>
      <c r="AB51" s="23"/>
      <c r="AC51" s="23"/>
      <c r="AD51" s="23"/>
      <c r="AE51" s="23"/>
      <c r="AF51" s="24">
        <v>46.74</v>
      </c>
      <c r="AG51" s="25">
        <f t="shared" si="1"/>
        <v>0.75</v>
      </c>
      <c r="AI51" s="9"/>
    </row>
    <row r="52" spans="1:35" ht="11.25" customHeight="1" x14ac:dyDescent="0.3">
      <c r="A52" s="19" t="s">
        <v>226</v>
      </c>
      <c r="B52" s="20" t="s">
        <v>85</v>
      </c>
      <c r="C52" s="20" t="s">
        <v>36</v>
      </c>
      <c r="D52" s="20" t="s">
        <v>202</v>
      </c>
      <c r="E52" s="20">
        <v>21</v>
      </c>
      <c r="F52" s="20" t="s">
        <v>20</v>
      </c>
      <c r="G52" s="20"/>
      <c r="H52" s="21">
        <f>40.37+13.61</f>
        <v>53.98</v>
      </c>
      <c r="I52" s="21"/>
      <c r="J52" s="21"/>
      <c r="K52" s="21"/>
      <c r="L52" s="21"/>
      <c r="M52" s="21"/>
      <c r="N52" s="21">
        <v>32.520000000000003</v>
      </c>
      <c r="O52" s="21">
        <f>8.77+23.98</f>
        <v>32.75</v>
      </c>
      <c r="P52" s="21"/>
      <c r="Q52" s="21"/>
      <c r="R52" s="21"/>
      <c r="S52" s="23"/>
      <c r="T52" s="23"/>
      <c r="U52" s="23"/>
      <c r="V52" s="23"/>
      <c r="W52" s="23"/>
      <c r="X52" s="21"/>
      <c r="Y52" s="23"/>
      <c r="Z52" s="23"/>
      <c r="AA52" s="23"/>
      <c r="AB52" s="23"/>
      <c r="AC52" s="23"/>
      <c r="AD52" s="23"/>
      <c r="AE52" s="23"/>
      <c r="AF52" s="24">
        <f>0.8+1.15</f>
        <v>1.95</v>
      </c>
      <c r="AG52" s="25">
        <f t="shared" si="1"/>
        <v>0.25</v>
      </c>
      <c r="AI52" s="9"/>
    </row>
    <row r="53" spans="1:35" ht="11.25" customHeight="1" x14ac:dyDescent="0.3">
      <c r="A53" s="19" t="s">
        <v>226</v>
      </c>
      <c r="B53" s="20" t="s">
        <v>227</v>
      </c>
      <c r="C53" s="20" t="s">
        <v>34</v>
      </c>
      <c r="D53" s="20" t="s">
        <v>202</v>
      </c>
      <c r="E53" s="20">
        <v>21</v>
      </c>
      <c r="F53" s="20" t="s">
        <v>20</v>
      </c>
      <c r="G53" s="20"/>
      <c r="H53" s="21">
        <v>76.260000000000005</v>
      </c>
      <c r="I53" s="21">
        <f>6+2.25+2.25</f>
        <v>10.5</v>
      </c>
      <c r="J53" s="21"/>
      <c r="K53" s="21"/>
      <c r="L53" s="21"/>
      <c r="M53" s="21">
        <f>0.5839/9*8/36</f>
        <v>1.4417283950617282E-2</v>
      </c>
      <c r="N53" s="21">
        <v>64.95</v>
      </c>
      <c r="O53" s="21">
        <f>20.21+13.54</f>
        <v>33.75</v>
      </c>
      <c r="P53" s="21"/>
      <c r="Q53" s="21"/>
      <c r="R53" s="21"/>
      <c r="S53" s="23"/>
      <c r="T53" s="23"/>
      <c r="U53" s="23"/>
      <c r="V53" s="23"/>
      <c r="W53" s="23"/>
      <c r="X53" s="21"/>
      <c r="Y53" s="23"/>
      <c r="Z53" s="23"/>
      <c r="AA53" s="23"/>
      <c r="AB53" s="23"/>
      <c r="AC53" s="23"/>
      <c r="AD53" s="23"/>
      <c r="AE53" s="23"/>
      <c r="AF53" s="24">
        <f>0.76+1.69</f>
        <v>2.4500000000000002</v>
      </c>
      <c r="AG53" s="25">
        <f t="shared" si="1"/>
        <v>0.25</v>
      </c>
      <c r="AI53" s="9"/>
    </row>
    <row r="54" spans="1:35" ht="11.25" customHeight="1" x14ac:dyDescent="0.3">
      <c r="A54" s="19"/>
      <c r="B54" s="20"/>
      <c r="C54" s="20"/>
      <c r="D54" s="20"/>
      <c r="E54" s="20"/>
      <c r="F54" s="20"/>
      <c r="G54" s="20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0"/>
      <c r="AF54" s="21"/>
      <c r="AG54" s="25"/>
    </row>
    <row r="55" spans="1:35" ht="11.25" customHeight="1" thickBot="1" x14ac:dyDescent="0.35">
      <c r="A55" s="56" t="s">
        <v>217</v>
      </c>
      <c r="B55" s="57"/>
      <c r="C55" s="57"/>
      <c r="D55" s="58"/>
      <c r="E55" s="33"/>
      <c r="F55" s="33"/>
      <c r="G55" s="33" t="s">
        <v>231</v>
      </c>
      <c r="H55" s="33">
        <f>ROUNDUP(SUM(H6:H53),0)</f>
        <v>2676</v>
      </c>
      <c r="I55" s="33">
        <f>ROUNDUP(SUM(I6:I53),0)</f>
        <v>371</v>
      </c>
      <c r="J55" s="33">
        <f>ROUNDUP(SUM(J6:J53),0)</f>
        <v>1</v>
      </c>
      <c r="K55" s="33">
        <f>ROUNDUP(SUM(K6:K53),0)</f>
        <v>1</v>
      </c>
      <c r="L55" s="33" t="s">
        <v>231</v>
      </c>
      <c r="M55" s="33">
        <f>ROUNDUP(SUM(M6:M53),0)</f>
        <v>2</v>
      </c>
      <c r="N55" s="33">
        <f>ROUNDUP(SUM(N7:N53),0)</f>
        <v>1880</v>
      </c>
      <c r="O55" s="33">
        <f t="shared" ref="O55:AG55" si="2">ROUNDUP(SUM(O6:O53),0)</f>
        <v>1079</v>
      </c>
      <c r="P55" s="33">
        <f t="shared" si="2"/>
        <v>204</v>
      </c>
      <c r="Q55" s="33">
        <f t="shared" si="2"/>
        <v>8</v>
      </c>
      <c r="R55" s="33">
        <f t="shared" si="2"/>
        <v>1</v>
      </c>
      <c r="S55" s="33">
        <f t="shared" si="2"/>
        <v>2</v>
      </c>
      <c r="T55" s="33">
        <f t="shared" si="2"/>
        <v>2</v>
      </c>
      <c r="U55" s="33">
        <f t="shared" si="2"/>
        <v>2</v>
      </c>
      <c r="V55" s="33">
        <f t="shared" si="2"/>
        <v>2</v>
      </c>
      <c r="W55" s="33">
        <f t="shared" si="2"/>
        <v>16</v>
      </c>
      <c r="X55" s="33">
        <f t="shared" si="2"/>
        <v>12</v>
      </c>
      <c r="Y55" s="33">
        <f t="shared" si="2"/>
        <v>2</v>
      </c>
      <c r="Z55" s="33">
        <f t="shared" si="2"/>
        <v>2</v>
      </c>
      <c r="AA55" s="33">
        <f t="shared" si="2"/>
        <v>2</v>
      </c>
      <c r="AB55" s="33">
        <f t="shared" si="2"/>
        <v>2</v>
      </c>
      <c r="AC55" s="33">
        <f t="shared" si="2"/>
        <v>2</v>
      </c>
      <c r="AD55" s="33">
        <f t="shared" si="2"/>
        <v>2</v>
      </c>
      <c r="AE55" s="33">
        <f t="shared" si="2"/>
        <v>1</v>
      </c>
      <c r="AF55" s="33">
        <f t="shared" si="2"/>
        <v>369</v>
      </c>
      <c r="AG55" s="34">
        <f t="shared" si="2"/>
        <v>10</v>
      </c>
    </row>
    <row r="56" spans="1:35" ht="11.25" customHeight="1" x14ac:dyDescent="0.3">
      <c r="A56" s="55" t="s">
        <v>23</v>
      </c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F56" s="3"/>
      <c r="AG56" s="3"/>
    </row>
    <row r="57" spans="1:35" ht="11.25" customHeight="1" x14ac:dyDescent="0.3">
      <c r="A57" s="6"/>
    </row>
  </sheetData>
  <mergeCells count="28">
    <mergeCell ref="H16:AG16"/>
    <mergeCell ref="T1:Y1"/>
    <mergeCell ref="D2:D3"/>
    <mergeCell ref="Q1:R1"/>
    <mergeCell ref="Z1:AD1"/>
    <mergeCell ref="A56:R56"/>
    <mergeCell ref="A55:D55"/>
    <mergeCell ref="AF1:AG1"/>
    <mergeCell ref="A2:A3"/>
    <mergeCell ref="B2:B3"/>
    <mergeCell ref="C2:C3"/>
    <mergeCell ref="E2:E3"/>
    <mergeCell ref="F2:F3"/>
    <mergeCell ref="AF2:AG2"/>
    <mergeCell ref="N1:O1"/>
    <mergeCell ref="H28:AG28"/>
    <mergeCell ref="H29:AG29"/>
    <mergeCell ref="A1:C1"/>
    <mergeCell ref="H1:L1"/>
    <mergeCell ref="H44:AG44"/>
    <mergeCell ref="H17:AG17"/>
    <mergeCell ref="H27:AG27"/>
    <mergeCell ref="H37:AG37"/>
    <mergeCell ref="H30:AG30"/>
    <mergeCell ref="H31:AG31"/>
    <mergeCell ref="H32:AG32"/>
    <mergeCell ref="H34:AG34"/>
    <mergeCell ref="H35:AG35"/>
  </mergeCells>
  <phoneticPr fontId="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343F6-C09A-4CD3-863C-BB9A50C0242D}">
  <dimension ref="A1:V75"/>
  <sheetViews>
    <sheetView zoomScaleNormal="100" workbookViewId="0">
      <pane ySplit="3" topLeftCell="A4" activePane="bottomLeft" state="frozen"/>
      <selection pane="bottomLeft" activeCell="G70" sqref="G70:V70"/>
    </sheetView>
  </sheetViews>
  <sheetFormatPr defaultRowHeight="14.4" x14ac:dyDescent="0.3"/>
  <cols>
    <col min="1" max="1" width="37.44140625" customWidth="1"/>
    <col min="2" max="2" width="6.33203125" bestFit="1" customWidth="1"/>
    <col min="3" max="3" width="4.88671875" bestFit="1" customWidth="1"/>
    <col min="4" max="4" width="7.5546875" bestFit="1" customWidth="1"/>
    <col min="5" max="6" width="6.88671875" bestFit="1" customWidth="1"/>
    <col min="17" max="17" width="15.44140625" customWidth="1"/>
    <col min="18" max="18" width="12.6640625" customWidth="1"/>
  </cols>
  <sheetData>
    <row r="1" spans="1:22" ht="11.25" customHeight="1" x14ac:dyDescent="0.3">
      <c r="A1" s="74" t="s">
        <v>0</v>
      </c>
      <c r="B1" s="75"/>
      <c r="C1" s="59"/>
      <c r="D1" s="10"/>
      <c r="E1" s="10"/>
      <c r="F1" s="10"/>
      <c r="G1" s="72">
        <v>202</v>
      </c>
      <c r="H1" s="73"/>
      <c r="I1" s="73"/>
      <c r="J1" s="10">
        <v>253</v>
      </c>
      <c r="K1" s="59">
        <v>608</v>
      </c>
      <c r="L1" s="59"/>
      <c r="M1" s="59"/>
      <c r="N1" s="59"/>
      <c r="O1" s="10">
        <v>609</v>
      </c>
      <c r="P1" s="45">
        <v>625</v>
      </c>
      <c r="Q1" s="73">
        <v>630</v>
      </c>
      <c r="R1" s="73"/>
      <c r="S1" s="72">
        <v>632</v>
      </c>
      <c r="T1" s="73"/>
      <c r="U1" s="59">
        <v>659</v>
      </c>
      <c r="V1" s="60"/>
    </row>
    <row r="2" spans="1:22" ht="97.5" customHeight="1" x14ac:dyDescent="0.3">
      <c r="A2" s="61" t="s">
        <v>1</v>
      </c>
      <c r="B2" s="63" t="s">
        <v>2</v>
      </c>
      <c r="C2" s="65" t="s">
        <v>3</v>
      </c>
      <c r="D2" s="67" t="s">
        <v>176</v>
      </c>
      <c r="E2" s="67" t="s">
        <v>4</v>
      </c>
      <c r="F2" s="69" t="s">
        <v>5</v>
      </c>
      <c r="G2" s="11" t="s">
        <v>6</v>
      </c>
      <c r="H2" s="11" t="s">
        <v>7</v>
      </c>
      <c r="I2" s="11" t="s">
        <v>8</v>
      </c>
      <c r="J2" s="11" t="s">
        <v>190</v>
      </c>
      <c r="K2" s="11" t="s">
        <v>9</v>
      </c>
      <c r="L2" s="11" t="s">
        <v>27</v>
      </c>
      <c r="M2" s="11" t="s">
        <v>10</v>
      </c>
      <c r="N2" s="11" t="s">
        <v>11</v>
      </c>
      <c r="O2" s="11" t="s">
        <v>12</v>
      </c>
      <c r="P2" s="11" t="s">
        <v>172</v>
      </c>
      <c r="Q2" s="11" t="s">
        <v>174</v>
      </c>
      <c r="R2" s="11" t="s">
        <v>175</v>
      </c>
      <c r="S2" s="11" t="s">
        <v>173</v>
      </c>
      <c r="T2" s="11" t="s">
        <v>193</v>
      </c>
      <c r="U2" s="67" t="s">
        <v>33</v>
      </c>
      <c r="V2" s="71"/>
    </row>
    <row r="3" spans="1:22" ht="11.25" customHeight="1" thickBot="1" x14ac:dyDescent="0.35">
      <c r="A3" s="80"/>
      <c r="B3" s="64"/>
      <c r="C3" s="66"/>
      <c r="D3" s="68"/>
      <c r="E3" s="68"/>
      <c r="F3" s="70"/>
      <c r="G3" s="13" t="s">
        <v>13</v>
      </c>
      <c r="H3" s="13" t="s">
        <v>14</v>
      </c>
      <c r="I3" s="13" t="s">
        <v>15</v>
      </c>
      <c r="J3" s="13" t="s">
        <v>17</v>
      </c>
      <c r="K3" s="13" t="s">
        <v>13</v>
      </c>
      <c r="L3" s="13" t="s">
        <v>13</v>
      </c>
      <c r="M3" s="13" t="s">
        <v>13</v>
      </c>
      <c r="N3" s="13" t="s">
        <v>13</v>
      </c>
      <c r="O3" s="13" t="s">
        <v>14</v>
      </c>
      <c r="P3" s="13" t="s">
        <v>18</v>
      </c>
      <c r="Q3" s="13" t="s">
        <v>18</v>
      </c>
      <c r="R3" s="13" t="s">
        <v>18</v>
      </c>
      <c r="S3" s="13" t="s">
        <v>18</v>
      </c>
      <c r="T3" s="13" t="s">
        <v>18</v>
      </c>
      <c r="U3" s="14" t="s">
        <v>16</v>
      </c>
      <c r="V3" s="15" t="s">
        <v>17</v>
      </c>
    </row>
    <row r="4" spans="1:22" ht="11.25" customHeight="1" thickTop="1" x14ac:dyDescent="0.3">
      <c r="A4" s="8" t="s">
        <v>75</v>
      </c>
      <c r="B4" s="20"/>
      <c r="C4" s="20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6"/>
      <c r="V4" s="18"/>
    </row>
    <row r="5" spans="1:22" ht="11.25" customHeight="1" x14ac:dyDescent="0.3">
      <c r="A5" s="19"/>
      <c r="B5" s="20"/>
      <c r="C5" s="20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6"/>
      <c r="V5" s="18"/>
    </row>
    <row r="6" spans="1:22" ht="11.25" customHeight="1" x14ac:dyDescent="0.3">
      <c r="A6" s="19" t="s">
        <v>76</v>
      </c>
      <c r="B6" s="20" t="s">
        <v>82</v>
      </c>
      <c r="C6" s="20" t="s">
        <v>35</v>
      </c>
      <c r="D6" s="20" t="s">
        <v>178</v>
      </c>
      <c r="E6" s="20">
        <v>21</v>
      </c>
      <c r="F6" s="20" t="s">
        <v>20</v>
      </c>
      <c r="G6" s="21">
        <v>24.4847</v>
      </c>
      <c r="H6" s="21"/>
      <c r="I6" s="21"/>
      <c r="J6" s="21"/>
      <c r="K6" s="21">
        <v>20.742599999999999</v>
      </c>
      <c r="L6" s="21"/>
      <c r="M6" s="21"/>
      <c r="N6" s="20"/>
      <c r="O6" s="21"/>
      <c r="P6" s="21"/>
      <c r="Q6" s="21"/>
      <c r="R6" s="21"/>
      <c r="S6" s="21"/>
      <c r="T6" s="21"/>
      <c r="U6" s="24">
        <f>1.9549+1.9068</f>
        <v>3.8616999999999999</v>
      </c>
      <c r="V6" s="25">
        <f>IF(U6="","", MAX(0.25, MROUND(U6*0.5/27, 0.25)))</f>
        <v>0.25</v>
      </c>
    </row>
    <row r="7" spans="1:22" ht="11.25" customHeight="1" x14ac:dyDescent="0.3">
      <c r="A7" s="19" t="s">
        <v>76</v>
      </c>
      <c r="B7" s="20" t="s">
        <v>83</v>
      </c>
      <c r="C7" s="20" t="s">
        <v>32</v>
      </c>
      <c r="D7" s="20" t="s">
        <v>178</v>
      </c>
      <c r="E7" s="20">
        <v>21</v>
      </c>
      <c r="F7" s="20" t="s">
        <v>20</v>
      </c>
      <c r="G7" s="21">
        <v>27.321300000000001</v>
      </c>
      <c r="H7" s="21"/>
      <c r="I7" s="21"/>
      <c r="J7" s="21"/>
      <c r="K7" s="21">
        <v>24.554400000000001</v>
      </c>
      <c r="L7" s="21"/>
      <c r="M7" s="21"/>
      <c r="N7" s="20"/>
      <c r="O7" s="21"/>
      <c r="P7" s="21"/>
      <c r="Q7" s="21"/>
      <c r="R7" s="21"/>
      <c r="S7" s="21"/>
      <c r="T7" s="21"/>
      <c r="U7" s="24">
        <f>2.2975+0.6576</f>
        <v>2.9550999999999998</v>
      </c>
      <c r="V7" s="25">
        <f>IF(U7="","", MAX(0.25, MROUND(U7*0.5/27, 0.25)))</f>
        <v>0.25</v>
      </c>
    </row>
    <row r="8" spans="1:22" ht="11.25" customHeight="1" x14ac:dyDescent="0.3">
      <c r="A8" s="19" t="s">
        <v>77</v>
      </c>
      <c r="B8" s="20" t="s">
        <v>84</v>
      </c>
      <c r="C8" s="20" t="s">
        <v>170</v>
      </c>
      <c r="D8" s="20" t="s">
        <v>178</v>
      </c>
      <c r="E8" s="20">
        <v>22</v>
      </c>
      <c r="F8" s="20" t="s">
        <v>20</v>
      </c>
      <c r="G8" s="21">
        <v>24.784099999999999</v>
      </c>
      <c r="H8" s="21"/>
      <c r="I8" s="21"/>
      <c r="J8" s="21">
        <f>(0.6093/9)*6/36</f>
        <v>1.1283333333333333E-2</v>
      </c>
      <c r="K8" s="21">
        <v>20.961500000000001</v>
      </c>
      <c r="L8" s="21"/>
      <c r="M8" s="21"/>
      <c r="N8" s="20"/>
      <c r="O8" s="21"/>
      <c r="P8" s="21"/>
      <c r="Q8" s="21"/>
      <c r="R8" s="21"/>
      <c r="S8" s="21"/>
      <c r="T8" s="21"/>
      <c r="U8" s="24">
        <f>1.8421+1.4914</f>
        <v>3.3334999999999999</v>
      </c>
      <c r="V8" s="25">
        <f>IF(U8="","", MAX(0.25, MROUND(U8*0.5/27, 0.25)))</f>
        <v>0.25</v>
      </c>
    </row>
    <row r="9" spans="1:22" ht="11.25" customHeight="1" x14ac:dyDescent="0.3">
      <c r="A9" s="19" t="s">
        <v>77</v>
      </c>
      <c r="B9" s="20" t="s">
        <v>85</v>
      </c>
      <c r="C9" s="20" t="s">
        <v>169</v>
      </c>
      <c r="D9" s="20" t="s">
        <v>178</v>
      </c>
      <c r="E9" s="20">
        <v>22</v>
      </c>
      <c r="F9" s="20" t="s">
        <v>20</v>
      </c>
      <c r="G9" s="21">
        <v>65.830399999999997</v>
      </c>
      <c r="H9" s="21"/>
      <c r="I9" s="21"/>
      <c r="J9" s="21"/>
      <c r="K9" s="21">
        <v>38.706800000000001</v>
      </c>
      <c r="L9" s="21"/>
      <c r="M9" s="21">
        <v>24.054500000000001</v>
      </c>
      <c r="N9" s="20"/>
      <c r="O9" s="21"/>
      <c r="P9" s="21"/>
      <c r="Q9" s="21"/>
      <c r="R9" s="21"/>
      <c r="S9" s="21"/>
      <c r="T9" s="21"/>
      <c r="U9" s="24">
        <f>50.5138+8.4329</f>
        <v>58.946700000000007</v>
      </c>
      <c r="V9" s="25">
        <f>IF(U9="","", MAX(0.25, MROUND(U9*0.5/27, 0.25)))</f>
        <v>1</v>
      </c>
    </row>
    <row r="10" spans="1:22" ht="11.25" customHeight="1" x14ac:dyDescent="0.3">
      <c r="A10" s="19" t="s">
        <v>96</v>
      </c>
      <c r="B10" s="20" t="s">
        <v>86</v>
      </c>
      <c r="C10" s="20" t="s">
        <v>170</v>
      </c>
      <c r="D10" s="20" t="s">
        <v>178</v>
      </c>
      <c r="E10" s="20">
        <v>23</v>
      </c>
      <c r="F10" s="20" t="s">
        <v>20</v>
      </c>
      <c r="G10" s="21">
        <v>43.5959</v>
      </c>
      <c r="H10" s="21"/>
      <c r="I10" s="21"/>
      <c r="J10" s="21"/>
      <c r="K10" s="21">
        <v>29.4541</v>
      </c>
      <c r="L10" s="21"/>
      <c r="M10" s="21">
        <v>15.506600000000001</v>
      </c>
      <c r="N10" s="20"/>
      <c r="O10" s="21"/>
      <c r="P10" s="21"/>
      <c r="Q10" s="21"/>
      <c r="R10" s="21"/>
      <c r="S10" s="21"/>
      <c r="T10" s="21"/>
      <c r="U10" s="24"/>
      <c r="V10" s="25" t="str">
        <f t="shared" ref="V10:V69" si="0">IF(U10="","", MAX(0.25, MROUND(U10*0.5/27, 0.25)))</f>
        <v/>
      </c>
    </row>
    <row r="11" spans="1:22" ht="11.25" customHeight="1" x14ac:dyDescent="0.3">
      <c r="A11" s="19" t="s">
        <v>96</v>
      </c>
      <c r="B11" s="20" t="s">
        <v>87</v>
      </c>
      <c r="C11" s="20" t="s">
        <v>169</v>
      </c>
      <c r="D11" s="20" t="s">
        <v>178</v>
      </c>
      <c r="E11" s="20">
        <v>23</v>
      </c>
      <c r="F11" s="20" t="s">
        <v>20</v>
      </c>
      <c r="G11" s="21">
        <v>36.369500000000002</v>
      </c>
      <c r="H11" s="21"/>
      <c r="I11" s="21"/>
      <c r="J11" s="21"/>
      <c r="K11" s="21">
        <v>27.803799999999999</v>
      </c>
      <c r="L11" s="21"/>
      <c r="M11" s="21">
        <v>9.2287999999999997</v>
      </c>
      <c r="N11" s="20"/>
      <c r="O11" s="21"/>
      <c r="P11" s="21"/>
      <c r="Q11" s="21"/>
      <c r="R11" s="21"/>
      <c r="S11" s="21"/>
      <c r="T11" s="21"/>
      <c r="U11" s="24"/>
      <c r="V11" s="25" t="str">
        <f t="shared" si="0"/>
        <v/>
      </c>
    </row>
    <row r="12" spans="1:22" ht="11.25" customHeight="1" x14ac:dyDescent="0.3">
      <c r="A12" s="19" t="s">
        <v>78</v>
      </c>
      <c r="B12" s="20" t="s">
        <v>88</v>
      </c>
      <c r="C12" s="20" t="s">
        <v>170</v>
      </c>
      <c r="D12" s="20" t="s">
        <v>178</v>
      </c>
      <c r="E12" s="20">
        <v>24</v>
      </c>
      <c r="F12" s="20" t="s">
        <v>20</v>
      </c>
      <c r="G12" s="21">
        <v>41.561999999999998</v>
      </c>
      <c r="H12" s="21"/>
      <c r="I12" s="21"/>
      <c r="J12" s="21"/>
      <c r="K12" s="21">
        <v>32.016800000000003</v>
      </c>
      <c r="L12" s="21"/>
      <c r="M12" s="21">
        <v>12.499499999999999</v>
      </c>
      <c r="N12" s="20"/>
      <c r="O12" s="21"/>
      <c r="P12" s="21"/>
      <c r="Q12" s="21"/>
      <c r="R12" s="21"/>
      <c r="S12" s="21"/>
      <c r="T12" s="21"/>
      <c r="U12" s="24"/>
      <c r="V12" s="25" t="str">
        <f t="shared" si="0"/>
        <v/>
      </c>
    </row>
    <row r="13" spans="1:22" ht="11.25" customHeight="1" x14ac:dyDescent="0.3">
      <c r="A13" s="19" t="s">
        <v>78</v>
      </c>
      <c r="B13" s="20" t="s">
        <v>89</v>
      </c>
      <c r="C13" s="20" t="s">
        <v>169</v>
      </c>
      <c r="D13" s="20" t="s">
        <v>178</v>
      </c>
      <c r="E13" s="20">
        <v>24</v>
      </c>
      <c r="F13" s="20" t="s">
        <v>20</v>
      </c>
      <c r="G13" s="76" t="s">
        <v>192</v>
      </c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8"/>
    </row>
    <row r="14" spans="1:22" ht="11.25" customHeight="1" x14ac:dyDescent="0.3">
      <c r="A14" s="19" t="s">
        <v>81</v>
      </c>
      <c r="B14" s="20" t="s">
        <v>90</v>
      </c>
      <c r="C14" s="20" t="s">
        <v>170</v>
      </c>
      <c r="D14" s="20" t="s">
        <v>178</v>
      </c>
      <c r="E14" s="20">
        <v>25</v>
      </c>
      <c r="F14" s="20" t="s">
        <v>20</v>
      </c>
      <c r="G14" s="21">
        <v>34.240099999999998</v>
      </c>
      <c r="H14" s="21"/>
      <c r="I14" s="21">
        <v>1.8259000000000001</v>
      </c>
      <c r="J14" s="21"/>
      <c r="K14" s="21">
        <v>28.9328</v>
      </c>
      <c r="L14" s="21"/>
      <c r="M14" s="21">
        <v>9.7220999999999993</v>
      </c>
      <c r="N14" s="20"/>
      <c r="O14" s="21"/>
      <c r="P14" s="21"/>
      <c r="Q14" s="21"/>
      <c r="R14" s="21"/>
      <c r="S14" s="21"/>
      <c r="T14" s="21"/>
      <c r="U14" s="24"/>
      <c r="V14" s="25" t="str">
        <f t="shared" si="0"/>
        <v/>
      </c>
    </row>
    <row r="15" spans="1:22" ht="11.25" customHeight="1" x14ac:dyDescent="0.3">
      <c r="A15" s="19" t="s">
        <v>81</v>
      </c>
      <c r="B15" s="20" t="s">
        <v>91</v>
      </c>
      <c r="C15" s="20" t="s">
        <v>169</v>
      </c>
      <c r="D15" s="20" t="s">
        <v>178</v>
      </c>
      <c r="E15" s="20">
        <v>25</v>
      </c>
      <c r="F15" s="20" t="s">
        <v>20</v>
      </c>
      <c r="G15" s="21">
        <v>40.537799999999997</v>
      </c>
      <c r="H15" s="21"/>
      <c r="I15" s="21"/>
      <c r="J15" s="21"/>
      <c r="K15" s="21">
        <v>30.8857</v>
      </c>
      <c r="L15" s="21"/>
      <c r="M15" s="21">
        <v>12.5</v>
      </c>
      <c r="N15" s="20"/>
      <c r="O15" s="21"/>
      <c r="P15" s="21"/>
      <c r="Q15" s="21"/>
      <c r="R15" s="21"/>
      <c r="S15" s="21"/>
      <c r="T15" s="21"/>
      <c r="U15" s="24"/>
      <c r="V15" s="25" t="str">
        <f t="shared" si="0"/>
        <v/>
      </c>
    </row>
    <row r="16" spans="1:22" ht="11.25" customHeight="1" x14ac:dyDescent="0.3">
      <c r="A16" s="19" t="s">
        <v>79</v>
      </c>
      <c r="B16" s="20" t="s">
        <v>92</v>
      </c>
      <c r="C16" s="20" t="s">
        <v>35</v>
      </c>
      <c r="D16" s="20" t="s">
        <v>178</v>
      </c>
      <c r="E16" s="20">
        <v>26</v>
      </c>
      <c r="F16" s="20" t="s">
        <v>20</v>
      </c>
      <c r="G16" s="21">
        <v>150.2046</v>
      </c>
      <c r="H16" s="21"/>
      <c r="I16" s="21"/>
      <c r="J16" s="21"/>
      <c r="K16" s="21">
        <f>4*4+5*4+4*0.5+(5.5*1)*2+1</f>
        <v>50</v>
      </c>
      <c r="L16" s="21"/>
      <c r="M16" s="21">
        <f>10*4+7*4</f>
        <v>68</v>
      </c>
      <c r="N16" s="20"/>
      <c r="O16" s="21"/>
      <c r="P16" s="23"/>
      <c r="Q16" s="23"/>
      <c r="R16" s="23"/>
      <c r="S16" s="23"/>
      <c r="T16" s="23"/>
      <c r="U16" s="24"/>
      <c r="V16" s="25" t="str">
        <f t="shared" si="0"/>
        <v/>
      </c>
    </row>
    <row r="17" spans="1:22" ht="11.25" customHeight="1" x14ac:dyDescent="0.3">
      <c r="A17" s="19" t="s">
        <v>79</v>
      </c>
      <c r="B17" s="20" t="s">
        <v>93</v>
      </c>
      <c r="C17" s="20" t="s">
        <v>36</v>
      </c>
      <c r="D17" s="20" t="s">
        <v>178</v>
      </c>
      <c r="E17" s="20">
        <v>26</v>
      </c>
      <c r="F17" s="20" t="s">
        <v>20</v>
      </c>
      <c r="G17" s="21">
        <v>98</v>
      </c>
      <c r="H17" s="21"/>
      <c r="I17" s="21"/>
      <c r="J17" s="21"/>
      <c r="K17" s="21">
        <v>39.333300000000001</v>
      </c>
      <c r="L17" s="21"/>
      <c r="M17" s="21">
        <v>46</v>
      </c>
      <c r="N17" s="20"/>
      <c r="O17" s="21"/>
      <c r="P17" s="23">
        <v>1</v>
      </c>
      <c r="Q17" s="23"/>
      <c r="R17" s="23"/>
      <c r="S17" s="23">
        <v>1</v>
      </c>
      <c r="T17" s="23">
        <v>1</v>
      </c>
      <c r="U17" s="24">
        <f>0.4215*9</f>
        <v>3.7934999999999999</v>
      </c>
      <c r="V17" s="25">
        <f t="shared" si="0"/>
        <v>0.25</v>
      </c>
    </row>
    <row r="18" spans="1:22" ht="11.25" customHeight="1" x14ac:dyDescent="0.3">
      <c r="A18" s="19" t="s">
        <v>79</v>
      </c>
      <c r="B18" s="20" t="s">
        <v>94</v>
      </c>
      <c r="C18" s="20" t="s">
        <v>32</v>
      </c>
      <c r="D18" s="20" t="s">
        <v>178</v>
      </c>
      <c r="E18" s="20">
        <v>26</v>
      </c>
      <c r="F18" s="20" t="s">
        <v>20</v>
      </c>
      <c r="G18" s="21">
        <v>116.50530000000001</v>
      </c>
      <c r="H18" s="21"/>
      <c r="I18" s="21"/>
      <c r="J18" s="21"/>
      <c r="K18" s="21">
        <v>40.890799999999999</v>
      </c>
      <c r="L18" s="21"/>
      <c r="M18" s="21">
        <f>40.3862+27.4252</f>
        <v>67.811400000000006</v>
      </c>
      <c r="N18" s="20"/>
      <c r="O18" s="21"/>
      <c r="P18" s="23">
        <v>1</v>
      </c>
      <c r="Q18" s="23"/>
      <c r="R18" s="23"/>
      <c r="S18" s="23">
        <v>1</v>
      </c>
      <c r="T18" s="23">
        <v>1</v>
      </c>
      <c r="U18" s="24">
        <v>4</v>
      </c>
      <c r="V18" s="25">
        <f t="shared" si="0"/>
        <v>0.25</v>
      </c>
    </row>
    <row r="19" spans="1:22" ht="11.25" customHeight="1" x14ac:dyDescent="0.3">
      <c r="A19" s="19" t="s">
        <v>80</v>
      </c>
      <c r="B19" s="20" t="s">
        <v>95</v>
      </c>
      <c r="C19" s="20" t="s">
        <v>35</v>
      </c>
      <c r="D19" s="20" t="s">
        <v>178</v>
      </c>
      <c r="E19" s="20">
        <v>27</v>
      </c>
      <c r="F19" s="20" t="s">
        <v>20</v>
      </c>
      <c r="G19" s="21">
        <v>30</v>
      </c>
      <c r="H19" s="21"/>
      <c r="I19" s="21"/>
      <c r="J19" s="21"/>
      <c r="K19" s="21">
        <v>27.083300000000001</v>
      </c>
      <c r="L19" s="21"/>
      <c r="M19" s="21">
        <v>4.0833000000000004</v>
      </c>
      <c r="N19" s="20"/>
      <c r="O19" s="21"/>
      <c r="P19" s="23"/>
      <c r="Q19" s="23"/>
      <c r="R19" s="23"/>
      <c r="S19" s="23"/>
      <c r="T19" s="23"/>
      <c r="U19" s="24"/>
      <c r="V19" s="25" t="str">
        <f t="shared" si="0"/>
        <v/>
      </c>
    </row>
    <row r="20" spans="1:22" ht="11.25" customHeight="1" x14ac:dyDescent="0.3">
      <c r="A20" s="19" t="s">
        <v>80</v>
      </c>
      <c r="B20" s="20" t="s">
        <v>171</v>
      </c>
      <c r="C20" s="20" t="s">
        <v>32</v>
      </c>
      <c r="D20" s="20" t="s">
        <v>178</v>
      </c>
      <c r="E20" s="20">
        <v>27</v>
      </c>
      <c r="F20" s="20" t="s">
        <v>20</v>
      </c>
      <c r="G20" s="21">
        <f>140+4.5</f>
        <v>144.5</v>
      </c>
      <c r="H20" s="21"/>
      <c r="I20" s="21">
        <f>50/9</f>
        <v>5.5555555555555554</v>
      </c>
      <c r="J20" s="21"/>
      <c r="K20" s="21">
        <v>22.5</v>
      </c>
      <c r="L20" s="21"/>
      <c r="M20" s="21">
        <f>127.5+4.5</f>
        <v>132</v>
      </c>
      <c r="N20" s="20"/>
      <c r="O20" s="21">
        <f>30+5.083</f>
        <v>35.082999999999998</v>
      </c>
      <c r="P20" s="23"/>
      <c r="Q20" s="23"/>
      <c r="R20" s="23"/>
      <c r="S20" s="23"/>
      <c r="T20" s="23"/>
      <c r="U20" s="24"/>
      <c r="V20" s="25" t="str">
        <f t="shared" si="0"/>
        <v/>
      </c>
    </row>
    <row r="21" spans="1:22" ht="11.25" customHeight="1" x14ac:dyDescent="0.3">
      <c r="A21" s="19" t="s">
        <v>117</v>
      </c>
      <c r="B21" s="20" t="s">
        <v>119</v>
      </c>
      <c r="C21" s="20" t="s">
        <v>170</v>
      </c>
      <c r="D21" s="20" t="s">
        <v>178</v>
      </c>
      <c r="E21" s="20">
        <v>28</v>
      </c>
      <c r="F21" s="20" t="s">
        <v>20</v>
      </c>
      <c r="G21" s="21">
        <f>5*4.5</f>
        <v>22.5</v>
      </c>
      <c r="H21" s="21"/>
      <c r="I21" s="21"/>
      <c r="J21" s="21"/>
      <c r="K21" s="21">
        <v>23.659400000000002</v>
      </c>
      <c r="L21" s="21"/>
      <c r="M21" s="21"/>
      <c r="N21" s="20"/>
      <c r="O21" s="21"/>
      <c r="P21" s="23"/>
      <c r="Q21" s="23"/>
      <c r="R21" s="23"/>
      <c r="S21" s="23"/>
      <c r="T21" s="23"/>
      <c r="U21" s="24"/>
      <c r="V21" s="25" t="str">
        <f t="shared" si="0"/>
        <v/>
      </c>
    </row>
    <row r="22" spans="1:22" ht="11.25" customHeight="1" x14ac:dyDescent="0.3">
      <c r="A22" s="19" t="s">
        <v>117</v>
      </c>
      <c r="B22" s="20" t="s">
        <v>120</v>
      </c>
      <c r="C22" s="20" t="s">
        <v>169</v>
      </c>
      <c r="D22" s="20" t="s">
        <v>178</v>
      </c>
      <c r="E22" s="20">
        <v>28</v>
      </c>
      <c r="F22" s="20" t="s">
        <v>20</v>
      </c>
      <c r="G22" s="21">
        <v>38.417200000000001</v>
      </c>
      <c r="H22" s="21"/>
      <c r="I22" s="21"/>
      <c r="J22" s="21"/>
      <c r="K22" s="21">
        <v>32.280700000000003</v>
      </c>
      <c r="L22" s="21"/>
      <c r="M22" s="21"/>
      <c r="N22" s="20"/>
      <c r="O22" s="21"/>
      <c r="P22" s="23"/>
      <c r="Q22" s="23"/>
      <c r="R22" s="23"/>
      <c r="S22" s="23"/>
      <c r="T22" s="23"/>
      <c r="U22" s="24">
        <v>8.5299999999999994</v>
      </c>
      <c r="V22" s="25">
        <f t="shared" si="0"/>
        <v>0.25</v>
      </c>
    </row>
    <row r="23" spans="1:22" ht="11.25" customHeight="1" x14ac:dyDescent="0.3">
      <c r="A23" s="19" t="s">
        <v>118</v>
      </c>
      <c r="B23" s="20" t="s">
        <v>121</v>
      </c>
      <c r="C23" s="20" t="s">
        <v>170</v>
      </c>
      <c r="D23" s="20" t="s">
        <v>178</v>
      </c>
      <c r="E23" s="20">
        <v>29</v>
      </c>
      <c r="F23" s="20" t="s">
        <v>20</v>
      </c>
      <c r="G23" s="21">
        <v>48.201500000000003</v>
      </c>
      <c r="H23" s="21"/>
      <c r="I23" s="21"/>
      <c r="J23" s="21">
        <f>7.44/9*6/36</f>
        <v>0.13777777777777778</v>
      </c>
      <c r="K23" s="21">
        <v>41.846699999999998</v>
      </c>
      <c r="L23" s="21"/>
      <c r="M23" s="21"/>
      <c r="N23" s="20"/>
      <c r="O23" s="21"/>
      <c r="P23" s="23"/>
      <c r="Q23" s="23"/>
      <c r="R23" s="23"/>
      <c r="S23" s="23"/>
      <c r="T23" s="23"/>
      <c r="U23" s="24"/>
      <c r="V23" s="25" t="str">
        <f t="shared" si="0"/>
        <v/>
      </c>
    </row>
    <row r="24" spans="1:22" ht="11.25" customHeight="1" x14ac:dyDescent="0.3">
      <c r="A24" s="27" t="s">
        <v>118</v>
      </c>
      <c r="B24" s="28" t="s">
        <v>122</v>
      </c>
      <c r="C24" s="28" t="s">
        <v>169</v>
      </c>
      <c r="D24" s="20" t="s">
        <v>178</v>
      </c>
      <c r="E24" s="28">
        <v>29</v>
      </c>
      <c r="F24" s="28" t="s">
        <v>20</v>
      </c>
      <c r="G24" s="35">
        <v>55</v>
      </c>
      <c r="H24" s="35"/>
      <c r="I24" s="35"/>
      <c r="J24" s="35"/>
      <c r="K24" s="35">
        <v>57.249099999999999</v>
      </c>
      <c r="L24" s="35"/>
      <c r="M24" s="35"/>
      <c r="N24" s="28"/>
      <c r="O24" s="35"/>
      <c r="P24" s="36"/>
      <c r="Q24" s="36"/>
      <c r="R24" s="36"/>
      <c r="S24" s="36"/>
      <c r="T24" s="36"/>
      <c r="U24" s="37"/>
      <c r="V24" s="38" t="str">
        <f t="shared" si="0"/>
        <v/>
      </c>
    </row>
    <row r="25" spans="1:22" x14ac:dyDescent="0.3">
      <c r="A25" s="29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39"/>
      <c r="Q25" s="39"/>
      <c r="R25" s="39"/>
      <c r="S25" s="39"/>
      <c r="T25" s="39"/>
      <c r="U25" s="26"/>
      <c r="V25" s="25" t="str">
        <f t="shared" si="0"/>
        <v/>
      </c>
    </row>
    <row r="26" spans="1:22" ht="11.25" customHeight="1" x14ac:dyDescent="0.3">
      <c r="A26" s="30" t="s">
        <v>98</v>
      </c>
      <c r="B26" s="17" t="s">
        <v>123</v>
      </c>
      <c r="C26" s="17" t="s">
        <v>58</v>
      </c>
      <c r="D26" s="17" t="s">
        <v>178</v>
      </c>
      <c r="E26" s="17">
        <v>30</v>
      </c>
      <c r="F26" s="17" t="s">
        <v>20</v>
      </c>
      <c r="G26" s="40">
        <v>320.71019999999999</v>
      </c>
      <c r="H26" s="40"/>
      <c r="I26" s="40"/>
      <c r="J26" s="40"/>
      <c r="K26" s="40">
        <v>107.495</v>
      </c>
      <c r="L26" s="40"/>
      <c r="M26" s="40">
        <v>36.262</v>
      </c>
      <c r="N26" s="17"/>
      <c r="O26" s="40"/>
      <c r="P26" s="31"/>
      <c r="Q26" s="31"/>
      <c r="R26" s="31"/>
      <c r="S26" s="31"/>
      <c r="T26" s="31"/>
      <c r="U26" s="41">
        <v>176.95</v>
      </c>
      <c r="V26" s="18">
        <f t="shared" si="0"/>
        <v>3.25</v>
      </c>
    </row>
    <row r="27" spans="1:22" ht="11.25" customHeight="1" x14ac:dyDescent="0.3">
      <c r="A27" s="19" t="s">
        <v>98</v>
      </c>
      <c r="B27" s="20" t="s">
        <v>124</v>
      </c>
      <c r="C27" s="20" t="s">
        <v>57</v>
      </c>
      <c r="D27" s="17" t="s">
        <v>178</v>
      </c>
      <c r="E27" s="20">
        <v>30</v>
      </c>
      <c r="F27" s="20" t="s">
        <v>20</v>
      </c>
      <c r="G27" s="21">
        <v>350.92930000000001</v>
      </c>
      <c r="H27" s="21"/>
      <c r="I27" s="21"/>
      <c r="J27" s="21"/>
      <c r="K27" s="21">
        <v>115.2659</v>
      </c>
      <c r="L27" s="21"/>
      <c r="M27" s="21">
        <v>31.262</v>
      </c>
      <c r="N27" s="20"/>
      <c r="O27" s="21"/>
      <c r="P27" s="23"/>
      <c r="Q27" s="23"/>
      <c r="R27" s="23"/>
      <c r="S27" s="23"/>
      <c r="T27" s="23"/>
      <c r="U27" s="24">
        <v>204.4</v>
      </c>
      <c r="V27" s="25">
        <f t="shared" si="0"/>
        <v>3.75</v>
      </c>
    </row>
    <row r="28" spans="1:22" ht="11.25" customHeight="1" x14ac:dyDescent="0.3">
      <c r="A28" s="19" t="s">
        <v>97</v>
      </c>
      <c r="B28" s="20" t="s">
        <v>125</v>
      </c>
      <c r="C28" s="20" t="s">
        <v>170</v>
      </c>
      <c r="D28" s="17" t="s">
        <v>178</v>
      </c>
      <c r="E28" s="20">
        <v>31</v>
      </c>
      <c r="F28" s="20" t="s">
        <v>51</v>
      </c>
      <c r="G28" s="21">
        <v>69.851200000000006</v>
      </c>
      <c r="H28" s="21"/>
      <c r="I28" s="21"/>
      <c r="J28" s="21"/>
      <c r="K28" s="21">
        <v>48.781799999999997</v>
      </c>
      <c r="L28" s="21"/>
      <c r="M28" s="21">
        <v>24</v>
      </c>
      <c r="N28" s="20"/>
      <c r="O28" s="21"/>
      <c r="P28" s="23"/>
      <c r="Q28" s="23"/>
      <c r="R28" s="23"/>
      <c r="S28" s="23"/>
      <c r="T28" s="23"/>
      <c r="U28" s="24"/>
      <c r="V28" s="25" t="str">
        <f t="shared" si="0"/>
        <v/>
      </c>
    </row>
    <row r="29" spans="1:22" ht="11.25" customHeight="1" x14ac:dyDescent="0.3">
      <c r="A29" s="19" t="s">
        <v>97</v>
      </c>
      <c r="B29" s="20" t="s">
        <v>126</v>
      </c>
      <c r="C29" s="20" t="s">
        <v>169</v>
      </c>
      <c r="D29" s="17" t="s">
        <v>178</v>
      </c>
      <c r="E29" s="20">
        <v>31</v>
      </c>
      <c r="F29" s="20" t="s">
        <v>51</v>
      </c>
      <c r="G29" s="21">
        <v>89.355199999999996</v>
      </c>
      <c r="H29" s="21"/>
      <c r="I29" s="21"/>
      <c r="J29" s="21">
        <f>10.1112/9*6/36</f>
        <v>0.18724444444444444</v>
      </c>
      <c r="K29" s="21">
        <v>47.854300000000002</v>
      </c>
      <c r="L29" s="21"/>
      <c r="M29" s="21">
        <v>40</v>
      </c>
      <c r="N29" s="20"/>
      <c r="O29" s="21"/>
      <c r="P29" s="23"/>
      <c r="Q29" s="23"/>
      <c r="R29" s="23"/>
      <c r="S29" s="23"/>
      <c r="T29" s="23"/>
      <c r="U29" s="24"/>
      <c r="V29" s="25" t="str">
        <f t="shared" si="0"/>
        <v/>
      </c>
    </row>
    <row r="30" spans="1:22" ht="11.25" customHeight="1" x14ac:dyDescent="0.3">
      <c r="A30" s="19" t="s">
        <v>99</v>
      </c>
      <c r="B30" s="20" t="s">
        <v>127</v>
      </c>
      <c r="C30" s="20" t="s">
        <v>170</v>
      </c>
      <c r="D30" s="17" t="s">
        <v>178</v>
      </c>
      <c r="E30" s="20">
        <v>32</v>
      </c>
      <c r="F30" s="20" t="s">
        <v>51</v>
      </c>
      <c r="G30" s="21">
        <v>60.772399999999998</v>
      </c>
      <c r="H30" s="21"/>
      <c r="I30" s="21"/>
      <c r="J30" s="21"/>
      <c r="K30" s="21"/>
      <c r="L30" s="21">
        <v>46.408799999999999</v>
      </c>
      <c r="M30" s="21"/>
      <c r="N30" s="21">
        <v>16</v>
      </c>
      <c r="O30" s="21"/>
      <c r="P30" s="23"/>
      <c r="Q30" s="23"/>
      <c r="R30" s="23"/>
      <c r="S30" s="23"/>
      <c r="T30" s="23"/>
      <c r="U30" s="24"/>
      <c r="V30" s="25" t="str">
        <f t="shared" si="0"/>
        <v/>
      </c>
    </row>
    <row r="31" spans="1:22" ht="11.25" customHeight="1" x14ac:dyDescent="0.3">
      <c r="A31" s="19" t="s">
        <v>99</v>
      </c>
      <c r="B31" s="20" t="s">
        <v>128</v>
      </c>
      <c r="C31" s="20" t="s">
        <v>169</v>
      </c>
      <c r="D31" s="17" t="s">
        <v>178</v>
      </c>
      <c r="E31" s="20">
        <v>32</v>
      </c>
      <c r="F31" s="20" t="s">
        <v>51</v>
      </c>
      <c r="G31" s="21">
        <v>92.588800000000006</v>
      </c>
      <c r="H31" s="21"/>
      <c r="I31" s="21"/>
      <c r="J31" s="21"/>
      <c r="K31" s="21"/>
      <c r="L31" s="21">
        <v>54.285299999999999</v>
      </c>
      <c r="M31" s="21"/>
      <c r="N31" s="21">
        <v>40</v>
      </c>
      <c r="O31" s="21"/>
      <c r="P31" s="23"/>
      <c r="Q31" s="23"/>
      <c r="R31" s="23"/>
      <c r="S31" s="23"/>
      <c r="T31" s="23"/>
      <c r="U31" s="24"/>
      <c r="V31" s="25" t="str">
        <f t="shared" si="0"/>
        <v/>
      </c>
    </row>
    <row r="32" spans="1:22" ht="11.25" customHeight="1" x14ac:dyDescent="0.3">
      <c r="A32" s="19" t="s">
        <v>100</v>
      </c>
      <c r="B32" s="20" t="s">
        <v>129</v>
      </c>
      <c r="C32" s="20" t="s">
        <v>35</v>
      </c>
      <c r="D32" s="17" t="s">
        <v>178</v>
      </c>
      <c r="E32" s="20">
        <v>33</v>
      </c>
      <c r="F32" s="20" t="s">
        <v>51</v>
      </c>
      <c r="G32" s="21">
        <v>67.799800000000005</v>
      </c>
      <c r="H32" s="21"/>
      <c r="I32" s="21"/>
      <c r="J32" s="21"/>
      <c r="K32" s="21">
        <v>50.146099999999997</v>
      </c>
      <c r="L32" s="21"/>
      <c r="M32" s="21">
        <v>17.661899999999999</v>
      </c>
      <c r="N32" s="21"/>
      <c r="O32" s="21"/>
      <c r="P32" s="23"/>
      <c r="Q32" s="23"/>
      <c r="R32" s="23"/>
      <c r="S32" s="23"/>
      <c r="T32" s="23"/>
      <c r="U32" s="24"/>
      <c r="V32" s="25" t="str">
        <f t="shared" si="0"/>
        <v/>
      </c>
    </row>
    <row r="33" spans="1:22" ht="11.25" customHeight="1" x14ac:dyDescent="0.3">
      <c r="A33" s="19" t="s">
        <v>100</v>
      </c>
      <c r="B33" s="20" t="s">
        <v>130</v>
      </c>
      <c r="C33" s="20" t="s">
        <v>36</v>
      </c>
      <c r="D33" s="17" t="s">
        <v>178</v>
      </c>
      <c r="E33" s="20">
        <v>33</v>
      </c>
      <c r="F33" s="20" t="s">
        <v>51</v>
      </c>
      <c r="G33" s="21">
        <v>78</v>
      </c>
      <c r="H33" s="21"/>
      <c r="I33" s="21"/>
      <c r="J33" s="21"/>
      <c r="K33" s="21">
        <v>41.332999999999998</v>
      </c>
      <c r="L33" s="21"/>
      <c r="M33" s="21">
        <v>38</v>
      </c>
      <c r="N33" s="20"/>
      <c r="O33" s="21"/>
      <c r="P33" s="23"/>
      <c r="Q33" s="23"/>
      <c r="R33" s="23"/>
      <c r="S33" s="23"/>
      <c r="T33" s="23"/>
      <c r="U33" s="24"/>
      <c r="V33" s="25" t="str">
        <f t="shared" si="0"/>
        <v/>
      </c>
    </row>
    <row r="34" spans="1:22" ht="11.25" customHeight="1" x14ac:dyDescent="0.3">
      <c r="A34" s="19" t="s">
        <v>100</v>
      </c>
      <c r="B34" s="20" t="s">
        <v>131</v>
      </c>
      <c r="C34" s="20" t="s">
        <v>32</v>
      </c>
      <c r="D34" s="17" t="s">
        <v>178</v>
      </c>
      <c r="E34" s="20">
        <v>33</v>
      </c>
      <c r="F34" s="20" t="s">
        <v>20</v>
      </c>
      <c r="G34" s="76" t="s">
        <v>192</v>
      </c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8"/>
    </row>
    <row r="35" spans="1:22" ht="11.25" customHeight="1" x14ac:dyDescent="0.3">
      <c r="A35" s="19" t="s">
        <v>100</v>
      </c>
      <c r="B35" s="20" t="s">
        <v>132</v>
      </c>
      <c r="C35" s="20" t="s">
        <v>34</v>
      </c>
      <c r="D35" s="17" t="s">
        <v>178</v>
      </c>
      <c r="E35" s="20">
        <v>33</v>
      </c>
      <c r="F35" s="20" t="s">
        <v>20</v>
      </c>
      <c r="G35" s="76" t="s">
        <v>192</v>
      </c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8"/>
    </row>
    <row r="36" spans="1:22" ht="11.25" customHeight="1" x14ac:dyDescent="0.3">
      <c r="A36" s="19" t="s">
        <v>104</v>
      </c>
      <c r="B36" s="20" t="s">
        <v>133</v>
      </c>
      <c r="C36" s="20" t="s">
        <v>170</v>
      </c>
      <c r="D36" s="17" t="s">
        <v>178</v>
      </c>
      <c r="E36" s="20">
        <v>34</v>
      </c>
      <c r="F36" s="20" t="s">
        <v>20</v>
      </c>
      <c r="G36" s="21">
        <v>67.5</v>
      </c>
      <c r="H36" s="21">
        <v>9.1669999999999998</v>
      </c>
      <c r="I36" s="21"/>
      <c r="J36" s="21">
        <f>52.47/9*6/36</f>
        <v>0.97166666666666679</v>
      </c>
      <c r="K36" s="21">
        <v>46.577199999999998</v>
      </c>
      <c r="L36" s="21"/>
      <c r="M36" s="21">
        <v>25.416699999999999</v>
      </c>
      <c r="N36" s="20"/>
      <c r="O36" s="21">
        <v>9.1669999999999998</v>
      </c>
      <c r="P36" s="23"/>
      <c r="Q36" s="23"/>
      <c r="R36" s="23"/>
      <c r="S36" s="23"/>
      <c r="T36" s="23"/>
      <c r="U36" s="24"/>
      <c r="V36" s="25" t="str">
        <f t="shared" si="0"/>
        <v/>
      </c>
    </row>
    <row r="37" spans="1:22" ht="11.25" customHeight="1" x14ac:dyDescent="0.3">
      <c r="A37" s="19" t="s">
        <v>104</v>
      </c>
      <c r="B37" s="20" t="s">
        <v>134</v>
      </c>
      <c r="C37" s="20" t="s">
        <v>169</v>
      </c>
      <c r="D37" s="17" t="s">
        <v>178</v>
      </c>
      <c r="E37" s="20">
        <v>34</v>
      </c>
      <c r="F37" s="20" t="s">
        <v>20</v>
      </c>
      <c r="G37" s="21">
        <v>66.131900000000002</v>
      </c>
      <c r="H37" s="21">
        <v>9.1669999999999998</v>
      </c>
      <c r="I37" s="21"/>
      <c r="J37" s="21"/>
      <c r="K37" s="21">
        <v>49.989800000000002</v>
      </c>
      <c r="L37" s="21"/>
      <c r="M37" s="21">
        <v>20.333300000000001</v>
      </c>
      <c r="N37" s="20"/>
      <c r="O37" s="21">
        <v>9.1669999999999998</v>
      </c>
      <c r="P37" s="23"/>
      <c r="Q37" s="23"/>
      <c r="R37" s="23"/>
      <c r="S37" s="23"/>
      <c r="T37" s="23"/>
      <c r="U37" s="24"/>
      <c r="V37" s="25" t="str">
        <f t="shared" si="0"/>
        <v/>
      </c>
    </row>
    <row r="38" spans="1:22" ht="11.25" customHeight="1" x14ac:dyDescent="0.3">
      <c r="A38" s="19" t="s">
        <v>101</v>
      </c>
      <c r="B38" s="20" t="s">
        <v>135</v>
      </c>
      <c r="C38" s="20" t="s">
        <v>170</v>
      </c>
      <c r="D38" s="17" t="s">
        <v>178</v>
      </c>
      <c r="E38" s="20">
        <v>35</v>
      </c>
      <c r="F38" s="20" t="s">
        <v>20</v>
      </c>
      <c r="G38" s="21">
        <v>67.5</v>
      </c>
      <c r="H38" s="21"/>
      <c r="I38" s="21"/>
      <c r="J38" s="21"/>
      <c r="K38" s="21"/>
      <c r="L38" s="21">
        <v>54</v>
      </c>
      <c r="M38" s="21"/>
      <c r="N38" s="21">
        <v>15</v>
      </c>
      <c r="O38" s="21"/>
      <c r="P38" s="23"/>
      <c r="Q38" s="23"/>
      <c r="R38" s="23"/>
      <c r="S38" s="23"/>
      <c r="T38" s="23"/>
      <c r="U38" s="24"/>
      <c r="V38" s="25" t="str">
        <f t="shared" si="0"/>
        <v/>
      </c>
    </row>
    <row r="39" spans="1:22" ht="11.25" customHeight="1" x14ac:dyDescent="0.3">
      <c r="A39" s="19" t="s">
        <v>101</v>
      </c>
      <c r="B39" s="20" t="s">
        <v>136</v>
      </c>
      <c r="C39" s="20" t="s">
        <v>169</v>
      </c>
      <c r="D39" s="17" t="s">
        <v>178</v>
      </c>
      <c r="E39" s="20">
        <v>35</v>
      </c>
      <c r="F39" s="20" t="s">
        <v>20</v>
      </c>
      <c r="G39" s="21">
        <v>67.5</v>
      </c>
      <c r="H39" s="21"/>
      <c r="I39" s="21"/>
      <c r="J39" s="21"/>
      <c r="K39" s="21"/>
      <c r="L39" s="21">
        <v>54</v>
      </c>
      <c r="M39" s="21"/>
      <c r="N39" s="21">
        <v>15</v>
      </c>
      <c r="O39" s="21"/>
      <c r="P39" s="23"/>
      <c r="Q39" s="23"/>
      <c r="R39" s="23"/>
      <c r="S39" s="23"/>
      <c r="T39" s="23"/>
      <c r="U39" s="24"/>
      <c r="V39" s="25" t="str">
        <f t="shared" si="0"/>
        <v/>
      </c>
    </row>
    <row r="40" spans="1:22" ht="11.25" customHeight="1" x14ac:dyDescent="0.3">
      <c r="A40" s="19" t="s">
        <v>102</v>
      </c>
      <c r="B40" s="20" t="s">
        <v>137</v>
      </c>
      <c r="C40" s="20" t="s">
        <v>170</v>
      </c>
      <c r="D40" s="17" t="s">
        <v>178</v>
      </c>
      <c r="E40" s="20">
        <v>36</v>
      </c>
      <c r="F40" s="20" t="s">
        <v>51</v>
      </c>
      <c r="G40" s="21">
        <v>111.4696</v>
      </c>
      <c r="H40" s="21"/>
      <c r="I40" s="21">
        <f>1.9689/9</f>
        <v>0.21876666666666666</v>
      </c>
      <c r="J40" s="21"/>
      <c r="K40" s="21">
        <v>51.2697</v>
      </c>
      <c r="L40" s="21"/>
      <c r="M40" s="21">
        <v>44</v>
      </c>
      <c r="N40" s="21"/>
      <c r="O40" s="21">
        <f>1.2872*2</f>
        <v>2.5743999999999998</v>
      </c>
      <c r="P40" s="23"/>
      <c r="Q40" s="23"/>
      <c r="R40" s="23"/>
      <c r="S40" s="23"/>
      <c r="T40" s="23"/>
      <c r="U40" s="24">
        <v>19.8</v>
      </c>
      <c r="V40" s="25">
        <f t="shared" si="0"/>
        <v>0.25</v>
      </c>
    </row>
    <row r="41" spans="1:22" ht="11.25" customHeight="1" x14ac:dyDescent="0.3">
      <c r="A41" s="19" t="s">
        <v>102</v>
      </c>
      <c r="B41" s="20" t="s">
        <v>138</v>
      </c>
      <c r="C41" s="20" t="s">
        <v>169</v>
      </c>
      <c r="D41" s="17" t="s">
        <v>178</v>
      </c>
      <c r="E41" s="20">
        <v>36</v>
      </c>
      <c r="F41" s="20" t="s">
        <v>51</v>
      </c>
      <c r="G41" s="21">
        <v>110.8455</v>
      </c>
      <c r="H41" s="21">
        <f>7.5+1+6</f>
        <v>14.5</v>
      </c>
      <c r="I41" s="21"/>
      <c r="J41" s="21">
        <f>5.2812/9*6/36</f>
        <v>9.7799999999999998E-2</v>
      </c>
      <c r="K41" s="21">
        <v>74.881699999999995</v>
      </c>
      <c r="L41" s="21"/>
      <c r="M41" s="21">
        <v>36</v>
      </c>
      <c r="N41" s="21"/>
      <c r="O41" s="21">
        <v>7.5</v>
      </c>
      <c r="P41" s="23"/>
      <c r="Q41" s="23"/>
      <c r="R41" s="23"/>
      <c r="S41" s="23"/>
      <c r="T41" s="23"/>
      <c r="U41" s="24"/>
      <c r="V41" s="25" t="str">
        <f t="shared" si="0"/>
        <v/>
      </c>
    </row>
    <row r="42" spans="1:22" ht="11.25" customHeight="1" x14ac:dyDescent="0.3">
      <c r="A42" s="19" t="s">
        <v>103</v>
      </c>
      <c r="B42" s="20" t="s">
        <v>139</v>
      </c>
      <c r="C42" s="20" t="s">
        <v>170</v>
      </c>
      <c r="D42" s="17" t="s">
        <v>178</v>
      </c>
      <c r="E42" s="20">
        <v>37</v>
      </c>
      <c r="F42" s="20" t="s">
        <v>51</v>
      </c>
      <c r="G42" s="46">
        <f>39.6516+12.0037</f>
        <v>51.655300000000004</v>
      </c>
      <c r="H42" s="21">
        <f>8.5+2.75+4.5+5+1+4</f>
        <v>25.75</v>
      </c>
      <c r="I42" s="21">
        <f>38.3096/9</f>
        <v>4.256622222222223</v>
      </c>
      <c r="J42" s="21"/>
      <c r="K42" s="21">
        <v>43.789299999999997</v>
      </c>
      <c r="L42" s="21"/>
      <c r="M42" s="21"/>
      <c r="N42" s="21"/>
      <c r="O42" s="21">
        <f>8.5+5+2.75+4.5</f>
        <v>20.75</v>
      </c>
      <c r="P42" s="23"/>
      <c r="Q42" s="23"/>
      <c r="R42" s="23"/>
      <c r="S42" s="23"/>
      <c r="T42" s="23"/>
      <c r="U42" s="24">
        <v>52.2</v>
      </c>
      <c r="V42" s="25">
        <f t="shared" si="0"/>
        <v>1</v>
      </c>
    </row>
    <row r="43" spans="1:22" ht="11.25" customHeight="1" x14ac:dyDescent="0.3">
      <c r="A43" s="19" t="s">
        <v>103</v>
      </c>
      <c r="B43" s="20" t="s">
        <v>140</v>
      </c>
      <c r="C43" s="20" t="s">
        <v>169</v>
      </c>
      <c r="D43" s="17" t="s">
        <v>178</v>
      </c>
      <c r="E43" s="20">
        <v>37</v>
      </c>
      <c r="F43" s="20" t="s">
        <v>51</v>
      </c>
      <c r="G43" s="21">
        <v>237.2619</v>
      </c>
      <c r="H43" s="21">
        <f>5.18+1+4+1+1+10+10</f>
        <v>32.18</v>
      </c>
      <c r="I43" s="21">
        <f>0.3194/9</f>
        <v>3.5488888888888889E-2</v>
      </c>
      <c r="J43" s="21"/>
      <c r="K43" s="21">
        <v>130.25120000000001</v>
      </c>
      <c r="L43" s="21"/>
      <c r="M43" s="21">
        <v>105</v>
      </c>
      <c r="N43" s="21"/>
      <c r="O43" s="21">
        <f>1+5.18+10+10</f>
        <v>26.18</v>
      </c>
      <c r="P43" s="23"/>
      <c r="Q43" s="23"/>
      <c r="R43" s="23"/>
      <c r="S43" s="23"/>
      <c r="T43" s="23"/>
      <c r="U43" s="24"/>
      <c r="V43" s="25" t="str">
        <f t="shared" si="0"/>
        <v/>
      </c>
    </row>
    <row r="44" spans="1:22" ht="11.25" customHeight="1" x14ac:dyDescent="0.3">
      <c r="A44" s="19" t="s">
        <v>105</v>
      </c>
      <c r="B44" s="20" t="s">
        <v>141</v>
      </c>
      <c r="C44" s="20" t="s">
        <v>170</v>
      </c>
      <c r="D44" s="17" t="s">
        <v>178</v>
      </c>
      <c r="E44" s="20">
        <v>38</v>
      </c>
      <c r="F44" s="20" t="s">
        <v>20</v>
      </c>
      <c r="G44" s="21">
        <v>40</v>
      </c>
      <c r="H44" s="21">
        <f>4.833+1+4</f>
        <v>9.8330000000000002</v>
      </c>
      <c r="I44" s="21">
        <f>18.2401/9</f>
        <v>2.026677777777778</v>
      </c>
      <c r="J44" s="21"/>
      <c r="K44" s="21">
        <v>40.140999999999998</v>
      </c>
      <c r="L44" s="21"/>
      <c r="M44" s="21">
        <v>16</v>
      </c>
      <c r="N44" s="21"/>
      <c r="O44" s="21">
        <v>4.8330000000000002</v>
      </c>
      <c r="P44" s="23"/>
      <c r="Q44" s="23"/>
      <c r="R44" s="23"/>
      <c r="S44" s="23"/>
      <c r="T44" s="23"/>
      <c r="U44" s="24">
        <v>1.5336000000000001</v>
      </c>
      <c r="V44" s="25">
        <f t="shared" si="0"/>
        <v>0.25</v>
      </c>
    </row>
    <row r="45" spans="1:22" ht="11.25" customHeight="1" x14ac:dyDescent="0.3">
      <c r="A45" s="19" t="s">
        <v>105</v>
      </c>
      <c r="B45" s="20" t="s">
        <v>142</v>
      </c>
      <c r="C45" s="20" t="s">
        <v>169</v>
      </c>
      <c r="D45" s="17" t="s">
        <v>178</v>
      </c>
      <c r="E45" s="20">
        <v>38</v>
      </c>
      <c r="F45" s="20" t="s">
        <v>20</v>
      </c>
      <c r="G45" s="21">
        <v>44</v>
      </c>
      <c r="H45" s="21">
        <f>5.42+1+4</f>
        <v>10.42</v>
      </c>
      <c r="I45" s="21">
        <f>6/9</f>
        <v>0.66666666666666663</v>
      </c>
      <c r="J45" s="21"/>
      <c r="K45" s="21">
        <v>37.048999999999999</v>
      </c>
      <c r="L45" s="21"/>
      <c r="M45" s="21">
        <v>16</v>
      </c>
      <c r="N45" s="21"/>
      <c r="O45" s="21">
        <f>5.42</f>
        <v>5.42</v>
      </c>
      <c r="P45" s="23"/>
      <c r="Q45" s="23"/>
      <c r="R45" s="23"/>
      <c r="S45" s="23"/>
      <c r="T45" s="23"/>
      <c r="U45" s="24"/>
      <c r="V45" s="25" t="str">
        <f t="shared" si="0"/>
        <v/>
      </c>
    </row>
    <row r="46" spans="1:22" ht="11.25" customHeight="1" x14ac:dyDescent="0.3">
      <c r="A46" s="19" t="s">
        <v>106</v>
      </c>
      <c r="B46" s="20" t="s">
        <v>143</v>
      </c>
      <c r="C46" s="20" t="s">
        <v>35</v>
      </c>
      <c r="D46" s="17" t="s">
        <v>178</v>
      </c>
      <c r="E46" s="20">
        <v>39</v>
      </c>
      <c r="F46" s="20" t="s">
        <v>20</v>
      </c>
      <c r="G46" s="21">
        <v>112.75</v>
      </c>
      <c r="H46" s="21">
        <f>10+2.5+1+4+0.417</f>
        <v>17.917000000000002</v>
      </c>
      <c r="I46" s="21">
        <f>2.3745/9</f>
        <v>0.26383333333333331</v>
      </c>
      <c r="J46" s="21">
        <v>0.02</v>
      </c>
      <c r="K46" s="21">
        <v>35.128300000000003</v>
      </c>
      <c r="L46" s="21"/>
      <c r="M46" s="21">
        <f>44.5+31.5</f>
        <v>76</v>
      </c>
      <c r="N46" s="21"/>
      <c r="O46" s="21">
        <f>0.417+2.5+10</f>
        <v>12.917</v>
      </c>
      <c r="P46" s="23"/>
      <c r="Q46" s="23"/>
      <c r="R46" s="23"/>
      <c r="S46" s="23"/>
      <c r="T46" s="23"/>
      <c r="U46" s="24"/>
      <c r="V46" s="25" t="str">
        <f t="shared" si="0"/>
        <v/>
      </c>
    </row>
    <row r="47" spans="1:22" ht="11.25" customHeight="1" x14ac:dyDescent="0.3">
      <c r="A47" s="19" t="s">
        <v>106</v>
      </c>
      <c r="B47" s="20" t="s">
        <v>144</v>
      </c>
      <c r="C47" s="20" t="s">
        <v>36</v>
      </c>
      <c r="D47" s="17" t="s">
        <v>178</v>
      </c>
      <c r="E47" s="20">
        <v>39</v>
      </c>
      <c r="F47" s="20" t="s">
        <v>20</v>
      </c>
      <c r="G47" s="21">
        <v>204.18299999999999</v>
      </c>
      <c r="H47" s="21">
        <f>3+5+4+1+1+4+5+3.667+6.39</f>
        <v>33.057000000000002</v>
      </c>
      <c r="I47" s="21"/>
      <c r="J47" s="43"/>
      <c r="K47" s="21">
        <v>91.633600000000001</v>
      </c>
      <c r="L47" s="21"/>
      <c r="M47" s="21">
        <f>53.8622+51.9102</f>
        <v>105.7724</v>
      </c>
      <c r="N47" s="21"/>
      <c r="O47" s="21">
        <f>3+6.39+3.667</f>
        <v>13.057</v>
      </c>
      <c r="P47" s="44"/>
      <c r="Q47" s="44"/>
      <c r="R47" s="44"/>
      <c r="S47" s="44"/>
      <c r="T47" s="44"/>
      <c r="U47" s="43"/>
      <c r="V47" s="25" t="str">
        <f t="shared" si="0"/>
        <v/>
      </c>
    </row>
    <row r="48" spans="1:22" ht="11.25" customHeight="1" x14ac:dyDescent="0.3">
      <c r="A48" s="19" t="s">
        <v>106</v>
      </c>
      <c r="B48" s="20" t="s">
        <v>145</v>
      </c>
      <c r="C48" s="20" t="s">
        <v>32</v>
      </c>
      <c r="D48" s="17" t="s">
        <v>178</v>
      </c>
      <c r="E48" s="20">
        <v>39</v>
      </c>
      <c r="F48" s="20" t="s">
        <v>51</v>
      </c>
      <c r="G48" s="21">
        <v>36.916699999999999</v>
      </c>
      <c r="H48" s="21"/>
      <c r="I48" s="21"/>
      <c r="J48" s="43"/>
      <c r="K48" s="21">
        <v>36.916699999999999</v>
      </c>
      <c r="L48" s="21"/>
      <c r="M48" s="21"/>
      <c r="N48" s="21"/>
      <c r="O48" s="21"/>
      <c r="P48" s="44"/>
      <c r="Q48" s="44"/>
      <c r="R48" s="44"/>
      <c r="S48" s="44"/>
      <c r="T48" s="44"/>
      <c r="U48" s="43"/>
      <c r="V48" s="25" t="str">
        <f t="shared" si="0"/>
        <v/>
      </c>
    </row>
    <row r="49" spans="1:22" ht="11.25" customHeight="1" x14ac:dyDescent="0.3">
      <c r="A49" s="19" t="s">
        <v>106</v>
      </c>
      <c r="B49" s="20" t="s">
        <v>146</v>
      </c>
      <c r="C49" s="20" t="s">
        <v>34</v>
      </c>
      <c r="D49" s="17" t="s">
        <v>178</v>
      </c>
      <c r="E49" s="20">
        <v>39</v>
      </c>
      <c r="F49" s="20" t="s">
        <v>20</v>
      </c>
      <c r="G49" s="21">
        <v>24</v>
      </c>
      <c r="H49" s="21"/>
      <c r="I49" s="21"/>
      <c r="J49" s="21"/>
      <c r="K49" s="21">
        <v>24</v>
      </c>
      <c r="L49" s="21"/>
      <c r="M49" s="21"/>
      <c r="N49" s="21"/>
      <c r="O49" s="21"/>
      <c r="P49" s="23"/>
      <c r="Q49" s="23"/>
      <c r="R49" s="23"/>
      <c r="S49" s="23"/>
      <c r="T49" s="23"/>
      <c r="U49" s="24"/>
      <c r="V49" s="25" t="str">
        <f t="shared" si="0"/>
        <v/>
      </c>
    </row>
    <row r="50" spans="1:22" ht="11.25" customHeight="1" x14ac:dyDescent="0.3">
      <c r="A50" s="19" t="s">
        <v>107</v>
      </c>
      <c r="B50" s="20" t="s">
        <v>147</v>
      </c>
      <c r="C50" s="20" t="s">
        <v>170</v>
      </c>
      <c r="D50" s="17" t="s">
        <v>178</v>
      </c>
      <c r="E50" s="20">
        <v>40</v>
      </c>
      <c r="F50" s="20" t="s">
        <v>20</v>
      </c>
      <c r="G50" s="21">
        <v>258.28879999999998</v>
      </c>
      <c r="H50" s="21">
        <f>0.5+2+2+4+11.583</f>
        <v>20.082999999999998</v>
      </c>
      <c r="I50" s="21"/>
      <c r="J50" s="21"/>
      <c r="K50" s="21">
        <v>75.17</v>
      </c>
      <c r="L50" s="21"/>
      <c r="M50" s="21">
        <v>172.99850000000001</v>
      </c>
      <c r="N50" s="21"/>
      <c r="O50" s="21">
        <f>0.5+2+2+4+11.583</f>
        <v>20.082999999999998</v>
      </c>
      <c r="P50" s="23"/>
      <c r="Q50" s="23"/>
      <c r="R50" s="23"/>
      <c r="S50" s="23"/>
      <c r="T50" s="23"/>
      <c r="U50" s="24"/>
      <c r="V50" s="25" t="str">
        <f t="shared" si="0"/>
        <v/>
      </c>
    </row>
    <row r="51" spans="1:22" ht="11.25" customHeight="1" x14ac:dyDescent="0.3">
      <c r="A51" s="19" t="s">
        <v>107</v>
      </c>
      <c r="B51" s="20" t="s">
        <v>148</v>
      </c>
      <c r="C51" s="20" t="s">
        <v>169</v>
      </c>
      <c r="D51" s="17" t="s">
        <v>178</v>
      </c>
      <c r="E51" s="20">
        <v>40</v>
      </c>
      <c r="F51" s="20" t="s">
        <v>51</v>
      </c>
      <c r="G51" s="21">
        <v>207</v>
      </c>
      <c r="H51" s="21">
        <f>9+9+0.5</f>
        <v>18.5</v>
      </c>
      <c r="I51" s="21"/>
      <c r="J51" s="21"/>
      <c r="K51" s="21">
        <v>103.5</v>
      </c>
      <c r="L51" s="21"/>
      <c r="M51" s="21">
        <v>103.5</v>
      </c>
      <c r="N51" s="21"/>
      <c r="O51" s="21">
        <f>9+9+0.5</f>
        <v>18.5</v>
      </c>
      <c r="P51" s="23"/>
      <c r="Q51" s="23"/>
      <c r="R51" s="23"/>
      <c r="S51" s="23"/>
      <c r="T51" s="23"/>
      <c r="U51" s="24"/>
      <c r="V51" s="25" t="str">
        <f t="shared" si="0"/>
        <v/>
      </c>
    </row>
    <row r="52" spans="1:22" ht="11.25" customHeight="1" x14ac:dyDescent="0.3">
      <c r="A52" s="19" t="s">
        <v>108</v>
      </c>
      <c r="B52" s="20" t="s">
        <v>149</v>
      </c>
      <c r="C52" s="20" t="s">
        <v>170</v>
      </c>
      <c r="D52" s="17" t="s">
        <v>178</v>
      </c>
      <c r="E52" s="20">
        <v>41</v>
      </c>
      <c r="F52" s="20" t="s">
        <v>20</v>
      </c>
      <c r="G52" s="21">
        <v>401.01459999999997</v>
      </c>
      <c r="H52" s="21">
        <f>4+4+4.5+4+1</f>
        <v>17.5</v>
      </c>
      <c r="I52" s="21"/>
      <c r="J52" s="21">
        <f>46.69/9*8/36</f>
        <v>1.1528395061728396</v>
      </c>
      <c r="K52" s="21">
        <v>175.47470000000001</v>
      </c>
      <c r="L52" s="21"/>
      <c r="M52" s="21">
        <f>91.7677+87.079</f>
        <v>178.8467</v>
      </c>
      <c r="N52" s="21"/>
      <c r="O52" s="21"/>
      <c r="P52" s="23"/>
      <c r="Q52" s="23"/>
      <c r="R52" s="23"/>
      <c r="S52" s="23"/>
      <c r="T52" s="23"/>
      <c r="U52" s="24"/>
      <c r="V52" s="25" t="str">
        <f t="shared" si="0"/>
        <v/>
      </c>
    </row>
    <row r="53" spans="1:22" ht="11.25" customHeight="1" x14ac:dyDescent="0.3">
      <c r="A53" s="19" t="s">
        <v>108</v>
      </c>
      <c r="B53" s="20" t="s">
        <v>150</v>
      </c>
      <c r="C53" s="20" t="s">
        <v>169</v>
      </c>
      <c r="D53" s="17" t="s">
        <v>178</v>
      </c>
      <c r="E53" s="20">
        <v>41</v>
      </c>
      <c r="F53" s="20" t="s">
        <v>20</v>
      </c>
      <c r="G53" s="21">
        <v>25</v>
      </c>
      <c r="H53" s="21"/>
      <c r="I53" s="21">
        <f>5*5/9</f>
        <v>2.7777777777777777</v>
      </c>
      <c r="J53" s="21">
        <f>5*4/9*8/36</f>
        <v>0.49382716049382719</v>
      </c>
      <c r="K53" s="21"/>
      <c r="L53" s="21">
        <v>25</v>
      </c>
      <c r="M53" s="21"/>
      <c r="N53" s="21"/>
      <c r="O53" s="21"/>
      <c r="P53" s="23"/>
      <c r="Q53" s="23"/>
      <c r="R53" s="23"/>
      <c r="S53" s="23"/>
      <c r="T53" s="23"/>
      <c r="U53" s="24"/>
      <c r="V53" s="25" t="str">
        <f t="shared" si="0"/>
        <v/>
      </c>
    </row>
    <row r="54" spans="1:22" ht="11.25" customHeight="1" x14ac:dyDescent="0.3">
      <c r="A54" s="19" t="s">
        <v>109</v>
      </c>
      <c r="B54" s="20" t="s">
        <v>151</v>
      </c>
      <c r="C54" s="20" t="s">
        <v>170</v>
      </c>
      <c r="D54" s="17" t="s">
        <v>178</v>
      </c>
      <c r="E54" s="20">
        <v>42</v>
      </c>
      <c r="F54" s="20" t="s">
        <v>20</v>
      </c>
      <c r="G54" s="21">
        <v>409.92840000000001</v>
      </c>
      <c r="H54" s="21">
        <v>9</v>
      </c>
      <c r="I54" s="21">
        <f>(4.2158+3.2373+1.1764)/9</f>
        <v>0.9588333333333332</v>
      </c>
      <c r="J54" s="21"/>
      <c r="K54" s="21">
        <f>40.333+5.083/2+(5*50.83/2)+6.5*7.5+8.5*5+2*5+(2.583*5/2)+10.5/2+13.583/2</f>
        <v>289.69849999999997</v>
      </c>
      <c r="L54" s="21"/>
      <c r="M54" s="21">
        <v>177.74639999999999</v>
      </c>
      <c r="N54" s="21"/>
      <c r="O54" s="21">
        <f>9+4.583+10.417+1</f>
        <v>25</v>
      </c>
      <c r="P54" s="23"/>
      <c r="Q54" s="23"/>
      <c r="R54" s="23"/>
      <c r="S54" s="23"/>
      <c r="T54" s="23"/>
      <c r="U54" s="24">
        <v>4.0130999999999997</v>
      </c>
      <c r="V54" s="25">
        <f t="shared" si="0"/>
        <v>0.25</v>
      </c>
    </row>
    <row r="55" spans="1:22" ht="11.25" customHeight="1" x14ac:dyDescent="0.3">
      <c r="A55" s="19" t="s">
        <v>109</v>
      </c>
      <c r="B55" s="20" t="s">
        <v>152</v>
      </c>
      <c r="C55" s="20" t="s">
        <v>169</v>
      </c>
      <c r="D55" s="17" t="s">
        <v>178</v>
      </c>
      <c r="E55" s="20">
        <v>42</v>
      </c>
      <c r="F55" s="20" t="s">
        <v>20</v>
      </c>
      <c r="G55" s="21">
        <v>32.5</v>
      </c>
      <c r="H55" s="21"/>
      <c r="I55" s="21">
        <f>(20+0.75)/9</f>
        <v>2.3055555555555554</v>
      </c>
      <c r="J55" s="21"/>
      <c r="K55" s="21"/>
      <c r="L55" s="21">
        <v>34</v>
      </c>
      <c r="M55" s="21"/>
      <c r="N55" s="21">
        <v>20</v>
      </c>
      <c r="O55" s="21"/>
      <c r="P55" s="23"/>
      <c r="Q55" s="23"/>
      <c r="R55" s="23"/>
      <c r="S55" s="23"/>
      <c r="T55" s="23"/>
      <c r="U55" s="24"/>
      <c r="V55" s="25" t="str">
        <f t="shared" si="0"/>
        <v/>
      </c>
    </row>
    <row r="56" spans="1:22" ht="11.25" customHeight="1" x14ac:dyDescent="0.3">
      <c r="A56" s="19" t="s">
        <v>110</v>
      </c>
      <c r="B56" s="20" t="s">
        <v>153</v>
      </c>
      <c r="C56" s="20" t="s">
        <v>58</v>
      </c>
      <c r="D56" s="17" t="s">
        <v>178</v>
      </c>
      <c r="E56" s="20">
        <v>43</v>
      </c>
      <c r="F56" s="20" t="s">
        <v>20</v>
      </c>
      <c r="G56" s="21">
        <v>165.66</v>
      </c>
      <c r="H56" s="21"/>
      <c r="I56" s="21"/>
      <c r="J56" s="21"/>
      <c r="K56" s="21">
        <v>128.2698</v>
      </c>
      <c r="L56" s="21"/>
      <c r="M56" s="21">
        <v>40</v>
      </c>
      <c r="N56" s="20"/>
      <c r="O56" s="21"/>
      <c r="P56" s="23"/>
      <c r="Q56" s="23"/>
      <c r="R56" s="23"/>
      <c r="S56" s="23"/>
      <c r="T56" s="23"/>
      <c r="U56" s="24"/>
      <c r="V56" s="25" t="str">
        <f t="shared" si="0"/>
        <v/>
      </c>
    </row>
    <row r="57" spans="1:22" ht="11.25" customHeight="1" x14ac:dyDescent="0.3">
      <c r="A57" s="19" t="s">
        <v>110</v>
      </c>
      <c r="B57" s="20" t="s">
        <v>154</v>
      </c>
      <c r="C57" s="20" t="s">
        <v>57</v>
      </c>
      <c r="D57" s="17" t="s">
        <v>178</v>
      </c>
      <c r="E57" s="20">
        <v>43</v>
      </c>
      <c r="F57" s="20" t="s">
        <v>20</v>
      </c>
      <c r="G57" s="21">
        <v>173.29859999999999</v>
      </c>
      <c r="H57" s="21"/>
      <c r="I57" s="21"/>
      <c r="J57" s="21"/>
      <c r="K57" s="21">
        <v>135.8415</v>
      </c>
      <c r="L57" s="21"/>
      <c r="M57" s="21">
        <v>40</v>
      </c>
      <c r="N57" s="20"/>
      <c r="O57" s="21"/>
      <c r="P57" s="23"/>
      <c r="Q57" s="23"/>
      <c r="R57" s="23"/>
      <c r="S57" s="23"/>
      <c r="T57" s="23"/>
      <c r="U57" s="24"/>
      <c r="V57" s="25" t="str">
        <f t="shared" si="0"/>
        <v/>
      </c>
    </row>
    <row r="58" spans="1:22" ht="11.25" customHeight="1" x14ac:dyDescent="0.3">
      <c r="A58" s="19" t="s">
        <v>111</v>
      </c>
      <c r="B58" s="20" t="s">
        <v>155</v>
      </c>
      <c r="C58" s="20" t="s">
        <v>170</v>
      </c>
      <c r="D58" s="17" t="s">
        <v>178</v>
      </c>
      <c r="E58" s="20">
        <v>44</v>
      </c>
      <c r="F58" s="20" t="s">
        <v>20</v>
      </c>
      <c r="G58" s="21">
        <v>94.775400000000005</v>
      </c>
      <c r="H58" s="21"/>
      <c r="I58" s="21"/>
      <c r="J58" s="21">
        <f>(6.583*2.75)/9*6/36</f>
        <v>0.33524537037037039</v>
      </c>
      <c r="K58" s="21"/>
      <c r="L58" s="21">
        <v>56.396700000000003</v>
      </c>
      <c r="M58" s="21"/>
      <c r="N58" s="21">
        <f>74.8036+6.8526</f>
        <v>81.656199999999998</v>
      </c>
      <c r="O58" s="21">
        <f>17.3814+18.3027+4</f>
        <v>39.684100000000001</v>
      </c>
      <c r="P58" s="23"/>
      <c r="Q58" s="23"/>
      <c r="R58" s="23"/>
      <c r="S58" s="23"/>
      <c r="T58" s="23"/>
      <c r="U58" s="24">
        <v>22.5153</v>
      </c>
      <c r="V58" s="25">
        <f t="shared" si="0"/>
        <v>0.5</v>
      </c>
    </row>
    <row r="59" spans="1:22" ht="11.25" customHeight="1" x14ac:dyDescent="0.3">
      <c r="A59" s="19" t="s">
        <v>111</v>
      </c>
      <c r="B59" s="20" t="s">
        <v>156</v>
      </c>
      <c r="C59" s="20" t="s">
        <v>169</v>
      </c>
      <c r="D59" s="17" t="s">
        <v>178</v>
      </c>
      <c r="E59" s="20">
        <v>44</v>
      </c>
      <c r="F59" s="20" t="s">
        <v>20</v>
      </c>
      <c r="G59" s="21"/>
      <c r="H59" s="21"/>
      <c r="I59" s="21"/>
      <c r="J59" s="21"/>
      <c r="K59" s="21">
        <v>58.5334</v>
      </c>
      <c r="L59" s="21"/>
      <c r="M59" s="21"/>
      <c r="N59" s="20"/>
      <c r="O59" s="21"/>
      <c r="P59" s="23"/>
      <c r="Q59" s="23">
        <v>4</v>
      </c>
      <c r="R59" s="23">
        <v>2</v>
      </c>
      <c r="S59" s="23"/>
      <c r="T59" s="23"/>
      <c r="U59" s="24"/>
      <c r="V59" s="25" t="str">
        <f t="shared" si="0"/>
        <v/>
      </c>
    </row>
    <row r="60" spans="1:22" ht="11.25" customHeight="1" x14ac:dyDescent="0.3">
      <c r="A60" s="19" t="s">
        <v>112</v>
      </c>
      <c r="B60" s="20" t="s">
        <v>157</v>
      </c>
      <c r="C60" s="20" t="s">
        <v>58</v>
      </c>
      <c r="D60" s="17" t="s">
        <v>178</v>
      </c>
      <c r="E60" s="20">
        <v>45</v>
      </c>
      <c r="F60" s="20" t="s">
        <v>51</v>
      </c>
      <c r="G60" s="21">
        <v>90.089699999999993</v>
      </c>
      <c r="H60" s="21"/>
      <c r="I60" s="21">
        <f>8.5351/9</f>
        <v>0.94834444444444443</v>
      </c>
      <c r="J60" s="21"/>
      <c r="K60" s="21">
        <v>61.618200000000002</v>
      </c>
      <c r="L60" s="21"/>
      <c r="M60" s="21">
        <f>8.925+30</f>
        <v>38.924999999999997</v>
      </c>
      <c r="N60" s="20"/>
      <c r="O60" s="21"/>
      <c r="P60" s="23"/>
      <c r="Q60" s="23"/>
      <c r="R60" s="23"/>
      <c r="S60" s="23"/>
      <c r="T60" s="23"/>
      <c r="U60" s="24"/>
      <c r="V60" s="25" t="str">
        <f t="shared" si="0"/>
        <v/>
      </c>
    </row>
    <row r="61" spans="1:22" ht="11.25" customHeight="1" x14ac:dyDescent="0.3">
      <c r="A61" s="19" t="s">
        <v>112</v>
      </c>
      <c r="B61" s="20" t="s">
        <v>158</v>
      </c>
      <c r="C61" s="20" t="s">
        <v>57</v>
      </c>
      <c r="D61" s="17" t="s">
        <v>178</v>
      </c>
      <c r="E61" s="20">
        <v>45</v>
      </c>
      <c r="F61" s="20" t="s">
        <v>51</v>
      </c>
      <c r="G61" s="21">
        <v>221.35679999999999</v>
      </c>
      <c r="H61" s="21"/>
      <c r="I61" s="21"/>
      <c r="J61" s="21">
        <f>(16.06/9)*6/36</f>
        <v>0.29740740740740734</v>
      </c>
      <c r="K61" s="21">
        <v>60.506799999999998</v>
      </c>
      <c r="L61" s="21"/>
      <c r="M61" s="21">
        <f>29.997+28</f>
        <v>57.997</v>
      </c>
      <c r="N61" s="20"/>
      <c r="O61" s="21">
        <f>14+4.417+3.75</f>
        <v>22.167000000000002</v>
      </c>
      <c r="P61" s="23"/>
      <c r="Q61" s="23"/>
      <c r="R61" s="23"/>
      <c r="S61" s="23"/>
      <c r="T61" s="23"/>
      <c r="U61" s="24">
        <f>30.4398+50.778</f>
        <v>81.217799999999997</v>
      </c>
      <c r="V61" s="25">
        <f t="shared" si="0"/>
        <v>1.5</v>
      </c>
    </row>
    <row r="62" spans="1:22" ht="11.25" customHeight="1" x14ac:dyDescent="0.3">
      <c r="A62" s="19" t="s">
        <v>113</v>
      </c>
      <c r="B62" s="20" t="s">
        <v>159</v>
      </c>
      <c r="C62" s="20" t="s">
        <v>58</v>
      </c>
      <c r="D62" s="17" t="s">
        <v>178</v>
      </c>
      <c r="E62" s="20">
        <v>46</v>
      </c>
      <c r="F62" s="20" t="s">
        <v>20</v>
      </c>
      <c r="G62" s="21"/>
      <c r="H62" s="21"/>
      <c r="I62" s="21"/>
      <c r="J62" s="21"/>
      <c r="K62" s="21">
        <v>41.534399999999998</v>
      </c>
      <c r="L62" s="21"/>
      <c r="M62" s="21"/>
      <c r="N62" s="20"/>
      <c r="O62" s="21"/>
      <c r="P62" s="23"/>
      <c r="Q62" s="23"/>
      <c r="R62" s="23"/>
      <c r="S62" s="23"/>
      <c r="T62" s="23"/>
      <c r="U62" s="24"/>
      <c r="V62" s="25" t="str">
        <f t="shared" si="0"/>
        <v/>
      </c>
    </row>
    <row r="63" spans="1:22" ht="11.25" customHeight="1" x14ac:dyDescent="0.3">
      <c r="A63" s="19" t="s">
        <v>113</v>
      </c>
      <c r="B63" s="20" t="s">
        <v>160</v>
      </c>
      <c r="C63" s="20" t="s">
        <v>57</v>
      </c>
      <c r="D63" s="17" t="s">
        <v>178</v>
      </c>
      <c r="E63" s="20">
        <v>46</v>
      </c>
      <c r="F63" s="20" t="s">
        <v>20</v>
      </c>
      <c r="G63" s="21">
        <v>39.5</v>
      </c>
      <c r="H63" s="21"/>
      <c r="I63" s="21"/>
      <c r="J63" s="21"/>
      <c r="K63" s="21">
        <v>43.741599999999998</v>
      </c>
      <c r="L63" s="21"/>
      <c r="M63" s="21">
        <v>7.8331999999999997</v>
      </c>
      <c r="N63" s="20"/>
      <c r="O63" s="21">
        <v>1</v>
      </c>
      <c r="P63" s="23"/>
      <c r="Q63" s="23"/>
      <c r="R63" s="23"/>
      <c r="S63" s="23"/>
      <c r="T63" s="23"/>
      <c r="U63" s="24"/>
      <c r="V63" s="25" t="str">
        <f t="shared" si="0"/>
        <v/>
      </c>
    </row>
    <row r="64" spans="1:22" ht="11.25" customHeight="1" x14ac:dyDescent="0.3">
      <c r="A64" s="19" t="s">
        <v>194</v>
      </c>
      <c r="B64" s="20" t="s">
        <v>161</v>
      </c>
      <c r="C64" s="20" t="s">
        <v>58</v>
      </c>
      <c r="D64" s="17" t="s">
        <v>178</v>
      </c>
      <c r="E64" s="20">
        <v>47</v>
      </c>
      <c r="F64" s="20" t="s">
        <v>51</v>
      </c>
      <c r="G64" s="21">
        <v>59.843800000000002</v>
      </c>
      <c r="H64" s="21"/>
      <c r="I64" s="21"/>
      <c r="J64" s="21"/>
      <c r="K64" s="21">
        <v>45.5807</v>
      </c>
      <c r="L64" s="21"/>
      <c r="M64" s="21">
        <v>16</v>
      </c>
      <c r="N64" s="20"/>
      <c r="O64" s="21"/>
      <c r="P64" s="23"/>
      <c r="Q64" s="23"/>
      <c r="R64" s="23"/>
      <c r="S64" s="23"/>
      <c r="T64" s="23"/>
      <c r="U64" s="24"/>
      <c r="V64" s="25" t="str">
        <f>IF(U64="","", MAX(0.25, MROUND(U64*0.5/27, 0.25)))</f>
        <v/>
      </c>
    </row>
    <row r="65" spans="1:22" ht="11.25" customHeight="1" x14ac:dyDescent="0.3">
      <c r="A65" s="19" t="s">
        <v>194</v>
      </c>
      <c r="B65" s="20" t="s">
        <v>162</v>
      </c>
      <c r="C65" s="20" t="s">
        <v>57</v>
      </c>
      <c r="D65" s="17" t="s">
        <v>178</v>
      </c>
      <c r="E65" s="20">
        <v>47</v>
      </c>
      <c r="F65" s="20" t="s">
        <v>51</v>
      </c>
      <c r="G65" s="21">
        <v>52.635199999999998</v>
      </c>
      <c r="H65" s="21"/>
      <c r="I65" s="21"/>
      <c r="J65" s="21"/>
      <c r="K65" s="21">
        <v>46.312800000000003</v>
      </c>
      <c r="L65" s="21"/>
      <c r="M65" s="21">
        <v>8</v>
      </c>
      <c r="N65" s="20"/>
      <c r="O65" s="21"/>
      <c r="P65" s="23"/>
      <c r="Q65" s="23"/>
      <c r="R65" s="23"/>
      <c r="S65" s="23"/>
      <c r="T65" s="23"/>
      <c r="U65" s="24"/>
      <c r="V65" s="25" t="str">
        <f>IF(U65="","", MAX(0.25, MROUND(U65*0.5/27, 0.25)))</f>
        <v/>
      </c>
    </row>
    <row r="66" spans="1:22" ht="11.25" customHeight="1" x14ac:dyDescent="0.3">
      <c r="A66" s="19" t="s">
        <v>114</v>
      </c>
      <c r="B66" s="20" t="s">
        <v>163</v>
      </c>
      <c r="C66" s="20" t="s">
        <v>58</v>
      </c>
      <c r="D66" s="17" t="s">
        <v>178</v>
      </c>
      <c r="E66" s="20">
        <v>47</v>
      </c>
      <c r="F66" s="20" t="s">
        <v>20</v>
      </c>
      <c r="G66" s="76" t="s">
        <v>192</v>
      </c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8"/>
    </row>
    <row r="67" spans="1:22" ht="11.25" customHeight="1" x14ac:dyDescent="0.3">
      <c r="A67" s="19" t="s">
        <v>114</v>
      </c>
      <c r="B67" s="20" t="s">
        <v>164</v>
      </c>
      <c r="C67" s="20" t="s">
        <v>57</v>
      </c>
      <c r="D67" s="17" t="s">
        <v>178</v>
      </c>
      <c r="E67" s="20">
        <v>47</v>
      </c>
      <c r="F67" s="20" t="s">
        <v>20</v>
      </c>
      <c r="G67" s="76" t="s">
        <v>192</v>
      </c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8"/>
    </row>
    <row r="68" spans="1:22" ht="11.25" customHeight="1" x14ac:dyDescent="0.3">
      <c r="A68" s="19" t="s">
        <v>115</v>
      </c>
      <c r="B68" s="20" t="s">
        <v>165</v>
      </c>
      <c r="C68" s="20" t="s">
        <v>58</v>
      </c>
      <c r="D68" s="17" t="s">
        <v>178</v>
      </c>
      <c r="E68" s="20">
        <v>48</v>
      </c>
      <c r="F68" s="20" t="s">
        <v>20</v>
      </c>
      <c r="G68" s="76" t="s">
        <v>192</v>
      </c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  <c r="V68" s="78"/>
    </row>
    <row r="69" spans="1:22" ht="11.25" customHeight="1" x14ac:dyDescent="0.3">
      <c r="A69" s="19" t="s">
        <v>115</v>
      </c>
      <c r="B69" s="20" t="s">
        <v>166</v>
      </c>
      <c r="C69" s="20" t="s">
        <v>57</v>
      </c>
      <c r="D69" s="17" t="s">
        <v>178</v>
      </c>
      <c r="E69" s="20">
        <v>48</v>
      </c>
      <c r="F69" s="20" t="s">
        <v>51</v>
      </c>
      <c r="G69" s="21">
        <v>81.597999999999999</v>
      </c>
      <c r="H69" s="21"/>
      <c r="I69" s="21"/>
      <c r="J69" s="21"/>
      <c r="K69" s="21">
        <v>38.566800000000001</v>
      </c>
      <c r="L69" s="21"/>
      <c r="M69" s="21">
        <v>47.918399999999998</v>
      </c>
      <c r="N69" s="20"/>
      <c r="O69" s="21"/>
      <c r="P69" s="23"/>
      <c r="Q69" s="23"/>
      <c r="R69" s="23"/>
      <c r="S69" s="23"/>
      <c r="T69" s="23"/>
      <c r="U69" s="24"/>
      <c r="V69" s="25" t="str">
        <f t="shared" si="0"/>
        <v/>
      </c>
    </row>
    <row r="70" spans="1:22" ht="11.25" customHeight="1" x14ac:dyDescent="0.3">
      <c r="A70" s="19" t="s">
        <v>116</v>
      </c>
      <c r="B70" s="20" t="s">
        <v>167</v>
      </c>
      <c r="C70" s="20" t="s">
        <v>170</v>
      </c>
      <c r="D70" s="17" t="s">
        <v>178</v>
      </c>
      <c r="E70" s="20">
        <v>49</v>
      </c>
      <c r="F70" s="20" t="s">
        <v>51</v>
      </c>
      <c r="G70" s="52" t="s">
        <v>192</v>
      </c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4"/>
    </row>
    <row r="71" spans="1:22" ht="11.25" customHeight="1" x14ac:dyDescent="0.3">
      <c r="A71" s="19" t="s">
        <v>116</v>
      </c>
      <c r="B71" s="20" t="s">
        <v>168</v>
      </c>
      <c r="C71" s="20" t="s">
        <v>169</v>
      </c>
      <c r="D71" s="17" t="s">
        <v>178</v>
      </c>
      <c r="E71" s="20">
        <v>49</v>
      </c>
      <c r="F71" s="20" t="s">
        <v>51</v>
      </c>
      <c r="G71" s="52" t="s">
        <v>192</v>
      </c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4"/>
    </row>
    <row r="72" spans="1:22" ht="11.25" customHeight="1" x14ac:dyDescent="0.3">
      <c r="A72" s="19"/>
      <c r="B72" s="20"/>
      <c r="C72" s="32"/>
      <c r="D72" s="32"/>
      <c r="E72" s="20"/>
      <c r="F72" s="20"/>
      <c r="G72" s="21"/>
      <c r="H72" s="21"/>
      <c r="I72" s="21"/>
      <c r="J72" s="21"/>
      <c r="K72" s="21"/>
      <c r="L72" s="21"/>
      <c r="M72" s="21"/>
      <c r="N72" s="20"/>
      <c r="O72" s="21"/>
      <c r="P72" s="21"/>
      <c r="Q72" s="21"/>
      <c r="R72" s="21"/>
      <c r="S72" s="21"/>
      <c r="T72" s="21"/>
      <c r="U72" s="21"/>
      <c r="V72" s="25"/>
    </row>
    <row r="73" spans="1:22" ht="11.25" customHeight="1" thickBot="1" x14ac:dyDescent="0.35">
      <c r="A73" s="56" t="s">
        <v>179</v>
      </c>
      <c r="B73" s="57"/>
      <c r="C73" s="57"/>
      <c r="D73" s="58"/>
      <c r="E73" s="33"/>
      <c r="F73" s="33"/>
      <c r="G73" s="33">
        <f t="shared" ref="G73:P73" si="1">ROUNDUP(SUM(G6:G71),0)</f>
        <v>5727</v>
      </c>
      <c r="H73" s="33">
        <f t="shared" si="1"/>
        <v>228</v>
      </c>
      <c r="I73" s="33">
        <f t="shared" si="1"/>
        <v>22</v>
      </c>
      <c r="J73" s="33">
        <f t="shared" si="1"/>
        <v>4</v>
      </c>
      <c r="K73" s="33">
        <f t="shared" si="1"/>
        <v>2966</v>
      </c>
      <c r="L73" s="33">
        <f t="shared" si="1"/>
        <v>325</v>
      </c>
      <c r="M73" s="33">
        <f t="shared" si="1"/>
        <v>1923</v>
      </c>
      <c r="N73" s="33">
        <f t="shared" si="1"/>
        <v>188</v>
      </c>
      <c r="O73" s="33">
        <f t="shared" si="1"/>
        <v>274</v>
      </c>
      <c r="P73" s="33">
        <f t="shared" si="1"/>
        <v>2</v>
      </c>
      <c r="Q73" s="33">
        <f t="shared" ref="Q73:T73" si="2">ROUNDUP(SUM(Q6:Q71),0)</f>
        <v>4</v>
      </c>
      <c r="R73" s="33">
        <f t="shared" si="2"/>
        <v>2</v>
      </c>
      <c r="S73" s="33">
        <f t="shared" si="2"/>
        <v>2</v>
      </c>
      <c r="T73" s="33">
        <f t="shared" si="2"/>
        <v>2</v>
      </c>
      <c r="U73" s="33">
        <f t="shared" ref="U73:V73" si="3">ROUNDUP(SUM(U6:U71),0)</f>
        <v>649</v>
      </c>
      <c r="V73" s="34">
        <f t="shared" si="3"/>
        <v>14</v>
      </c>
    </row>
    <row r="74" spans="1:22" ht="11.25" customHeight="1" x14ac:dyDescent="0.3">
      <c r="A74" s="79" t="s">
        <v>23</v>
      </c>
      <c r="B74" s="79"/>
      <c r="C74" s="79"/>
      <c r="D74" s="79"/>
      <c r="E74" s="79"/>
      <c r="F74" s="79"/>
      <c r="G74" s="79"/>
      <c r="H74" s="79"/>
      <c r="I74" s="79"/>
      <c r="J74" s="6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</row>
    <row r="75" spans="1:22" ht="11.25" customHeight="1" x14ac:dyDescent="0.3"/>
  </sheetData>
  <mergeCells count="23">
    <mergeCell ref="A1:C1"/>
    <mergeCell ref="C2:C3"/>
    <mergeCell ref="E2:E3"/>
    <mergeCell ref="F2:F3"/>
    <mergeCell ref="A2:A3"/>
    <mergeCell ref="B2:B3"/>
    <mergeCell ref="A74:I74"/>
    <mergeCell ref="G13:V13"/>
    <mergeCell ref="G34:V34"/>
    <mergeCell ref="G35:V35"/>
    <mergeCell ref="U2:V2"/>
    <mergeCell ref="A73:D73"/>
    <mergeCell ref="G70:V70"/>
    <mergeCell ref="G71:V71"/>
    <mergeCell ref="G1:I1"/>
    <mergeCell ref="D2:D3"/>
    <mergeCell ref="G66:V66"/>
    <mergeCell ref="G67:V67"/>
    <mergeCell ref="G68:V68"/>
    <mergeCell ref="U1:V1"/>
    <mergeCell ref="K1:N1"/>
    <mergeCell ref="Q1:R1"/>
    <mergeCell ref="S1:T1"/>
  </mergeCells>
  <phoneticPr fontId="1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CA9ED-A604-48B6-849B-698EDB666810}">
  <dimension ref="A1:K4"/>
  <sheetViews>
    <sheetView workbookViewId="0">
      <selection activeCell="K11" sqref="K11"/>
    </sheetView>
  </sheetViews>
  <sheetFormatPr defaultRowHeight="11.25" customHeight="1" x14ac:dyDescent="0.3"/>
  <sheetData>
    <row r="1" spans="1:11" ht="11.25" customHeight="1" x14ac:dyDescent="0.3">
      <c r="A1" s="82" t="s">
        <v>0</v>
      </c>
      <c r="B1" s="83"/>
      <c r="C1" s="84"/>
      <c r="D1" s="1"/>
      <c r="E1" s="81">
        <v>611</v>
      </c>
      <c r="F1" s="81"/>
    </row>
    <row r="2" spans="1:11" ht="97.5" customHeight="1" x14ac:dyDescent="0.3">
      <c r="A2" s="85" t="s">
        <v>1</v>
      </c>
      <c r="B2" s="87" t="s">
        <v>2</v>
      </c>
      <c r="C2" s="89" t="s">
        <v>3</v>
      </c>
      <c r="D2" s="91" t="s">
        <v>4</v>
      </c>
      <c r="E2" s="2" t="s">
        <v>28</v>
      </c>
      <c r="F2" s="2" t="s">
        <v>26</v>
      </c>
    </row>
    <row r="3" spans="1:11" ht="11.25" customHeight="1" thickBot="1" x14ac:dyDescent="0.35">
      <c r="A3" s="86"/>
      <c r="B3" s="88"/>
      <c r="C3" s="90"/>
      <c r="D3" s="92"/>
      <c r="E3" s="4" t="s">
        <v>18</v>
      </c>
      <c r="F3" s="4" t="s">
        <v>18</v>
      </c>
    </row>
    <row r="4" spans="1:11" ht="11.25" customHeight="1" thickTop="1" x14ac:dyDescent="0.3">
      <c r="K4" s="5" t="s">
        <v>30</v>
      </c>
    </row>
  </sheetData>
  <mergeCells count="6">
    <mergeCell ref="E1:F1"/>
    <mergeCell ref="A1:C1"/>
    <mergeCell ref="A2:A3"/>
    <mergeCell ref="B2:B3"/>
    <mergeCell ref="C2:C3"/>
    <mergeCell ref="D2:D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ABCAC-1906-4EF6-AEEC-B70C82459082}">
  <dimension ref="A1:AM10"/>
  <sheetViews>
    <sheetView workbookViewId="0">
      <selection activeCell="AL8" sqref="AL8"/>
    </sheetView>
  </sheetViews>
  <sheetFormatPr defaultRowHeight="14.4" x14ac:dyDescent="0.3"/>
  <cols>
    <col min="3" max="3" width="11" customWidth="1"/>
    <col min="23" max="23" width="15.109375" customWidth="1"/>
    <col min="24" max="24" width="12.88671875" customWidth="1"/>
    <col min="25" max="25" width="11.5546875" customWidth="1"/>
    <col min="28" max="28" width="18.5546875" customWidth="1"/>
    <col min="31" max="31" width="11.6640625" customWidth="1"/>
    <col min="35" max="35" width="11.6640625" customWidth="1"/>
    <col min="36" max="36" width="11.44140625" customWidth="1"/>
  </cols>
  <sheetData>
    <row r="1" spans="1:39" ht="24" thickBot="1" x14ac:dyDescent="0.35">
      <c r="A1" s="104" t="s">
        <v>200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6"/>
    </row>
    <row r="2" spans="1:39" ht="11.25" customHeight="1" x14ac:dyDescent="0.3">
      <c r="A2" s="74"/>
      <c r="B2" s="75"/>
      <c r="C2" s="59"/>
      <c r="D2" s="10"/>
      <c r="E2" s="72">
        <v>202</v>
      </c>
      <c r="F2" s="73"/>
      <c r="G2" s="73"/>
      <c r="H2" s="73"/>
      <c r="I2" s="75"/>
      <c r="J2" s="10">
        <v>253</v>
      </c>
      <c r="K2" s="10">
        <v>304</v>
      </c>
      <c r="L2" s="72">
        <v>608</v>
      </c>
      <c r="M2" s="73"/>
      <c r="N2" s="73"/>
      <c r="O2" s="73"/>
      <c r="P2" s="72">
        <v>609</v>
      </c>
      <c r="Q2" s="73"/>
      <c r="R2" s="75"/>
      <c r="S2" s="42">
        <v>611</v>
      </c>
      <c r="T2" s="72">
        <v>625</v>
      </c>
      <c r="U2" s="73"/>
      <c r="V2" s="75"/>
      <c r="W2" s="72">
        <v>630</v>
      </c>
      <c r="X2" s="73"/>
      <c r="Y2" s="73"/>
      <c r="Z2" s="73"/>
      <c r="AA2" s="73"/>
      <c r="AB2" s="75"/>
      <c r="AC2" s="72">
        <v>632</v>
      </c>
      <c r="AD2" s="73"/>
      <c r="AE2" s="73"/>
      <c r="AF2" s="73"/>
      <c r="AG2" s="73"/>
      <c r="AH2" s="73"/>
      <c r="AI2" s="73"/>
      <c r="AJ2" s="75"/>
      <c r="AK2" s="10">
        <v>638</v>
      </c>
      <c r="AL2" s="59">
        <v>659</v>
      </c>
      <c r="AM2" s="60"/>
    </row>
    <row r="3" spans="1:39" ht="97.5" customHeight="1" x14ac:dyDescent="0.3">
      <c r="A3" s="98"/>
      <c r="B3" s="99"/>
      <c r="C3" s="100"/>
      <c r="D3" s="67" t="s">
        <v>176</v>
      </c>
      <c r="E3" s="11" t="s">
        <v>6</v>
      </c>
      <c r="F3" s="11" t="s">
        <v>7</v>
      </c>
      <c r="G3" s="11" t="s">
        <v>187</v>
      </c>
      <c r="H3" s="11" t="s">
        <v>8</v>
      </c>
      <c r="I3" s="11" t="s">
        <v>188</v>
      </c>
      <c r="J3" s="11" t="s">
        <v>190</v>
      </c>
      <c r="K3" s="11" t="s">
        <v>180</v>
      </c>
      <c r="L3" s="11" t="s">
        <v>9</v>
      </c>
      <c r="M3" s="11" t="s">
        <v>27</v>
      </c>
      <c r="N3" s="11" t="s">
        <v>10</v>
      </c>
      <c r="O3" s="11" t="s">
        <v>11</v>
      </c>
      <c r="P3" s="11" t="s">
        <v>50</v>
      </c>
      <c r="Q3" s="11" t="s">
        <v>12</v>
      </c>
      <c r="R3" s="12" t="s">
        <v>21</v>
      </c>
      <c r="S3" s="12" t="s">
        <v>52</v>
      </c>
      <c r="T3" s="11" t="s">
        <v>22</v>
      </c>
      <c r="U3" s="11" t="s">
        <v>29</v>
      </c>
      <c r="V3" s="11" t="s">
        <v>172</v>
      </c>
      <c r="W3" s="11" t="s">
        <v>174</v>
      </c>
      <c r="X3" s="11" t="s">
        <v>175</v>
      </c>
      <c r="Y3" s="11" t="s">
        <v>191</v>
      </c>
      <c r="Z3" s="11" t="s">
        <v>24</v>
      </c>
      <c r="AA3" s="11" t="s">
        <v>184</v>
      </c>
      <c r="AB3" s="11" t="s">
        <v>199</v>
      </c>
      <c r="AC3" s="11" t="s">
        <v>173</v>
      </c>
      <c r="AD3" s="11" t="s">
        <v>181</v>
      </c>
      <c r="AE3" s="11" t="s">
        <v>189</v>
      </c>
      <c r="AF3" s="11" t="s">
        <v>182</v>
      </c>
      <c r="AG3" s="11" t="s">
        <v>193</v>
      </c>
      <c r="AH3" s="11" t="s">
        <v>183</v>
      </c>
      <c r="AI3" s="11" t="s">
        <v>186</v>
      </c>
      <c r="AJ3" s="11" t="s">
        <v>185</v>
      </c>
      <c r="AK3" s="11" t="s">
        <v>25</v>
      </c>
      <c r="AL3" s="67" t="s">
        <v>33</v>
      </c>
      <c r="AM3" s="71"/>
    </row>
    <row r="4" spans="1:39" ht="11.25" customHeight="1" thickBot="1" x14ac:dyDescent="0.35">
      <c r="A4" s="101"/>
      <c r="B4" s="102"/>
      <c r="C4" s="103"/>
      <c r="D4" s="68"/>
      <c r="E4" s="13" t="s">
        <v>13</v>
      </c>
      <c r="F4" s="13" t="s">
        <v>14</v>
      </c>
      <c r="G4" s="13" t="s">
        <v>14</v>
      </c>
      <c r="H4" s="13" t="s">
        <v>15</v>
      </c>
      <c r="I4" s="13" t="s">
        <v>15</v>
      </c>
      <c r="J4" s="13" t="s">
        <v>17</v>
      </c>
      <c r="K4" s="13" t="s">
        <v>17</v>
      </c>
      <c r="L4" s="13" t="s">
        <v>13</v>
      </c>
      <c r="M4" s="13" t="s">
        <v>13</v>
      </c>
      <c r="N4" s="13" t="s">
        <v>13</v>
      </c>
      <c r="O4" s="13" t="s">
        <v>13</v>
      </c>
      <c r="P4" s="13" t="s">
        <v>14</v>
      </c>
      <c r="Q4" s="13" t="s">
        <v>14</v>
      </c>
      <c r="R4" s="13" t="s">
        <v>14</v>
      </c>
      <c r="S4" s="13" t="s">
        <v>18</v>
      </c>
      <c r="T4" s="13" t="s">
        <v>18</v>
      </c>
      <c r="U4" s="13" t="s">
        <v>18</v>
      </c>
      <c r="V4" s="13" t="s">
        <v>18</v>
      </c>
      <c r="W4" s="13" t="s">
        <v>18</v>
      </c>
      <c r="X4" s="13" t="s">
        <v>18</v>
      </c>
      <c r="Y4" s="13" t="s">
        <v>18</v>
      </c>
      <c r="Z4" s="13" t="s">
        <v>13</v>
      </c>
      <c r="AA4" s="13" t="s">
        <v>18</v>
      </c>
      <c r="AB4" s="13" t="s">
        <v>18</v>
      </c>
      <c r="AC4" s="13" t="s">
        <v>18</v>
      </c>
      <c r="AD4" s="13" t="s">
        <v>18</v>
      </c>
      <c r="AE4" s="13" t="s">
        <v>18</v>
      </c>
      <c r="AF4" s="13" t="s">
        <v>18</v>
      </c>
      <c r="AG4" s="13" t="s">
        <v>18</v>
      </c>
      <c r="AH4" s="13" t="s">
        <v>18</v>
      </c>
      <c r="AI4" s="13" t="s">
        <v>18</v>
      </c>
      <c r="AJ4" s="13" t="s">
        <v>18</v>
      </c>
      <c r="AK4" s="13" t="s">
        <v>18</v>
      </c>
      <c r="AL4" s="14" t="s">
        <v>16</v>
      </c>
      <c r="AM4" s="15" t="s">
        <v>17</v>
      </c>
    </row>
    <row r="5" spans="1:39" ht="11.25" customHeight="1" thickTop="1" x14ac:dyDescent="0.3">
      <c r="A5" s="30"/>
      <c r="B5" s="20"/>
      <c r="C5" s="32"/>
      <c r="D5" s="20"/>
      <c r="E5" s="21"/>
      <c r="F5" s="21"/>
      <c r="G5" s="21"/>
      <c r="H5" s="21"/>
      <c r="I5" s="21"/>
      <c r="J5" s="21"/>
      <c r="K5" s="21"/>
      <c r="L5" s="21"/>
      <c r="M5" s="21"/>
      <c r="N5" s="21"/>
      <c r="O5" s="20"/>
      <c r="P5" s="21"/>
      <c r="Q5" s="21"/>
      <c r="R5" s="21"/>
      <c r="S5" s="23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0"/>
      <c r="AL5" s="21"/>
      <c r="AM5" s="25"/>
    </row>
    <row r="6" spans="1:39" ht="11.25" customHeight="1" x14ac:dyDescent="0.3">
      <c r="A6" s="95" t="s">
        <v>197</v>
      </c>
      <c r="B6" s="96"/>
      <c r="C6" s="97"/>
      <c r="D6" s="20" t="s">
        <v>177</v>
      </c>
      <c r="E6" s="23">
        <f>Bellville!H55</f>
        <v>2676</v>
      </c>
      <c r="F6" s="23">
        <f>Bellville!I55</f>
        <v>371</v>
      </c>
      <c r="G6" s="23" t="e">
        <f>Bellville!#REF!</f>
        <v>#REF!</v>
      </c>
      <c r="H6" s="23">
        <f>Bellville!J55</f>
        <v>1</v>
      </c>
      <c r="I6" s="23" t="str">
        <f>Bellville!L55</f>
        <v>LS</v>
      </c>
      <c r="J6" s="23"/>
      <c r="K6" s="23" t="e">
        <f>Bellville!#REF!</f>
        <v>#REF!</v>
      </c>
      <c r="L6" s="23">
        <f>Bellville!N55</f>
        <v>1880</v>
      </c>
      <c r="M6" s="23" t="e">
        <f>Bellville!#REF!</f>
        <v>#REF!</v>
      </c>
      <c r="N6" s="23">
        <f>Bellville!O55</f>
        <v>1079</v>
      </c>
      <c r="O6" s="23" t="e">
        <f>Bellville!#REF!</f>
        <v>#REF!</v>
      </c>
      <c r="P6" s="23" t="e">
        <f>Bellville!#REF!</f>
        <v>#REF!</v>
      </c>
      <c r="Q6" s="23">
        <f>Bellville!P55</f>
        <v>204</v>
      </c>
      <c r="R6" s="23" t="e">
        <f>Bellville!#REF!</f>
        <v>#REF!</v>
      </c>
      <c r="S6" s="23" t="e">
        <f>Bellville!#REF!</f>
        <v>#REF!</v>
      </c>
      <c r="T6" s="23" t="e">
        <f>Bellville!#REF!</f>
        <v>#REF!</v>
      </c>
      <c r="U6" s="23" t="e">
        <f>Bellville!#REF!</f>
        <v>#REF!</v>
      </c>
      <c r="V6" s="23">
        <f>Bellville!S55</f>
        <v>2</v>
      </c>
      <c r="W6" s="23">
        <f>Bellville!T55</f>
        <v>2</v>
      </c>
      <c r="X6" s="23">
        <f>Bellville!U55</f>
        <v>2</v>
      </c>
      <c r="Y6" s="23" t="e">
        <f>Bellville!#REF!</f>
        <v>#REF!</v>
      </c>
      <c r="Z6" s="23">
        <f>Bellville!X55</f>
        <v>12</v>
      </c>
      <c r="AA6" s="23">
        <f>Bellville!Y55</f>
        <v>2</v>
      </c>
      <c r="AB6" s="23"/>
      <c r="AC6" s="23"/>
      <c r="AD6" s="23" t="e">
        <f>Bellville!#REF!</f>
        <v>#REF!</v>
      </c>
      <c r="AE6" s="23">
        <f>Bellville!Z55</f>
        <v>2</v>
      </c>
      <c r="AF6" s="23">
        <f>Bellville!AA55</f>
        <v>2</v>
      </c>
      <c r="AG6" s="23"/>
      <c r="AH6" s="23" t="e">
        <f>Bellville!#REF!</f>
        <v>#REF!</v>
      </c>
      <c r="AI6" s="23">
        <f>Bellville!AB55</f>
        <v>2</v>
      </c>
      <c r="AJ6" s="23">
        <f>Bellville!AC55</f>
        <v>2</v>
      </c>
      <c r="AK6" s="23">
        <f>Bellville!AE55</f>
        <v>1</v>
      </c>
      <c r="AL6" s="23">
        <f>Bellville!AF55</f>
        <v>369</v>
      </c>
      <c r="AM6" s="48">
        <f>Bellville!AG55</f>
        <v>10</v>
      </c>
    </row>
    <row r="7" spans="1:39" ht="11.25" customHeight="1" x14ac:dyDescent="0.3">
      <c r="A7" s="95" t="s">
        <v>198</v>
      </c>
      <c r="B7" s="96"/>
      <c r="C7" s="97"/>
      <c r="D7" s="20" t="s">
        <v>178</v>
      </c>
      <c r="E7" s="23">
        <f>Butler!G73</f>
        <v>5727</v>
      </c>
      <c r="F7" s="23">
        <f>Butler!H73</f>
        <v>228</v>
      </c>
      <c r="G7" s="23"/>
      <c r="H7" s="23">
        <f>Butler!I73</f>
        <v>22</v>
      </c>
      <c r="I7" s="23"/>
      <c r="J7" s="23">
        <f>Butler!J73</f>
        <v>4</v>
      </c>
      <c r="K7" s="23"/>
      <c r="L7" s="23">
        <f>Butler!K73</f>
        <v>2966</v>
      </c>
      <c r="M7" s="23">
        <f>Butler!L73</f>
        <v>325</v>
      </c>
      <c r="N7" s="23">
        <f>Butler!M73</f>
        <v>1923</v>
      </c>
      <c r="O7" s="23">
        <f>Butler!N73</f>
        <v>188</v>
      </c>
      <c r="P7" s="23"/>
      <c r="Q7" s="23">
        <f>Butler!O73</f>
        <v>274</v>
      </c>
      <c r="R7" s="23"/>
      <c r="S7" s="23"/>
      <c r="T7" s="23"/>
      <c r="U7" s="23"/>
      <c r="V7" s="23">
        <f>Butler!P73</f>
        <v>2</v>
      </c>
      <c r="W7" s="23">
        <f>Butler!Q73</f>
        <v>4</v>
      </c>
      <c r="X7" s="23">
        <f>Butler!R73</f>
        <v>2</v>
      </c>
      <c r="Y7" s="23"/>
      <c r="Z7" s="23"/>
      <c r="AA7" s="23"/>
      <c r="AB7" s="23"/>
      <c r="AC7" s="23">
        <f>Butler!S73</f>
        <v>2</v>
      </c>
      <c r="AD7" s="23"/>
      <c r="AE7" s="23"/>
      <c r="AF7" s="23"/>
      <c r="AG7" s="23">
        <f>Butler!T73</f>
        <v>2</v>
      </c>
      <c r="AH7" s="23"/>
      <c r="AI7" s="23"/>
      <c r="AJ7" s="23"/>
      <c r="AK7" s="23"/>
      <c r="AL7" s="23">
        <f>Butler!U73</f>
        <v>649</v>
      </c>
      <c r="AM7" s="48">
        <f>Butler!V73</f>
        <v>14</v>
      </c>
    </row>
    <row r="8" spans="1:39" ht="11.25" customHeight="1" x14ac:dyDescent="0.3">
      <c r="A8" s="95" t="s">
        <v>197</v>
      </c>
      <c r="B8" s="96"/>
      <c r="C8" s="97"/>
      <c r="D8" s="20" t="s">
        <v>196</v>
      </c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 t="e">
        <f>Bellville!#REF!</f>
        <v>#REF!</v>
      </c>
      <c r="AC8" s="23" t="e">
        <f>Bellville!#REF!</f>
        <v>#REF!</v>
      </c>
      <c r="AD8" s="23"/>
      <c r="AE8" s="23"/>
      <c r="AF8" s="23"/>
      <c r="AG8" s="23"/>
      <c r="AH8" s="23"/>
      <c r="AI8" s="23"/>
      <c r="AJ8" s="23"/>
      <c r="AK8" s="23"/>
      <c r="AL8" s="23"/>
      <c r="AM8" s="48"/>
    </row>
    <row r="9" spans="1:39" ht="11.25" customHeight="1" x14ac:dyDescent="0.3">
      <c r="A9" s="19"/>
      <c r="B9" s="20"/>
      <c r="C9" s="32"/>
      <c r="D9" s="20"/>
      <c r="E9" s="21"/>
      <c r="F9" s="21"/>
      <c r="G9" s="21"/>
      <c r="H9" s="21"/>
      <c r="I9" s="21"/>
      <c r="J9" s="21"/>
      <c r="K9" s="21"/>
      <c r="L9" s="21"/>
      <c r="M9" s="21"/>
      <c r="N9" s="21"/>
      <c r="O9" s="20"/>
      <c r="P9" s="21"/>
      <c r="Q9" s="21"/>
      <c r="R9" s="21"/>
      <c r="S9" s="23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0"/>
      <c r="AL9" s="21"/>
      <c r="AM9" s="25"/>
    </row>
    <row r="10" spans="1:39" ht="11.25" customHeight="1" thickBot="1" x14ac:dyDescent="0.35">
      <c r="A10" s="93" t="s">
        <v>195</v>
      </c>
      <c r="B10" s="58"/>
      <c r="C10" s="94"/>
      <c r="D10" s="47"/>
      <c r="E10" s="49">
        <f>SUM(E6:E8)</f>
        <v>8403</v>
      </c>
      <c r="F10" s="49">
        <f t="shared" ref="F10:AM10" si="0">SUM(F6:F8)</f>
        <v>599</v>
      </c>
      <c r="G10" s="49" t="e">
        <f t="shared" si="0"/>
        <v>#REF!</v>
      </c>
      <c r="H10" s="49">
        <f t="shared" si="0"/>
        <v>23</v>
      </c>
      <c r="I10" s="49">
        <f t="shared" si="0"/>
        <v>0</v>
      </c>
      <c r="J10" s="49">
        <f t="shared" si="0"/>
        <v>4</v>
      </c>
      <c r="K10" s="49" t="e">
        <f t="shared" si="0"/>
        <v>#REF!</v>
      </c>
      <c r="L10" s="49">
        <f t="shared" si="0"/>
        <v>4846</v>
      </c>
      <c r="M10" s="49" t="e">
        <f t="shared" si="0"/>
        <v>#REF!</v>
      </c>
      <c r="N10" s="49">
        <f t="shared" si="0"/>
        <v>3002</v>
      </c>
      <c r="O10" s="49" t="e">
        <f t="shared" si="0"/>
        <v>#REF!</v>
      </c>
      <c r="P10" s="49" t="e">
        <f t="shared" si="0"/>
        <v>#REF!</v>
      </c>
      <c r="Q10" s="49">
        <f t="shared" si="0"/>
        <v>478</v>
      </c>
      <c r="R10" s="49" t="e">
        <f t="shared" si="0"/>
        <v>#REF!</v>
      </c>
      <c r="S10" s="49" t="e">
        <f t="shared" si="0"/>
        <v>#REF!</v>
      </c>
      <c r="T10" s="49" t="e">
        <f t="shared" si="0"/>
        <v>#REF!</v>
      </c>
      <c r="U10" s="49" t="e">
        <f t="shared" si="0"/>
        <v>#REF!</v>
      </c>
      <c r="V10" s="49">
        <f t="shared" si="0"/>
        <v>4</v>
      </c>
      <c r="W10" s="49">
        <f t="shared" si="0"/>
        <v>6</v>
      </c>
      <c r="X10" s="49">
        <f t="shared" si="0"/>
        <v>4</v>
      </c>
      <c r="Y10" s="49" t="e">
        <f t="shared" si="0"/>
        <v>#REF!</v>
      </c>
      <c r="Z10" s="49">
        <f t="shared" si="0"/>
        <v>12</v>
      </c>
      <c r="AA10" s="49">
        <f t="shared" si="0"/>
        <v>2</v>
      </c>
      <c r="AB10" s="49" t="e">
        <f t="shared" si="0"/>
        <v>#REF!</v>
      </c>
      <c r="AC10" s="49" t="e">
        <f t="shared" si="0"/>
        <v>#REF!</v>
      </c>
      <c r="AD10" s="49" t="e">
        <f t="shared" si="0"/>
        <v>#REF!</v>
      </c>
      <c r="AE10" s="49">
        <f t="shared" si="0"/>
        <v>2</v>
      </c>
      <c r="AF10" s="49">
        <f t="shared" si="0"/>
        <v>2</v>
      </c>
      <c r="AG10" s="49">
        <f t="shared" si="0"/>
        <v>2</v>
      </c>
      <c r="AH10" s="49" t="e">
        <f t="shared" si="0"/>
        <v>#REF!</v>
      </c>
      <c r="AI10" s="49">
        <f t="shared" si="0"/>
        <v>2</v>
      </c>
      <c r="AJ10" s="49">
        <f t="shared" si="0"/>
        <v>2</v>
      </c>
      <c r="AK10" s="49">
        <f t="shared" si="0"/>
        <v>1</v>
      </c>
      <c r="AL10" s="49">
        <f t="shared" si="0"/>
        <v>1018</v>
      </c>
      <c r="AM10" s="50">
        <f t="shared" si="0"/>
        <v>24</v>
      </c>
    </row>
  </sheetData>
  <mergeCells count="16">
    <mergeCell ref="AC2:AJ2"/>
    <mergeCell ref="A3:C4"/>
    <mergeCell ref="A1:AM1"/>
    <mergeCell ref="W2:AB2"/>
    <mergeCell ref="AL2:AM2"/>
    <mergeCell ref="AL3:AM3"/>
    <mergeCell ref="A10:C10"/>
    <mergeCell ref="L2:O2"/>
    <mergeCell ref="P2:R2"/>
    <mergeCell ref="T2:V2"/>
    <mergeCell ref="D3:D4"/>
    <mergeCell ref="A2:C2"/>
    <mergeCell ref="E2:I2"/>
    <mergeCell ref="A6:C6"/>
    <mergeCell ref="A7:C7"/>
    <mergeCell ref="A8:C8"/>
  </mergeCells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Bellville</vt:lpstr>
      <vt:lpstr>Butler</vt:lpstr>
      <vt:lpstr>Catch Basins</vt:lpstr>
      <vt:lpstr>Curb Ramp Subsummary</vt:lpstr>
      <vt:lpstr>Bellville!Print_Titles</vt:lpstr>
      <vt:lpstr>Butler!Print_Titles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Ethan Caudill</dc:creator>
  <cp:lastModifiedBy>Mellen, Adam</cp:lastModifiedBy>
  <cp:lastPrinted>2025-07-01T12:29:58Z</cp:lastPrinted>
  <dcterms:created xsi:type="dcterms:W3CDTF">2023-06-02T14:37:27Z</dcterms:created>
  <dcterms:modified xsi:type="dcterms:W3CDTF">2025-12-11T21:48:42Z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