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motsche\appdata\local\bentley\projectwise\workingdir\ohiodot-pw.bentley.com_ohiodot-pw-02\gaven.motschenbacher@dot.ohio.gov\d0739180\"/>
    </mc:Choice>
  </mc:AlternateContent>
  <xr:revisionPtr revIDLastSave="0" documentId="13_ncr:1_{6B588407-F6FF-499E-99A9-3C5E595A9ADB}" xr6:coauthVersionLast="47" xr6:coauthVersionMax="47" xr10:uidLastSave="{00000000-0000-0000-0000-000000000000}"/>
  <bookViews>
    <workbookView xWindow="28680" yWindow="-120" windowWidth="29040" windowHeight="15720" xr2:uid="{A16BB1C4-FD18-497D-9616-E7BE8292B908}"/>
  </bookViews>
  <sheets>
    <sheet name="Estimated QTYs" sheetId="2" r:id="rId1"/>
    <sheet name="Table of Pavement Repai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2" l="1"/>
  <c r="M13" i="2"/>
  <c r="D17" i="2"/>
  <c r="F17" i="2" s="1"/>
  <c r="L17" i="2" s="1"/>
  <c r="Q17" i="2"/>
  <c r="S40" i="2"/>
  <c r="R40" i="2"/>
  <c r="Y38" i="2"/>
  <c r="Y40" i="2" s="1"/>
  <c r="V40" i="2"/>
  <c r="W40" i="2"/>
  <c r="X37" i="2"/>
  <c r="X36" i="2"/>
  <c r="X40" i="2" s="1"/>
  <c r="P40" i="2"/>
  <c r="T40" i="2"/>
  <c r="U40" i="2"/>
  <c r="D14" i="2"/>
  <c r="F14" i="2" s="1"/>
  <c r="H14" i="2" s="1"/>
  <c r="D13" i="2"/>
  <c r="F13" i="2" s="1"/>
  <c r="H13" i="2" s="1"/>
  <c r="H40" i="2" s="1"/>
  <c r="N30" i="2"/>
  <c r="I30" i="2"/>
  <c r="J30" i="2"/>
  <c r="L30" i="2"/>
  <c r="L29" i="2"/>
  <c r="L28" i="2"/>
  <c r="J29" i="2"/>
  <c r="J28" i="2"/>
  <c r="J40" i="2" s="1"/>
  <c r="I29" i="2"/>
  <c r="I28" i="2"/>
  <c r="F30" i="2"/>
  <c r="G30" i="2" s="1"/>
  <c r="F29" i="2"/>
  <c r="G29" i="2" s="1"/>
  <c r="F28" i="2"/>
  <c r="G28" i="2" s="1"/>
  <c r="N28" i="2"/>
  <c r="N29" i="2"/>
  <c r="D25" i="2"/>
  <c r="Q25" i="2" s="1"/>
  <c r="D24" i="2"/>
  <c r="Q24" i="2" s="1"/>
  <c r="D23" i="2"/>
  <c r="F23" i="2" s="1"/>
  <c r="L23" i="2" s="1"/>
  <c r="D22" i="2"/>
  <c r="F22" i="2" s="1"/>
  <c r="L22" i="2" s="1"/>
  <c r="D21" i="2"/>
  <c r="Q21" i="2" s="1"/>
  <c r="D20" i="2"/>
  <c r="Q20" i="2" s="1"/>
  <c r="D19" i="2"/>
  <c r="Q19" i="2" s="1"/>
  <c r="D18" i="2"/>
  <c r="F18" i="2" s="1"/>
  <c r="L18" i="2" s="1"/>
  <c r="D7" i="2"/>
  <c r="F7" i="2" s="1"/>
  <c r="F4" i="3"/>
  <c r="F5" i="3"/>
  <c r="F3" i="3"/>
  <c r="C4" i="3"/>
  <c r="C5" i="3"/>
  <c r="C3" i="3"/>
  <c r="I40" i="2" l="1"/>
  <c r="N40" i="2"/>
  <c r="K13" i="2"/>
  <c r="K14" i="2"/>
  <c r="G40" i="2"/>
  <c r="F24" i="2"/>
  <c r="L24" i="2" s="1"/>
  <c r="F25" i="2"/>
  <c r="L25" i="2" s="1"/>
  <c r="Q23" i="2"/>
  <c r="F20" i="2"/>
  <c r="L20" i="2" s="1"/>
  <c r="F21" i="2"/>
  <c r="L21" i="2" s="1"/>
  <c r="Q22" i="2"/>
  <c r="Q18" i="2"/>
  <c r="Q40" i="2" s="1"/>
  <c r="O7" i="2"/>
  <c r="O40" i="2" s="1"/>
  <c r="F19" i="2"/>
  <c r="L19" i="2" s="1"/>
  <c r="L40" i="2" l="1"/>
  <c r="M40" i="2"/>
  <c r="K40" i="2"/>
</calcChain>
</file>

<file path=xl/sharedStrings.xml><?xml version="1.0" encoding="utf-8"?>
<sst xmlns="http://schemas.openxmlformats.org/spreadsheetml/2006/main" count="119" uniqueCount="83">
  <si>
    <t>SHEET NO.</t>
  </si>
  <si>
    <t>TOTALS CARRIED TO THE GENERAL SUMMARY</t>
  </si>
  <si>
    <t>EACH</t>
  </si>
  <si>
    <t>FT</t>
  </si>
  <si>
    <t>SIDE</t>
  </si>
  <si>
    <t>LT.</t>
  </si>
  <si>
    <t>SIGN, FLAT SHEET</t>
  </si>
  <si>
    <t>SF</t>
  </si>
  <si>
    <t>LOCATION</t>
  </si>
  <si>
    <t>LENGTH</t>
  </si>
  <si>
    <t>AVERAGE WIDTH</t>
  </si>
  <si>
    <t>SURFACE AREA</t>
  </si>
  <si>
    <t>SUBGRADE COMPACTION</t>
  </si>
  <si>
    <t>AGGREGATE BASE</t>
  </si>
  <si>
    <t>PRIME COAT, AS PER PLAN</t>
  </si>
  <si>
    <t>DUMPED ROCK FILL, TYPE C</t>
  </si>
  <si>
    <t>SY</t>
  </si>
  <si>
    <t>CY</t>
  </si>
  <si>
    <t>GAL</t>
  </si>
  <si>
    <t>6"</t>
  </si>
  <si>
    <t>0.4 GAL/SY</t>
  </si>
  <si>
    <t>2.00"</t>
  </si>
  <si>
    <t>8"</t>
  </si>
  <si>
    <t>DUMPED ROCK FILL (DR-1)</t>
  </si>
  <si>
    <t>9, 10</t>
  </si>
  <si>
    <t>DRIVEWAYS</t>
  </si>
  <si>
    <t>DRIVE 1 - 111+71.25</t>
  </si>
  <si>
    <t>DRIVE 2 - 113+74.94</t>
  </si>
  <si>
    <t>DRIVE 3 - 116+58.55</t>
  </si>
  <si>
    <t>4"</t>
  </si>
  <si>
    <t>PR. EOP LT.</t>
  </si>
  <si>
    <t>LANE WIDTH LT. (FT.)</t>
  </si>
  <si>
    <t>CL STATION</t>
  </si>
  <si>
    <t>CL ELEVATION</t>
  </si>
  <si>
    <t>LANE WIDTH RT. (FT.)</t>
  </si>
  <si>
    <t>PR. EOP RT.</t>
  </si>
  <si>
    <t>PAVEMENT DATA</t>
  </si>
  <si>
    <t>111+80.00</t>
  </si>
  <si>
    <t>111+94.00</t>
  </si>
  <si>
    <t>112+08.00</t>
  </si>
  <si>
    <t>PAVEMENT SLOPE LT.</t>
  </si>
  <si>
    <t>PAVEMENT SLOPE RT.</t>
  </si>
  <si>
    <t>GROUND MOUNTED SUPPORT,
NO. 3 POST, AS PER PLAN</t>
  </si>
  <si>
    <t>REMOVAL OF GROUND
MOUNTED SIGN AND DISPOSAL</t>
  </si>
  <si>
    <t>1.50'</t>
  </si>
  <si>
    <t>AGGREGATE SHOULDER</t>
  </si>
  <si>
    <t>109+50.00 - 111+00.00</t>
  </si>
  <si>
    <t>111+00.00 - 111+48.00</t>
  </si>
  <si>
    <t>111+95.00 - 112+50.00</t>
  </si>
  <si>
    <t>112+50.00 - 113+00.00</t>
  </si>
  <si>
    <t>113+00.00 - 113+50.00</t>
  </si>
  <si>
    <t>113+84.00 - 114+50.00</t>
  </si>
  <si>
    <t>114+50.00 - 116+00.00</t>
  </si>
  <si>
    <t>116+00.00 - 116+35.00</t>
  </si>
  <si>
    <t>PAVED GUTTER, TYPE 1-2</t>
  </si>
  <si>
    <t>ASPHALT CONCRETE SURFACE
COURSE, TYPE 1, (449), DRIVEWAYS</t>
  </si>
  <si>
    <t>COMPACTED AGGREGATE,
AS PER PLAN</t>
  </si>
  <si>
    <t>PAVED GUTTER (GUTTER-1)</t>
  </si>
  <si>
    <t>111+85.47</t>
  </si>
  <si>
    <t>ASPHALT RESURFACING</t>
  </si>
  <si>
    <t>109+25.00 - 117+25.00</t>
  </si>
  <si>
    <t>RT.</t>
  </si>
  <si>
    <t>9,10</t>
  </si>
  <si>
    <t>ASPHALT CONCRETE SURFACE
COURSE, TYPE 1, (449) PG70-22M</t>
  </si>
  <si>
    <t>NON-TRACKING TACK COAT</t>
  </si>
  <si>
    <t>.09 GAL/SY</t>
  </si>
  <si>
    <t>SIGNING (SN-1)</t>
  </si>
  <si>
    <t>PAVEMENT MARKINGS</t>
  </si>
  <si>
    <t>REMOVAL OF GROUND MOUNTED
POST SUPPORT AND DISPOSAL</t>
  </si>
  <si>
    <t>EL-1 : 109+25.00 - 117+25.00</t>
  </si>
  <si>
    <t>EL-2 : 109+25.00 - 117+25.00</t>
  </si>
  <si>
    <t>CL-1 : 109+25.00 - 117+25.00</t>
  </si>
  <si>
    <t>EDGE LINE, 6", TYPE 1</t>
  </si>
  <si>
    <t>MILE</t>
  </si>
  <si>
    <t>CENTER LINE, TYPE 1</t>
  </si>
  <si>
    <t>RAISED PAVEMENT
MARKER REMOVED</t>
  </si>
  <si>
    <t>RPM
(2-WAY YELLOW/YELLOW)</t>
  </si>
  <si>
    <t>8, 9</t>
  </si>
  <si>
    <t>116+00.00, 15.0' LT.</t>
  </si>
  <si>
    <t>109+40.00 - 109+55.00, 16.0' - 26.5' LT.</t>
  </si>
  <si>
    <t>109+40.00 - 109+50.00</t>
  </si>
  <si>
    <t>1.50"</t>
  </si>
  <si>
    <t>PAVEMENT PLANING,
ASPHALT CONCRETE (1.50")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</si>
</sst>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5E120-0406-4583-8656-2886D0A83ACD}">
  <dimension ref="A1:AZ356"/>
  <sheetViews>
    <sheetView tabSelected="1" topLeftCell="A2" zoomScale="85" zoomScaleNormal="85" workbookViewId="0">
      <selection activeCell="M15" sqref="M15"/>
    </sheetView>
  </sheetViews>
  <sheetFormatPr defaultRowHeight="15" x14ac:dyDescent="0.25"/>
  <cols>
    <col min="1" max="1" width="34.7109375" customWidth="1"/>
    <col min="2" max="3" width="7.28515625" customWidth="1"/>
    <col min="4" max="27" width="9.28515625" customWidth="1"/>
  </cols>
  <sheetData>
    <row r="1" spans="1:52" ht="15" customHeight="1" x14ac:dyDescent="0.25">
      <c r="A1" s="20" t="s">
        <v>8</v>
      </c>
      <c r="B1" s="13" t="s">
        <v>0</v>
      </c>
      <c r="C1" s="13" t="s">
        <v>4</v>
      </c>
      <c r="D1" s="13" t="s">
        <v>9</v>
      </c>
      <c r="E1" s="13" t="s">
        <v>10</v>
      </c>
      <c r="F1" s="13" t="s">
        <v>11</v>
      </c>
      <c r="G1" s="3">
        <v>204</v>
      </c>
      <c r="H1" s="3">
        <v>254</v>
      </c>
      <c r="I1" s="3">
        <v>304</v>
      </c>
      <c r="J1" s="3">
        <v>304</v>
      </c>
      <c r="K1" s="3">
        <v>407</v>
      </c>
      <c r="L1" s="3">
        <v>408</v>
      </c>
      <c r="M1" s="3">
        <v>441</v>
      </c>
      <c r="N1" s="3">
        <v>441</v>
      </c>
      <c r="O1" s="3">
        <v>601</v>
      </c>
      <c r="P1" s="3">
        <v>601</v>
      </c>
      <c r="Q1" s="3">
        <v>617</v>
      </c>
      <c r="R1" s="3">
        <v>621</v>
      </c>
      <c r="S1" s="3">
        <v>621</v>
      </c>
      <c r="T1" s="3">
        <v>630</v>
      </c>
      <c r="U1" s="3">
        <v>630</v>
      </c>
      <c r="V1" s="3">
        <v>630</v>
      </c>
      <c r="W1" s="3">
        <v>630</v>
      </c>
      <c r="X1" s="3">
        <v>642</v>
      </c>
      <c r="Y1" s="3">
        <v>642</v>
      </c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159.94999999999999" customHeight="1" x14ac:dyDescent="0.25">
      <c r="A2" s="20"/>
      <c r="B2" s="13"/>
      <c r="C2" s="13"/>
      <c r="D2" s="13"/>
      <c r="E2" s="13"/>
      <c r="F2" s="13"/>
      <c r="G2" s="13" t="s">
        <v>12</v>
      </c>
      <c r="H2" s="5" t="s">
        <v>82</v>
      </c>
      <c r="I2" s="4" t="s">
        <v>13</v>
      </c>
      <c r="J2" s="4" t="s">
        <v>13</v>
      </c>
      <c r="K2" s="4" t="s">
        <v>64</v>
      </c>
      <c r="L2" s="4" t="s">
        <v>14</v>
      </c>
      <c r="M2" s="5" t="s">
        <v>63</v>
      </c>
      <c r="N2" s="5" t="s">
        <v>55</v>
      </c>
      <c r="O2" s="5" t="s">
        <v>15</v>
      </c>
      <c r="P2" s="11" t="s">
        <v>54</v>
      </c>
      <c r="Q2" s="5" t="s">
        <v>56</v>
      </c>
      <c r="R2" s="11" t="s">
        <v>76</v>
      </c>
      <c r="S2" s="11" t="s">
        <v>75</v>
      </c>
      <c r="T2" s="11" t="s">
        <v>43</v>
      </c>
      <c r="U2" s="11" t="s">
        <v>68</v>
      </c>
      <c r="V2" s="11" t="s">
        <v>42</v>
      </c>
      <c r="W2" s="21" t="s">
        <v>6</v>
      </c>
      <c r="X2" s="21" t="s">
        <v>72</v>
      </c>
      <c r="Y2" s="21" t="s">
        <v>74</v>
      </c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2" x14ac:dyDescent="0.25">
      <c r="A3" s="20"/>
      <c r="B3" s="13"/>
      <c r="C3" s="13"/>
      <c r="D3" s="13"/>
      <c r="E3" s="13"/>
      <c r="F3" s="13"/>
      <c r="G3" s="13"/>
      <c r="H3" s="3" t="s">
        <v>81</v>
      </c>
      <c r="I3" s="3" t="s">
        <v>19</v>
      </c>
      <c r="J3" s="3" t="s">
        <v>22</v>
      </c>
      <c r="K3" s="3" t="s">
        <v>65</v>
      </c>
      <c r="L3" s="3" t="s">
        <v>20</v>
      </c>
      <c r="M3" s="3" t="s">
        <v>81</v>
      </c>
      <c r="N3" s="3" t="s">
        <v>21</v>
      </c>
      <c r="O3" s="3" t="s">
        <v>44</v>
      </c>
      <c r="P3" s="12"/>
      <c r="Q3" s="3" t="s">
        <v>29</v>
      </c>
      <c r="R3" s="12"/>
      <c r="S3" s="12"/>
      <c r="T3" s="12"/>
      <c r="U3" s="22"/>
      <c r="V3" s="22"/>
      <c r="W3" s="22"/>
      <c r="X3" s="22"/>
      <c r="Y3" s="22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2" x14ac:dyDescent="0.25">
      <c r="A4" s="20"/>
      <c r="B4" s="13"/>
      <c r="C4" s="13"/>
      <c r="D4" s="3" t="s">
        <v>3</v>
      </c>
      <c r="E4" s="3" t="s">
        <v>3</v>
      </c>
      <c r="F4" s="3" t="s">
        <v>16</v>
      </c>
      <c r="G4" s="3" t="s">
        <v>16</v>
      </c>
      <c r="H4" s="3" t="s">
        <v>16</v>
      </c>
      <c r="I4" s="3" t="s">
        <v>17</v>
      </c>
      <c r="J4" s="3" t="s">
        <v>17</v>
      </c>
      <c r="K4" s="3" t="s">
        <v>18</v>
      </c>
      <c r="L4" s="3" t="s">
        <v>18</v>
      </c>
      <c r="M4" s="3" t="s">
        <v>17</v>
      </c>
      <c r="N4" s="3" t="s">
        <v>17</v>
      </c>
      <c r="O4" s="3" t="s">
        <v>17</v>
      </c>
      <c r="P4" s="3" t="s">
        <v>3</v>
      </c>
      <c r="Q4" s="3" t="s">
        <v>17</v>
      </c>
      <c r="R4" s="3" t="s">
        <v>2</v>
      </c>
      <c r="S4" s="3" t="s">
        <v>2</v>
      </c>
      <c r="T4" s="3" t="s">
        <v>2</v>
      </c>
      <c r="U4" s="3" t="s">
        <v>2</v>
      </c>
      <c r="V4" s="3" t="s">
        <v>3</v>
      </c>
      <c r="W4" s="3" t="s">
        <v>7</v>
      </c>
      <c r="X4" s="3" t="s">
        <v>73</v>
      </c>
      <c r="Y4" s="3" t="s">
        <v>73</v>
      </c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 ht="12" customHeight="1" x14ac:dyDescent="0.25">
      <c r="A5" s="3"/>
      <c r="B5" s="4"/>
      <c r="C5" s="4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>
        <v>11</v>
      </c>
      <c r="S5" s="3">
        <v>11</v>
      </c>
      <c r="T5" s="3"/>
      <c r="U5" s="3"/>
      <c r="V5" s="3"/>
      <c r="W5" s="3"/>
      <c r="X5" s="3"/>
      <c r="Y5" s="3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</row>
    <row r="6" spans="1:52" ht="12" customHeight="1" x14ac:dyDescent="0.25">
      <c r="A6" s="2" t="s">
        <v>23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</row>
    <row r="7" spans="1:52" ht="12" customHeight="1" x14ac:dyDescent="0.25">
      <c r="A7" s="3" t="s">
        <v>79</v>
      </c>
      <c r="B7" s="3">
        <v>9</v>
      </c>
      <c r="C7" s="3" t="s">
        <v>5</v>
      </c>
      <c r="D7" s="6">
        <f>15</f>
        <v>15</v>
      </c>
      <c r="E7" s="6">
        <v>10.5</v>
      </c>
      <c r="F7" s="6">
        <f>ROUNDUP((D7*E7)/9,1)</f>
        <v>17.5</v>
      </c>
      <c r="G7" s="3"/>
      <c r="H7" s="3"/>
      <c r="I7" s="3"/>
      <c r="J7" s="3"/>
      <c r="K7" s="3"/>
      <c r="L7" s="3"/>
      <c r="M7" s="3"/>
      <c r="N7" s="3"/>
      <c r="O7" s="3">
        <f>ROUNDUP((D7*E7*1.5)/(27),1)</f>
        <v>8.7999999999999989</v>
      </c>
      <c r="P7" s="3"/>
      <c r="Q7" s="3"/>
      <c r="R7" s="3"/>
      <c r="S7" s="3"/>
      <c r="T7" s="3"/>
      <c r="U7" s="3"/>
      <c r="V7" s="3"/>
      <c r="W7" s="3"/>
      <c r="X7" s="3"/>
      <c r="Y7" s="3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</row>
    <row r="8" spans="1:52" ht="12" customHeight="1" x14ac:dyDescent="0.25">
      <c r="A8" s="3"/>
      <c r="B8" s="3"/>
      <c r="C8" s="3"/>
      <c r="D8" s="6"/>
      <c r="E8" s="6"/>
      <c r="F8" s="6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</row>
    <row r="9" spans="1:52" ht="12" customHeight="1" x14ac:dyDescent="0.25">
      <c r="A9" s="2" t="s">
        <v>57</v>
      </c>
      <c r="B9" s="3"/>
      <c r="C9" s="3"/>
      <c r="D9" s="6"/>
      <c r="E9" s="6"/>
      <c r="F9" s="6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</row>
    <row r="10" spans="1:52" ht="12" customHeight="1" x14ac:dyDescent="0.25">
      <c r="A10" s="3" t="s">
        <v>58</v>
      </c>
      <c r="B10" s="3" t="s">
        <v>77</v>
      </c>
      <c r="C10" s="3" t="s">
        <v>5</v>
      </c>
      <c r="D10" s="6">
        <v>18</v>
      </c>
      <c r="E10" s="6">
        <v>4</v>
      </c>
      <c r="F10" s="6"/>
      <c r="G10" s="3"/>
      <c r="H10" s="3"/>
      <c r="I10" s="3"/>
      <c r="J10" s="3"/>
      <c r="K10" s="3"/>
      <c r="L10" s="3"/>
      <c r="M10" s="3"/>
      <c r="N10" s="3"/>
      <c r="O10" s="3"/>
      <c r="P10" s="6">
        <v>18</v>
      </c>
      <c r="Q10" s="3"/>
      <c r="R10" s="3"/>
      <c r="S10" s="3"/>
      <c r="T10" s="3"/>
      <c r="U10" s="3"/>
      <c r="V10" s="3"/>
      <c r="W10" s="3"/>
      <c r="X10" s="3"/>
      <c r="Y10" s="3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</row>
    <row r="11" spans="1:52" ht="12" customHeight="1" x14ac:dyDescent="0.25">
      <c r="A11" s="3"/>
      <c r="B11" s="3"/>
      <c r="C11" s="3"/>
      <c r="D11" s="6"/>
      <c r="E11" s="6"/>
      <c r="F11" s="6"/>
      <c r="G11" s="3"/>
      <c r="H11" s="3"/>
      <c r="I11" s="3"/>
      <c r="J11" s="3"/>
      <c r="K11" s="3"/>
      <c r="L11" s="3"/>
      <c r="M11" s="3"/>
      <c r="N11" s="3"/>
      <c r="O11" s="3"/>
      <c r="P11" s="6"/>
      <c r="Q11" s="3"/>
      <c r="R11" s="3"/>
      <c r="S11" s="3"/>
      <c r="T11" s="3"/>
      <c r="U11" s="3"/>
      <c r="V11" s="3"/>
      <c r="W11" s="3"/>
      <c r="X11" s="3"/>
      <c r="Y11" s="3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</row>
    <row r="12" spans="1:52" ht="12" customHeight="1" x14ac:dyDescent="0.25">
      <c r="A12" s="2" t="s">
        <v>59</v>
      </c>
      <c r="B12" s="3"/>
      <c r="C12" s="3"/>
      <c r="D12" s="6"/>
      <c r="E12" s="6"/>
      <c r="F12" s="6"/>
      <c r="G12" s="3"/>
      <c r="H12" s="3"/>
      <c r="I12" s="3"/>
      <c r="J12" s="3"/>
      <c r="K12" s="3"/>
      <c r="L12" s="3"/>
      <c r="M12" s="3"/>
      <c r="N12" s="3"/>
      <c r="O12" s="3"/>
      <c r="P12" s="6"/>
      <c r="Q12" s="3"/>
      <c r="R12" s="3"/>
      <c r="S12" s="3"/>
      <c r="T12" s="3"/>
      <c r="U12" s="3"/>
      <c r="V12" s="3"/>
      <c r="W12" s="3"/>
      <c r="X12" s="3"/>
      <c r="Y12" s="3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</row>
    <row r="13" spans="1:52" ht="12" customHeight="1" x14ac:dyDescent="0.25">
      <c r="A13" s="3" t="s">
        <v>60</v>
      </c>
      <c r="B13" s="3" t="s">
        <v>62</v>
      </c>
      <c r="C13" s="3" t="s">
        <v>5</v>
      </c>
      <c r="D13" s="6">
        <f>11725-10925</f>
        <v>800</v>
      </c>
      <c r="E13" s="6">
        <v>9</v>
      </c>
      <c r="F13" s="6">
        <f t="shared" ref="F13:F14" si="0">ROUNDUP((D13*E13)/9,1)</f>
        <v>800</v>
      </c>
      <c r="G13" s="3"/>
      <c r="H13" s="6">
        <f>ROUNDUP(F13,1)</f>
        <v>800</v>
      </c>
      <c r="I13" s="3"/>
      <c r="J13" s="3"/>
      <c r="K13" s="6">
        <f>ROUNDUP((F13*0.09),1)</f>
        <v>72</v>
      </c>
      <c r="L13" s="3"/>
      <c r="M13" s="3">
        <f>ROUNDUP((D13*E13*1.5/12)/27,1)</f>
        <v>33.4</v>
      </c>
      <c r="N13" s="3"/>
      <c r="O13" s="3"/>
      <c r="P13" s="6"/>
      <c r="Q13" s="3"/>
      <c r="R13" s="3"/>
      <c r="S13" s="3"/>
      <c r="T13" s="3"/>
      <c r="U13" s="3"/>
      <c r="V13" s="3"/>
      <c r="W13" s="3"/>
      <c r="X13" s="3"/>
      <c r="Y13" s="3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</row>
    <row r="14" spans="1:52" ht="12" customHeight="1" x14ac:dyDescent="0.25">
      <c r="A14" s="3" t="s">
        <v>60</v>
      </c>
      <c r="B14" s="3" t="s">
        <v>62</v>
      </c>
      <c r="C14" s="3" t="s">
        <v>61</v>
      </c>
      <c r="D14" s="6">
        <f>11725-10925</f>
        <v>800</v>
      </c>
      <c r="E14" s="6">
        <v>9</v>
      </c>
      <c r="F14" s="6">
        <f t="shared" si="0"/>
        <v>800</v>
      </c>
      <c r="G14" s="3"/>
      <c r="H14" s="6">
        <f>ROUNDUP(F14,1)</f>
        <v>800</v>
      </c>
      <c r="I14" s="3"/>
      <c r="J14" s="3"/>
      <c r="K14" s="6">
        <f>ROUNDUP((F14*0.09),1)</f>
        <v>72</v>
      </c>
      <c r="L14" s="3"/>
      <c r="M14" s="3">
        <f>ROUNDUP((D14*E14*1.5/12)/27,1)</f>
        <v>33.4</v>
      </c>
      <c r="N14" s="3"/>
      <c r="O14" s="3"/>
      <c r="P14" s="6"/>
      <c r="Q14" s="3"/>
      <c r="R14" s="3"/>
      <c r="S14" s="3"/>
      <c r="T14" s="3"/>
      <c r="U14" s="3"/>
      <c r="V14" s="3"/>
      <c r="W14" s="3"/>
      <c r="X14" s="3"/>
      <c r="Y14" s="3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</row>
    <row r="15" spans="1:52" ht="12" customHeight="1" x14ac:dyDescent="0.25">
      <c r="A15" s="3"/>
      <c r="B15" s="3"/>
      <c r="C15" s="3"/>
      <c r="D15" s="6"/>
      <c r="E15" s="6"/>
      <c r="F15" s="6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2" ht="12" customHeight="1" x14ac:dyDescent="0.25">
      <c r="A16" s="2" t="s">
        <v>45</v>
      </c>
      <c r="B16" s="3"/>
      <c r="C16" s="3"/>
      <c r="D16" s="6"/>
      <c r="E16" s="6"/>
      <c r="F16" s="6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2" ht="12" customHeight="1" x14ac:dyDescent="0.25">
      <c r="A17" s="3" t="s">
        <v>80</v>
      </c>
      <c r="B17" s="3">
        <v>9</v>
      </c>
      <c r="C17" s="3" t="s">
        <v>5</v>
      </c>
      <c r="D17" s="6">
        <f>10950-10940</f>
        <v>10</v>
      </c>
      <c r="E17" s="6">
        <v>1</v>
      </c>
      <c r="F17" s="6">
        <f t="shared" ref="F17" si="1">ROUNDUP((D17*E17)/9,1)</f>
        <v>1.2000000000000002</v>
      </c>
      <c r="G17" s="3"/>
      <c r="H17" s="3"/>
      <c r="I17" s="3"/>
      <c r="J17" s="3"/>
      <c r="K17" s="3"/>
      <c r="L17" s="3">
        <f t="shared" ref="L17" si="2">ROUNDUP((F17*0.4),1)</f>
        <v>0.5</v>
      </c>
      <c r="M17" s="3"/>
      <c r="N17" s="3"/>
      <c r="O17" s="3"/>
      <c r="P17" s="3"/>
      <c r="Q17" s="3">
        <f t="shared" ref="Q17" si="3">ROUNDUP(((D17*E17*4/12)/27),1)</f>
        <v>0.2</v>
      </c>
      <c r="R17" s="3"/>
      <c r="S17" s="3"/>
      <c r="T17" s="3"/>
      <c r="U17" s="3"/>
      <c r="V17" s="3"/>
      <c r="W17" s="3"/>
      <c r="X17" s="3"/>
      <c r="Y17" s="3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2" ht="12" customHeight="1" x14ac:dyDescent="0.25">
      <c r="A18" s="3" t="s">
        <v>46</v>
      </c>
      <c r="B18" s="3">
        <v>9</v>
      </c>
      <c r="C18" s="3" t="s">
        <v>5</v>
      </c>
      <c r="D18" s="6">
        <f>11100-10950</f>
        <v>150</v>
      </c>
      <c r="E18" s="6">
        <v>2</v>
      </c>
      <c r="F18" s="6">
        <f t="shared" ref="F18:F25" si="4">ROUNDUP((D18*E18)/9,1)</f>
        <v>33.4</v>
      </c>
      <c r="G18" s="3"/>
      <c r="H18" s="3"/>
      <c r="I18" s="3"/>
      <c r="J18" s="3"/>
      <c r="K18" s="3"/>
      <c r="L18" s="3">
        <f t="shared" ref="L18:L25" si="5">ROUNDUP((F18*0.4),1)</f>
        <v>13.4</v>
      </c>
      <c r="M18" s="3"/>
      <c r="N18" s="3"/>
      <c r="O18" s="3"/>
      <c r="P18" s="3"/>
      <c r="Q18" s="3">
        <f t="shared" ref="Q18:Q25" si="6">ROUNDUP(((D18*E18*4/12)/27),1)</f>
        <v>3.8000000000000003</v>
      </c>
      <c r="R18" s="3"/>
      <c r="S18" s="3"/>
      <c r="T18" s="3"/>
      <c r="U18" s="3"/>
      <c r="V18" s="3"/>
      <c r="W18" s="3"/>
      <c r="X18" s="3"/>
      <c r="Y18" s="3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2" ht="12" customHeight="1" x14ac:dyDescent="0.25">
      <c r="A19" s="3" t="s">
        <v>47</v>
      </c>
      <c r="B19" s="3">
        <v>9</v>
      </c>
      <c r="C19" s="3" t="s">
        <v>5</v>
      </c>
      <c r="D19" s="6">
        <f>11148-11100</f>
        <v>48</v>
      </c>
      <c r="E19" s="6">
        <v>3</v>
      </c>
      <c r="F19" s="6">
        <f t="shared" si="4"/>
        <v>16</v>
      </c>
      <c r="G19" s="3"/>
      <c r="H19" s="3"/>
      <c r="I19" s="3"/>
      <c r="J19" s="3"/>
      <c r="K19" s="3"/>
      <c r="L19" s="3">
        <f t="shared" si="5"/>
        <v>6.4</v>
      </c>
      <c r="M19" s="3"/>
      <c r="N19" s="3"/>
      <c r="O19" s="3"/>
      <c r="P19" s="3"/>
      <c r="Q19" s="3">
        <f t="shared" si="6"/>
        <v>1.8</v>
      </c>
      <c r="R19" s="3"/>
      <c r="S19" s="3"/>
      <c r="T19" s="3"/>
      <c r="U19" s="3"/>
      <c r="V19" s="3"/>
      <c r="W19" s="3"/>
      <c r="X19" s="3"/>
      <c r="Y19" s="3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2" ht="12" customHeight="1" x14ac:dyDescent="0.25">
      <c r="A20" s="3" t="s">
        <v>48</v>
      </c>
      <c r="B20" s="3" t="s">
        <v>24</v>
      </c>
      <c r="C20" s="3" t="s">
        <v>5</v>
      </c>
      <c r="D20" s="6">
        <f>11250-11195</f>
        <v>55</v>
      </c>
      <c r="E20" s="6">
        <v>3</v>
      </c>
      <c r="F20" s="6">
        <f t="shared" si="4"/>
        <v>18.400000000000002</v>
      </c>
      <c r="G20" s="3"/>
      <c r="H20" s="3"/>
      <c r="I20" s="3"/>
      <c r="J20" s="3"/>
      <c r="K20" s="3"/>
      <c r="L20" s="3">
        <f t="shared" si="5"/>
        <v>7.3999999999999995</v>
      </c>
      <c r="M20" s="3"/>
      <c r="N20" s="3"/>
      <c r="O20" s="3"/>
      <c r="P20" s="3"/>
      <c r="Q20" s="3">
        <f t="shared" si="6"/>
        <v>2.1</v>
      </c>
      <c r="R20" s="3"/>
      <c r="S20" s="3"/>
      <c r="T20" s="3"/>
      <c r="U20" s="3"/>
      <c r="V20" s="3"/>
      <c r="W20" s="3"/>
      <c r="X20" s="3"/>
      <c r="Y20" s="3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2" ht="12" customHeight="1" x14ac:dyDescent="0.25">
      <c r="A21" s="3" t="s">
        <v>49</v>
      </c>
      <c r="B21" s="3">
        <v>10</v>
      </c>
      <c r="C21" s="3" t="s">
        <v>5</v>
      </c>
      <c r="D21" s="6">
        <f>11300-11250</f>
        <v>50</v>
      </c>
      <c r="E21" s="6">
        <v>2</v>
      </c>
      <c r="F21" s="6">
        <f t="shared" si="4"/>
        <v>11.2</v>
      </c>
      <c r="G21" s="3"/>
      <c r="H21" s="3"/>
      <c r="I21" s="3"/>
      <c r="J21" s="3"/>
      <c r="K21" s="3"/>
      <c r="L21" s="3">
        <f t="shared" si="5"/>
        <v>4.5</v>
      </c>
      <c r="M21" s="3"/>
      <c r="N21" s="3"/>
      <c r="O21" s="3"/>
      <c r="P21" s="3"/>
      <c r="Q21" s="3">
        <f t="shared" si="6"/>
        <v>1.3</v>
      </c>
      <c r="R21" s="3"/>
      <c r="S21" s="3"/>
      <c r="T21" s="3"/>
      <c r="U21" s="3"/>
      <c r="V21" s="3"/>
      <c r="W21" s="3"/>
      <c r="X21" s="3"/>
      <c r="Y21" s="3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2" ht="12" customHeight="1" x14ac:dyDescent="0.25">
      <c r="A22" s="3" t="s">
        <v>50</v>
      </c>
      <c r="B22" s="3">
        <v>10</v>
      </c>
      <c r="C22" s="3" t="s">
        <v>5</v>
      </c>
      <c r="D22" s="6">
        <f>11350-11300</f>
        <v>50</v>
      </c>
      <c r="E22" s="6">
        <v>3</v>
      </c>
      <c r="F22" s="6">
        <f t="shared" si="4"/>
        <v>16.700000000000003</v>
      </c>
      <c r="G22" s="3"/>
      <c r="H22" s="3"/>
      <c r="I22" s="3"/>
      <c r="J22" s="3"/>
      <c r="K22" s="3"/>
      <c r="L22" s="3">
        <f t="shared" si="5"/>
        <v>6.6999999999999993</v>
      </c>
      <c r="M22" s="3"/>
      <c r="N22" s="3"/>
      <c r="O22" s="3"/>
      <c r="P22" s="3"/>
      <c r="Q22" s="3">
        <f t="shared" si="6"/>
        <v>1.9000000000000001</v>
      </c>
      <c r="R22" s="3"/>
      <c r="S22" s="3"/>
      <c r="T22" s="3"/>
      <c r="U22" s="3"/>
      <c r="V22" s="3"/>
      <c r="W22" s="3"/>
      <c r="X22" s="3"/>
      <c r="Y22" s="3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2" ht="12" customHeight="1" x14ac:dyDescent="0.25">
      <c r="A23" s="3" t="s">
        <v>51</v>
      </c>
      <c r="B23" s="3">
        <v>10</v>
      </c>
      <c r="C23" s="3" t="s">
        <v>5</v>
      </c>
      <c r="D23" s="6">
        <f>11450-11384</f>
        <v>66</v>
      </c>
      <c r="E23" s="6">
        <v>3</v>
      </c>
      <c r="F23" s="6">
        <f t="shared" si="4"/>
        <v>22</v>
      </c>
      <c r="G23" s="3"/>
      <c r="H23" s="3"/>
      <c r="I23" s="3"/>
      <c r="J23" s="3"/>
      <c r="K23" s="3"/>
      <c r="L23" s="3">
        <f t="shared" si="5"/>
        <v>8.8000000000000007</v>
      </c>
      <c r="M23" s="3"/>
      <c r="N23" s="3"/>
      <c r="O23" s="3"/>
      <c r="P23" s="3"/>
      <c r="Q23" s="3">
        <f t="shared" si="6"/>
        <v>2.5</v>
      </c>
      <c r="R23" s="3"/>
      <c r="S23" s="3"/>
      <c r="T23" s="3"/>
      <c r="U23" s="3"/>
      <c r="V23" s="3"/>
      <c r="W23" s="3"/>
      <c r="X23" s="3"/>
      <c r="Y23" s="3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2" ht="12" customHeight="1" x14ac:dyDescent="0.25">
      <c r="A24" s="3" t="s">
        <v>52</v>
      </c>
      <c r="B24" s="3">
        <v>10</v>
      </c>
      <c r="C24" s="3" t="s">
        <v>5</v>
      </c>
      <c r="D24" s="6">
        <f>11600-11450</f>
        <v>150</v>
      </c>
      <c r="E24" s="6">
        <v>2</v>
      </c>
      <c r="F24" s="6">
        <f t="shared" si="4"/>
        <v>33.4</v>
      </c>
      <c r="G24" s="3"/>
      <c r="H24" s="3"/>
      <c r="I24" s="3"/>
      <c r="J24" s="3"/>
      <c r="K24" s="3"/>
      <c r="L24" s="3">
        <f t="shared" si="5"/>
        <v>13.4</v>
      </c>
      <c r="M24" s="3"/>
      <c r="N24" s="3"/>
      <c r="O24" s="3"/>
      <c r="P24" s="3"/>
      <c r="Q24" s="3">
        <f t="shared" si="6"/>
        <v>3.8000000000000003</v>
      </c>
      <c r="R24" s="3"/>
      <c r="S24" s="3"/>
      <c r="T24" s="3"/>
      <c r="U24" s="3"/>
      <c r="V24" s="3"/>
      <c r="W24" s="3"/>
      <c r="X24" s="3"/>
      <c r="Y24" s="3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2" ht="12" customHeight="1" x14ac:dyDescent="0.25">
      <c r="A25" s="3" t="s">
        <v>53</v>
      </c>
      <c r="B25" s="3">
        <v>10</v>
      </c>
      <c r="C25" s="3" t="s">
        <v>5</v>
      </c>
      <c r="D25" s="6">
        <f>11635-11600</f>
        <v>35</v>
      </c>
      <c r="E25" s="6">
        <v>3</v>
      </c>
      <c r="F25" s="6">
        <f t="shared" si="4"/>
        <v>11.7</v>
      </c>
      <c r="G25" s="3"/>
      <c r="H25" s="3"/>
      <c r="I25" s="3"/>
      <c r="J25" s="3"/>
      <c r="K25" s="3"/>
      <c r="L25" s="3">
        <f t="shared" si="5"/>
        <v>4.6999999999999993</v>
      </c>
      <c r="M25" s="3"/>
      <c r="N25" s="3"/>
      <c r="O25" s="3"/>
      <c r="P25" s="3"/>
      <c r="Q25" s="3">
        <f t="shared" si="6"/>
        <v>1.3</v>
      </c>
      <c r="R25" s="3"/>
      <c r="S25" s="3"/>
      <c r="T25" s="3"/>
      <c r="U25" s="3"/>
      <c r="V25" s="3"/>
      <c r="W25" s="3"/>
      <c r="X25" s="3"/>
      <c r="Y25" s="3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1:52" ht="12" customHeight="1" x14ac:dyDescent="0.25">
      <c r="A26" s="3"/>
      <c r="B26" s="3"/>
      <c r="C26" s="3"/>
      <c r="D26" s="6"/>
      <c r="E26" s="6"/>
      <c r="F26" s="6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2" ht="12" customHeight="1" x14ac:dyDescent="0.25">
      <c r="A27" s="2" t="s">
        <v>25</v>
      </c>
      <c r="B27" s="3"/>
      <c r="C27" s="3"/>
      <c r="D27" s="6"/>
      <c r="E27" s="6"/>
      <c r="F27" s="6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2" ht="12" customHeight="1" x14ac:dyDescent="0.25">
      <c r="A28" s="3" t="s">
        <v>26</v>
      </c>
      <c r="B28" s="3">
        <v>22</v>
      </c>
      <c r="C28" s="3" t="s">
        <v>5</v>
      </c>
      <c r="D28" s="6"/>
      <c r="E28" s="6"/>
      <c r="F28" s="6">
        <f>ROUNDUP(745.7/9,1)</f>
        <v>82.899999999999991</v>
      </c>
      <c r="G28" s="6">
        <f>ROUNDUP(F28,1)</f>
        <v>82.9</v>
      </c>
      <c r="H28" s="6"/>
      <c r="I28" s="3">
        <f>ROUNDUP(((361.7*6/12)/27),1)</f>
        <v>6.6999999999999993</v>
      </c>
      <c r="J28" s="3">
        <f>ROUNDUP(((384*8/12)/27),1)</f>
        <v>9.5</v>
      </c>
      <c r="K28" s="3"/>
      <c r="L28" s="3">
        <f>ROUNDUP(((384/9)/0.4),1)</f>
        <v>106.69999999999999</v>
      </c>
      <c r="M28" s="3"/>
      <c r="N28" s="3">
        <f>ROUNDUP(((361.7*2/12)/27),1)</f>
        <v>2.3000000000000003</v>
      </c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2" ht="12" customHeight="1" x14ac:dyDescent="0.25">
      <c r="A29" s="3" t="s">
        <v>27</v>
      </c>
      <c r="B29" s="3">
        <v>22</v>
      </c>
      <c r="C29" s="3" t="s">
        <v>5</v>
      </c>
      <c r="D29" s="6"/>
      <c r="E29" s="6"/>
      <c r="F29" s="6">
        <f>ROUNDUP(454.1/9,1)</f>
        <v>50.5</v>
      </c>
      <c r="G29" s="6">
        <f t="shared" ref="G29" si="7">ROUNDUP(F29,1)</f>
        <v>50.5</v>
      </c>
      <c r="H29" s="6"/>
      <c r="I29" s="3">
        <f>ROUNDUP(((296.3*6/12)/27),1)</f>
        <v>5.5</v>
      </c>
      <c r="J29" s="3">
        <f>ROUNDUP(((157.8*8/12)/27),1)</f>
        <v>3.9</v>
      </c>
      <c r="K29" s="3"/>
      <c r="L29" s="3">
        <f>ROUNDUP(((157.8/9)/0.4),1)</f>
        <v>43.9</v>
      </c>
      <c r="M29" s="3"/>
      <c r="N29" s="3">
        <f>ROUNDUP(((296.3*2/12)/27),1)</f>
        <v>1.9000000000000001</v>
      </c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</row>
    <row r="30" spans="1:52" ht="12" customHeight="1" x14ac:dyDescent="0.25">
      <c r="A30" s="3" t="s">
        <v>28</v>
      </c>
      <c r="B30" s="3">
        <v>22</v>
      </c>
      <c r="C30" s="3" t="s">
        <v>5</v>
      </c>
      <c r="D30" s="6"/>
      <c r="E30" s="6"/>
      <c r="F30" s="6">
        <f>ROUNDUP(615.4/9,1)</f>
        <v>68.399999999999991</v>
      </c>
      <c r="G30" s="6">
        <f>ROUNDUP(F30,1)</f>
        <v>68.400000000000006</v>
      </c>
      <c r="H30" s="6"/>
      <c r="I30" s="3">
        <f>ROUNDUP(((486.4*6/12)/27),1)</f>
        <v>9.1</v>
      </c>
      <c r="J30" s="6">
        <f>ROUNDUP(((129.96*8/12)/27),1)</f>
        <v>3.3000000000000003</v>
      </c>
      <c r="K30" s="6"/>
      <c r="L30" s="3">
        <f>ROUNDUP(((129.96/9)*0.4),1)</f>
        <v>5.8</v>
      </c>
      <c r="M30" s="3"/>
      <c r="N30" s="3">
        <f>ROUNDUP(((486.394*2/12)/27),1)</f>
        <v>3.1</v>
      </c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</row>
    <row r="31" spans="1:52" ht="12" customHeight="1" x14ac:dyDescent="0.25">
      <c r="A31" s="3"/>
      <c r="B31" s="3"/>
      <c r="C31" s="3"/>
      <c r="D31" s="6"/>
      <c r="E31" s="6"/>
      <c r="F31" s="6"/>
      <c r="G31" s="6"/>
      <c r="H31" s="6"/>
      <c r="I31" s="3"/>
      <c r="J31" s="6"/>
      <c r="K31" s="6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1:52" ht="12" customHeight="1" x14ac:dyDescent="0.25">
      <c r="A32" s="2" t="s">
        <v>66</v>
      </c>
      <c r="B32" s="3"/>
      <c r="C32" s="3"/>
      <c r="D32" s="6"/>
      <c r="E32" s="6"/>
      <c r="F32" s="6"/>
      <c r="G32" s="6"/>
      <c r="H32" s="6"/>
      <c r="I32" s="3"/>
      <c r="J32" s="6"/>
      <c r="K32" s="6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1:52" ht="12" customHeight="1" x14ac:dyDescent="0.25">
      <c r="A33" s="3" t="s">
        <v>78</v>
      </c>
      <c r="B33" s="3">
        <v>26</v>
      </c>
      <c r="C33" s="3" t="s">
        <v>5</v>
      </c>
      <c r="D33" s="6"/>
      <c r="E33" s="6"/>
      <c r="F33" s="6"/>
      <c r="G33" s="6"/>
      <c r="H33" s="6"/>
      <c r="I33" s="3"/>
      <c r="J33" s="6"/>
      <c r="K33" s="6"/>
      <c r="L33" s="3"/>
      <c r="M33" s="3"/>
      <c r="N33" s="3"/>
      <c r="O33" s="3"/>
      <c r="P33" s="3"/>
      <c r="Q33" s="3"/>
      <c r="R33" s="3"/>
      <c r="S33" s="3"/>
      <c r="T33" s="3">
        <v>2</v>
      </c>
      <c r="U33" s="3">
        <v>1</v>
      </c>
      <c r="V33" s="3">
        <v>11.5</v>
      </c>
      <c r="W33" s="3">
        <v>8.5</v>
      </c>
      <c r="X33" s="3"/>
      <c r="Y33" s="3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</row>
    <row r="34" spans="1:52" ht="12" customHeight="1" x14ac:dyDescent="0.25">
      <c r="A34" s="3"/>
      <c r="B34" s="3"/>
      <c r="C34" s="3"/>
      <c r="D34" s="6"/>
      <c r="E34" s="6"/>
      <c r="F34" s="6"/>
      <c r="G34" s="6"/>
      <c r="H34" s="6"/>
      <c r="I34" s="3"/>
      <c r="J34" s="6"/>
      <c r="K34" s="6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</row>
    <row r="35" spans="1:52" ht="12" customHeight="1" x14ac:dyDescent="0.25">
      <c r="A35" s="2" t="s">
        <v>67</v>
      </c>
      <c r="B35" s="3"/>
      <c r="C35" s="3"/>
      <c r="D35" s="6"/>
      <c r="E35" s="6"/>
      <c r="F35" s="6"/>
      <c r="G35" s="6"/>
      <c r="H35" s="6"/>
      <c r="I35" s="3"/>
      <c r="J35" s="6"/>
      <c r="K35" s="6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</row>
    <row r="36" spans="1:52" ht="12" customHeight="1" x14ac:dyDescent="0.25">
      <c r="A36" s="3" t="s">
        <v>69</v>
      </c>
      <c r="B36" s="3">
        <v>26</v>
      </c>
      <c r="C36" s="3" t="s">
        <v>5</v>
      </c>
      <c r="D36" s="6"/>
      <c r="E36" s="6"/>
      <c r="F36" s="6"/>
      <c r="G36" s="6"/>
      <c r="H36" s="6"/>
      <c r="I36" s="3"/>
      <c r="J36" s="6"/>
      <c r="K36" s="6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>
        <f>ROUNDUP((11725-10925)/5280,2)</f>
        <v>0.16</v>
      </c>
      <c r="Y36" s="3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</row>
    <row r="37" spans="1:52" ht="12" customHeight="1" x14ac:dyDescent="0.25">
      <c r="A37" s="3" t="s">
        <v>70</v>
      </c>
      <c r="B37" s="3">
        <v>26</v>
      </c>
      <c r="C37" s="3" t="s">
        <v>61</v>
      </c>
      <c r="D37" s="6"/>
      <c r="E37" s="6"/>
      <c r="F37" s="6"/>
      <c r="G37" s="6"/>
      <c r="H37" s="6"/>
      <c r="I37" s="3"/>
      <c r="J37" s="6"/>
      <c r="K37" s="6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>
        <f>ROUNDUP((11725-10925)/5280,2)</f>
        <v>0.16</v>
      </c>
      <c r="Y37" s="3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</row>
    <row r="38" spans="1:52" ht="12" customHeight="1" x14ac:dyDescent="0.25">
      <c r="A38" s="3" t="s">
        <v>71</v>
      </c>
      <c r="B38" s="3">
        <v>26</v>
      </c>
      <c r="C38" s="3"/>
      <c r="D38" s="6"/>
      <c r="E38" s="6"/>
      <c r="F38" s="6"/>
      <c r="G38" s="6"/>
      <c r="H38" s="6"/>
      <c r="I38" s="3"/>
      <c r="J38" s="6"/>
      <c r="K38" s="6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>
        <f>ROUNDUP((11725-10925)/5280,2)</f>
        <v>0.16</v>
      </c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</row>
    <row r="39" spans="1:52" ht="12" customHeight="1" x14ac:dyDescent="0.25">
      <c r="A39" s="3"/>
      <c r="B39" s="3"/>
      <c r="C39" s="3"/>
      <c r="D39" s="6"/>
      <c r="E39" s="6"/>
      <c r="F39" s="6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</row>
    <row r="40" spans="1:52" ht="12" customHeight="1" x14ac:dyDescent="0.25">
      <c r="A40" s="14" t="s">
        <v>1</v>
      </c>
      <c r="B40" s="15"/>
      <c r="C40" s="15"/>
      <c r="D40" s="15"/>
      <c r="E40" s="15"/>
      <c r="F40" s="16"/>
      <c r="G40" s="9">
        <f t="shared" ref="G40" si="8">ROUNDUP(SUM(G6:G39),0)</f>
        <v>202</v>
      </c>
      <c r="H40" s="9">
        <f t="shared" ref="H40:U40" si="9">ROUNDUP(SUM(H6:H39),0)</f>
        <v>1600</v>
      </c>
      <c r="I40" s="9">
        <f t="shared" si="9"/>
        <v>22</v>
      </c>
      <c r="J40" s="9">
        <f t="shared" si="9"/>
        <v>17</v>
      </c>
      <c r="K40" s="9">
        <f t="shared" si="9"/>
        <v>144</v>
      </c>
      <c r="L40" s="9">
        <f t="shared" si="9"/>
        <v>223</v>
      </c>
      <c r="M40" s="9">
        <f t="shared" si="9"/>
        <v>67</v>
      </c>
      <c r="N40" s="9">
        <f t="shared" si="9"/>
        <v>8</v>
      </c>
      <c r="O40" s="9">
        <f t="shared" si="9"/>
        <v>9</v>
      </c>
      <c r="P40" s="9">
        <f t="shared" si="9"/>
        <v>18</v>
      </c>
      <c r="Q40" s="9">
        <f t="shared" si="9"/>
        <v>19</v>
      </c>
      <c r="R40" s="9">
        <f>ROUNDUP(SUM(R5:R39),0)</f>
        <v>11</v>
      </c>
      <c r="S40" s="9">
        <f>ROUNDUP(SUM(S5:S39),0)</f>
        <v>11</v>
      </c>
      <c r="T40" s="9">
        <f t="shared" si="9"/>
        <v>2</v>
      </c>
      <c r="U40" s="9">
        <f t="shared" si="9"/>
        <v>1</v>
      </c>
      <c r="V40" s="9">
        <f>ROUNDUP(SUM(V6:V39),1)</f>
        <v>11.5</v>
      </c>
      <c r="W40" s="9">
        <f>ROUNDUP(SUM(W6:W39),1)</f>
        <v>8.5</v>
      </c>
      <c r="X40" s="9">
        <f>ROUNDUP(SUM(X6:X39),2)</f>
        <v>0.32</v>
      </c>
      <c r="Y40" s="9">
        <f>ROUNDUP(SUM(Y6:Y39),2)</f>
        <v>0.16</v>
      </c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</row>
    <row r="41" spans="1:52" ht="12" customHeight="1" x14ac:dyDescent="0.25">
      <c r="A41" s="17"/>
      <c r="B41" s="18"/>
      <c r="C41" s="18"/>
      <c r="D41" s="18"/>
      <c r="E41" s="18"/>
      <c r="F41" s="19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52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5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52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52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5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5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5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5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5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52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52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</row>
    <row r="59" spans="1:52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</row>
    <row r="60" spans="1:52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</row>
    <row r="61" spans="1:52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</row>
    <row r="62" spans="1:52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</row>
    <row r="63" spans="1:52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</row>
    <row r="64" spans="1:52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</row>
    <row r="65" spans="1:52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</row>
    <row r="66" spans="1:52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</row>
    <row r="67" spans="1:52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</row>
    <row r="68" spans="1:52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</row>
    <row r="69" spans="1:52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</row>
    <row r="70" spans="1:52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</row>
    <row r="71" spans="1:52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</row>
    <row r="72" spans="1:52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</row>
    <row r="73" spans="1:52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</row>
    <row r="74" spans="1:52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</row>
    <row r="75" spans="1:52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</row>
    <row r="76" spans="1:52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</row>
    <row r="77" spans="1:52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</row>
    <row r="78" spans="1:52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</row>
    <row r="79" spans="1:52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</row>
    <row r="80" spans="1:52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</row>
    <row r="81" spans="1:52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</row>
    <row r="82" spans="1:52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</row>
    <row r="83" spans="1:52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</row>
    <row r="84" spans="1:52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</row>
    <row r="85" spans="1:52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</row>
    <row r="86" spans="1:52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</row>
    <row r="87" spans="1:52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</row>
    <row r="88" spans="1:52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</row>
    <row r="89" spans="1:52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</row>
    <row r="90" spans="1:52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</row>
    <row r="91" spans="1:52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</row>
    <row r="92" spans="1:5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</row>
    <row r="93" spans="1:52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</row>
    <row r="94" spans="1:52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</row>
    <row r="95" spans="1:52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</row>
    <row r="96" spans="1:52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</row>
    <row r="97" spans="1:52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</row>
    <row r="98" spans="1:52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</row>
    <row r="99" spans="1:52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</row>
    <row r="100" spans="1:52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</row>
    <row r="101" spans="1:5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</row>
    <row r="102" spans="1:5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</row>
    <row r="103" spans="1:5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</row>
    <row r="104" spans="1:5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</row>
    <row r="105" spans="1:5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</row>
    <row r="106" spans="1:5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</row>
    <row r="107" spans="1:5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</row>
    <row r="108" spans="1:5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</row>
    <row r="109" spans="1:5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</row>
    <row r="110" spans="1:5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</row>
    <row r="111" spans="1:5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</row>
    <row r="112" spans="1:5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</row>
    <row r="113" spans="1:5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</row>
    <row r="114" spans="1:5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</row>
    <row r="115" spans="1:5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</row>
    <row r="116" spans="1:5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</row>
    <row r="117" spans="1:5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</row>
    <row r="118" spans="1:5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</row>
    <row r="119" spans="1:5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</row>
    <row r="120" spans="1:5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</row>
    <row r="121" spans="1:5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</row>
    <row r="122" spans="1:5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</row>
    <row r="123" spans="1:5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</row>
    <row r="124" spans="1:5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</row>
    <row r="125" spans="1:5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</row>
    <row r="126" spans="1:5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</row>
    <row r="127" spans="1:5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</row>
    <row r="128" spans="1:5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</row>
    <row r="129" spans="1:5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</row>
    <row r="130" spans="1:5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</row>
    <row r="131" spans="1:5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</row>
    <row r="132" spans="1:5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</row>
    <row r="133" spans="1:5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</row>
    <row r="134" spans="1:5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</row>
    <row r="135" spans="1:5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</row>
    <row r="136" spans="1:5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</row>
    <row r="137" spans="1:5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</row>
    <row r="138" spans="1:5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</row>
    <row r="139" spans="1:5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</row>
    <row r="140" spans="1:5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</row>
    <row r="141" spans="1:5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</row>
    <row r="142" spans="1:5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</row>
    <row r="143" spans="1:5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</row>
    <row r="144" spans="1:5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</row>
    <row r="145" spans="1:5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</row>
    <row r="146" spans="1:5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</row>
    <row r="147" spans="1:5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</row>
    <row r="148" spans="1:5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</row>
    <row r="149" spans="1:5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</row>
    <row r="150" spans="1:5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</row>
    <row r="151" spans="1:5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</row>
    <row r="152" spans="1:5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</row>
    <row r="153" spans="1:5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</row>
    <row r="154" spans="1:5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</row>
    <row r="155" spans="1:5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</row>
    <row r="156" spans="1:5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</row>
    <row r="157" spans="1:5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</row>
    <row r="158" spans="1:5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</row>
    <row r="159" spans="1:5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</row>
    <row r="160" spans="1:5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</row>
    <row r="161" spans="1:5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</row>
    <row r="162" spans="1:5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</row>
    <row r="163" spans="1:5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</row>
    <row r="164" spans="1:5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</row>
    <row r="165" spans="1:5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</row>
    <row r="166" spans="1:5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</row>
    <row r="167" spans="1:5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</row>
    <row r="168" spans="1:5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</row>
    <row r="169" spans="1:5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</row>
    <row r="170" spans="1:5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</row>
    <row r="171" spans="1:5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</row>
    <row r="172" spans="1:5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</row>
    <row r="173" spans="1:5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</row>
    <row r="174" spans="1:5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</row>
    <row r="175" spans="1:5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</row>
    <row r="176" spans="1:5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</row>
    <row r="177" spans="1:5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</row>
    <row r="178" spans="1:5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</row>
    <row r="179" spans="1:5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</row>
    <row r="180" spans="1:5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</row>
    <row r="181" spans="1:5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</row>
    <row r="182" spans="1:5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</row>
    <row r="183" spans="1:5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</row>
    <row r="184" spans="1:5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</row>
    <row r="185" spans="1:5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</row>
    <row r="186" spans="1:5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</row>
    <row r="187" spans="1:5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</row>
    <row r="188" spans="1:5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</row>
    <row r="189" spans="1:5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</row>
    <row r="190" spans="1:5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</row>
    <row r="191" spans="1:5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</row>
    <row r="192" spans="1:5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</row>
    <row r="193" spans="1:5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</row>
    <row r="194" spans="1:5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</row>
    <row r="195" spans="1:5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</row>
    <row r="196" spans="1:5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</row>
    <row r="197" spans="1:5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</row>
    <row r="198" spans="1:5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</row>
    <row r="199" spans="1:5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</row>
    <row r="200" spans="1:5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</row>
    <row r="201" spans="1:52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</row>
    <row r="202" spans="1:52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</row>
    <row r="203" spans="1:52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</row>
    <row r="204" spans="1:52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</row>
    <row r="205" spans="1:52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</row>
    <row r="206" spans="1:52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</row>
    <row r="207" spans="1:52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</row>
    <row r="208" spans="1:52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</row>
    <row r="209" spans="1:52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</row>
    <row r="210" spans="1:52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</row>
    <row r="211" spans="1:52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</row>
    <row r="212" spans="1:52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</row>
    <row r="213" spans="1:52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</row>
    <row r="214" spans="1:52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</row>
    <row r="215" spans="1:52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</row>
    <row r="216" spans="1:52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</row>
    <row r="217" spans="1:52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</row>
    <row r="218" spans="1:52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</row>
    <row r="219" spans="1:52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</row>
    <row r="220" spans="1:52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</row>
    <row r="221" spans="1:52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</row>
    <row r="222" spans="1:52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</row>
    <row r="223" spans="1:52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</row>
    <row r="224" spans="1:52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</row>
    <row r="225" spans="1:52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</row>
    <row r="226" spans="1:52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</row>
    <row r="227" spans="1:52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</row>
    <row r="228" spans="1:5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</row>
    <row r="229" spans="1:5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</row>
    <row r="230" spans="1:52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</row>
    <row r="231" spans="1:52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</row>
    <row r="232" spans="1:52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</row>
    <row r="233" spans="1:52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</row>
    <row r="234" spans="1:52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</row>
    <row r="235" spans="1:52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</row>
    <row r="236" spans="1:52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</row>
    <row r="237" spans="1:52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</row>
    <row r="238" spans="1:52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</row>
    <row r="239" spans="1:52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</row>
    <row r="240" spans="1:52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</row>
    <row r="241" spans="1:52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</row>
    <row r="242" spans="1:52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</row>
    <row r="243" spans="1:52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</row>
    <row r="244" spans="1:52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</row>
    <row r="245" spans="1:52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</row>
    <row r="246" spans="1:52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</row>
    <row r="247" spans="1:52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</row>
    <row r="248" spans="1:52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</row>
    <row r="249" spans="1:52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</row>
    <row r="250" spans="1:52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</row>
    <row r="251" spans="1:52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</row>
    <row r="252" spans="1:52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</row>
    <row r="253" spans="1:52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</row>
    <row r="254" spans="1:52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</row>
    <row r="255" spans="1:52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</row>
    <row r="256" spans="1:52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</row>
    <row r="257" spans="1:52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</row>
    <row r="258" spans="1:52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</row>
    <row r="259" spans="1:52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</row>
    <row r="260" spans="1:52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</row>
    <row r="261" spans="1:52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</row>
    <row r="262" spans="1:52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</row>
    <row r="263" spans="1:52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</row>
    <row r="264" spans="1:52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</row>
    <row r="265" spans="1:52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</row>
    <row r="266" spans="1:52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</row>
    <row r="267" spans="1:52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</row>
    <row r="268" spans="1:52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</row>
    <row r="269" spans="1:52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</row>
    <row r="270" spans="1:52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</row>
    <row r="271" spans="1:52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</row>
    <row r="272" spans="1:52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</row>
    <row r="273" spans="1:52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</row>
    <row r="274" spans="1:52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</row>
    <row r="275" spans="1:52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</row>
    <row r="276" spans="1:52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</row>
    <row r="277" spans="1:52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</row>
    <row r="278" spans="1:52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</row>
    <row r="279" spans="1:52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</row>
    <row r="280" spans="1:52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</row>
    <row r="281" spans="1:52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</row>
    <row r="282" spans="1:52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</row>
    <row r="283" spans="1:52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</row>
    <row r="284" spans="1:52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</row>
    <row r="285" spans="1:52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</row>
    <row r="286" spans="1:52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</row>
    <row r="287" spans="1:52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</row>
    <row r="288" spans="1:52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</row>
    <row r="289" spans="1:52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</row>
    <row r="290" spans="1:52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</row>
    <row r="291" spans="1:52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</row>
    <row r="292" spans="1:52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</row>
    <row r="293" spans="1:52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</row>
    <row r="294" spans="1:52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</row>
    <row r="295" spans="1:52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</row>
    <row r="296" spans="1:52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</row>
    <row r="297" spans="1:52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</row>
    <row r="298" spans="1:52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</row>
    <row r="299" spans="1:52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</row>
    <row r="300" spans="1:52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</row>
    <row r="301" spans="1:52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</row>
    <row r="302" spans="1:52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</row>
    <row r="303" spans="1:52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</row>
    <row r="304" spans="1:52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</row>
    <row r="305" spans="1:52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</row>
    <row r="306" spans="1:52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</row>
    <row r="307" spans="1:52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</row>
    <row r="308" spans="1:52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</row>
    <row r="309" spans="1:52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</row>
    <row r="310" spans="1:52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</row>
    <row r="311" spans="1:52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</row>
    <row r="312" spans="1:52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</row>
    <row r="313" spans="1:52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</row>
    <row r="314" spans="1:52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</row>
    <row r="315" spans="1:52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</row>
    <row r="316" spans="1:52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</row>
    <row r="317" spans="1:52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</row>
    <row r="318" spans="1:52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</row>
    <row r="319" spans="1:52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</row>
    <row r="320" spans="1:52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</row>
    <row r="321" spans="1:52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</row>
    <row r="322" spans="1:52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</row>
    <row r="323" spans="1:52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</row>
    <row r="324" spans="1:52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</row>
    <row r="325" spans="1:52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</row>
    <row r="326" spans="1:52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</row>
    <row r="327" spans="1:52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</row>
    <row r="328" spans="1:52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</row>
    <row r="329" spans="1:52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</row>
    <row r="330" spans="1:52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</row>
    <row r="331" spans="1:52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</row>
    <row r="332" spans="1:52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</row>
    <row r="333" spans="1:52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</row>
    <row r="334" spans="1:52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</row>
    <row r="335" spans="1:52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</row>
    <row r="336" spans="1:52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</row>
    <row r="337" spans="1:52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</row>
    <row r="338" spans="1:52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</row>
    <row r="339" spans="1:52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</row>
    <row r="340" spans="1:52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</row>
    <row r="341" spans="1:52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</row>
    <row r="342" spans="1:52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</row>
    <row r="343" spans="1:52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</row>
    <row r="344" spans="1:52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</row>
    <row r="345" spans="1:52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</row>
    <row r="346" spans="1:52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</row>
    <row r="347" spans="1:52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</row>
    <row r="348" spans="1:52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</row>
    <row r="349" spans="1:52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</row>
    <row r="350" spans="1:52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</row>
    <row r="351" spans="1:52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</row>
    <row r="352" spans="1:52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</row>
    <row r="353" spans="1:52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</row>
    <row r="354" spans="1:52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</row>
    <row r="355" spans="1:52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</row>
    <row r="356" spans="1:52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</row>
  </sheetData>
  <mergeCells count="36">
    <mergeCell ref="X40:X41"/>
    <mergeCell ref="Y40:Y41"/>
    <mergeCell ref="X2:X3"/>
    <mergeCell ref="Y2:Y3"/>
    <mergeCell ref="R2:R3"/>
    <mergeCell ref="S2:S3"/>
    <mergeCell ref="R40:R41"/>
    <mergeCell ref="S40:S41"/>
    <mergeCell ref="T40:T41"/>
    <mergeCell ref="U40:U41"/>
    <mergeCell ref="V40:V41"/>
    <mergeCell ref="W40:W41"/>
    <mergeCell ref="T2:T3"/>
    <mergeCell ref="U2:U3"/>
    <mergeCell ref="V2:V3"/>
    <mergeCell ref="W2:W3"/>
    <mergeCell ref="A40:F41"/>
    <mergeCell ref="G40:G41"/>
    <mergeCell ref="I40:I41"/>
    <mergeCell ref="B1:B4"/>
    <mergeCell ref="A1:A4"/>
    <mergeCell ref="C1:C4"/>
    <mergeCell ref="D1:D3"/>
    <mergeCell ref="E1:E3"/>
    <mergeCell ref="F1:F3"/>
    <mergeCell ref="J40:J41"/>
    <mergeCell ref="P2:P3"/>
    <mergeCell ref="P40:P41"/>
    <mergeCell ref="Q40:Q41"/>
    <mergeCell ref="G2:G3"/>
    <mergeCell ref="O40:O41"/>
    <mergeCell ref="L40:L41"/>
    <mergeCell ref="N40:N41"/>
    <mergeCell ref="H40:H41"/>
    <mergeCell ref="M40:M41"/>
    <mergeCell ref="K40:K4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D5CC5-91D7-430C-B399-D63F1DB538B2}">
  <dimension ref="A1:T41"/>
  <sheetViews>
    <sheetView workbookViewId="0">
      <selection activeCell="K6" sqref="K6"/>
    </sheetView>
  </sheetViews>
  <sheetFormatPr defaultRowHeight="15" x14ac:dyDescent="0.25"/>
  <cols>
    <col min="1" max="8" width="10.7109375" customWidth="1"/>
    <col min="9" max="20" width="15.7109375" customWidth="1"/>
  </cols>
  <sheetData>
    <row r="1" spans="1:20" x14ac:dyDescent="0.25">
      <c r="A1" s="23" t="s">
        <v>36</v>
      </c>
      <c r="B1" s="23"/>
      <c r="C1" s="23"/>
      <c r="D1" s="23"/>
      <c r="E1" s="23"/>
      <c r="F1" s="23"/>
      <c r="G1" s="23"/>
      <c r="H1" s="2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5.1" customHeight="1" x14ac:dyDescent="0.25">
      <c r="A2" s="3" t="s">
        <v>30</v>
      </c>
      <c r="B2" s="7" t="s">
        <v>31</v>
      </c>
      <c r="C2" s="7" t="s">
        <v>40</v>
      </c>
      <c r="D2" s="3" t="s">
        <v>32</v>
      </c>
      <c r="E2" s="3" t="s">
        <v>33</v>
      </c>
      <c r="F2" s="7" t="s">
        <v>41</v>
      </c>
      <c r="G2" s="7" t="s">
        <v>34</v>
      </c>
      <c r="H2" s="3" t="s">
        <v>35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3">
        <v>814.72</v>
      </c>
      <c r="B3" s="6">
        <v>9.69</v>
      </c>
      <c r="C3" s="8">
        <f>(E3-A3)/B3</f>
        <v>3.0959752321953267E-3</v>
      </c>
      <c r="D3" s="3" t="s">
        <v>37</v>
      </c>
      <c r="E3" s="3">
        <v>814.75</v>
      </c>
      <c r="F3" s="8">
        <f>(E3-H3)/G3</f>
        <v>2.2857142857148054E-2</v>
      </c>
      <c r="G3" s="6">
        <v>8.75</v>
      </c>
      <c r="H3" s="3">
        <v>814.55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3">
        <v>814.63</v>
      </c>
      <c r="B4" s="6">
        <v>9.7899999999999991</v>
      </c>
      <c r="C4" s="8">
        <f t="shared" ref="C4:C5" si="0">(E4-A4)/B4</f>
        <v>-1.0214504596517779E-3</v>
      </c>
      <c r="D4" s="3" t="s">
        <v>38</v>
      </c>
      <c r="E4" s="3">
        <v>814.62</v>
      </c>
      <c r="F4" s="8">
        <f t="shared" ref="F4:F5" si="1">(E4-H4)/G4</f>
        <v>3.7757437070942895E-2</v>
      </c>
      <c r="G4" s="6">
        <v>8.74</v>
      </c>
      <c r="H4" s="3">
        <v>814.29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3">
        <v>814.53</v>
      </c>
      <c r="B5" s="6">
        <v>9.49</v>
      </c>
      <c r="C5" s="8">
        <f t="shared" si="0"/>
        <v>2.1074815595344375E-3</v>
      </c>
      <c r="D5" s="3" t="s">
        <v>39</v>
      </c>
      <c r="E5" s="3">
        <v>814.55</v>
      </c>
      <c r="F5" s="8">
        <f t="shared" si="1"/>
        <v>4.8837209302320828E-2</v>
      </c>
      <c r="G5" s="3">
        <v>8.6</v>
      </c>
      <c r="H5" s="3">
        <v>814.13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</sheetData>
  <mergeCells count="1">
    <mergeCell ref="A1:H1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Estimated QTYs</vt:lpstr>
      <vt:lpstr>Table of Pavement Repair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Gaven Motschenbacher</dc:creator>
  <cp:lastModifiedBy>Motschenbacher, Gaven</cp:lastModifiedBy>
  <dcterms:created xsi:type="dcterms:W3CDTF">2023-05-23T20:32:37Z</dcterms:created>
  <dcterms:modified xsi:type="dcterms:W3CDTF">2025-11-10T17:49:12Z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