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hterrell\appdata\local\bentley\projectwise\workingdir\ohiodot-pw.bentley.com_ohiodot-pw-02\mhterrell@transystems.com\d0889390\"/>
    </mc:Choice>
  </mc:AlternateContent>
  <xr:revisionPtr revIDLastSave="0" documentId="13_ncr:1_{609FA648-4942-4079-94EF-B002AA8500EC}" xr6:coauthVersionLast="47" xr6:coauthVersionMax="47" xr10:uidLastSave="{00000000-0000-0000-0000-000000000000}"/>
  <bookViews>
    <workbookView xWindow="30015" yWindow="1530" windowWidth="26700" windowHeight="13905" xr2:uid="{00000000-000D-0000-FFFF-FFFF00000000}"/>
  </bookViews>
  <sheets>
    <sheet name="Estimating" sheetId="1" r:id="rId1"/>
    <sheet name="Guidance Document" sheetId="3" r:id="rId2"/>
  </sheets>
  <definedNames>
    <definedName name="_xlnm.Print_Area" localSheetId="0">Estimating!$A$1:$G$111</definedName>
    <definedName name="_xlnm.Print_Titles" localSheetId="0">Estimating!$1:$2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B21" i="1"/>
  <c r="C88" i="1" s="1"/>
  <c r="D85" i="1"/>
  <c r="D88" i="1" s="1"/>
  <c r="C69" i="1"/>
  <c r="D70" i="1" s="1"/>
  <c r="C100" i="1"/>
  <c r="D101" i="1" s="1"/>
  <c r="E101" i="1" s="1"/>
  <c r="D96" i="1"/>
  <c r="E96" i="1" s="1"/>
  <c r="C85" i="1" l="1"/>
  <c r="E85" i="1" s="1"/>
  <c r="D59" i="1"/>
  <c r="E59" i="1" s="1"/>
  <c r="D64" i="1"/>
  <c r="E64" i="1" s="1"/>
  <c r="C19" i="1"/>
  <c r="D50" i="1"/>
  <c r="D51" i="1" s="1"/>
  <c r="E51" i="1" s="1"/>
  <c r="E88" i="1"/>
  <c r="D76" i="1"/>
  <c r="E76" i="1" s="1"/>
  <c r="D71" i="1"/>
  <c r="E71" i="1" s="1"/>
  <c r="E50" i="1" l="1"/>
  <c r="B12" i="1"/>
  <c r="B13" i="1" s="1"/>
  <c r="C14" i="1" l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DSWC</author>
    <author xml:space="preserve"> </author>
  </authors>
  <commentList>
    <comment ref="D7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Length of Project X 2 sides, one every 500 ft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Multiplies number of checks by 12 ft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6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:Assumes each 1/4 of the filter fabric ditch checks include rock
Rock is assumed to have x-sect area 16 ft^2 x 3 feet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:Doubles stream length to account for both sides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8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:Based upon 50 feet on each side of Stream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6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:Assumes 4 ft side - 4 sides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<sst xmlns="http://schemas.openxmlformats.org/spreadsheetml/2006/main" count="166" uniqueCount="135">
  <si>
    <t>Project Name</t>
  </si>
  <si>
    <t>Project Type</t>
  </si>
  <si>
    <t>English Units</t>
  </si>
  <si>
    <t>Item</t>
  </si>
  <si>
    <t>Unit</t>
  </si>
  <si>
    <t>Description</t>
  </si>
  <si>
    <t>Construction Seeding and Mulching</t>
  </si>
  <si>
    <t>Slope Drains</t>
  </si>
  <si>
    <t>Sediment Basins and Dams</t>
  </si>
  <si>
    <t>Perimeter Filter Fabric Fence</t>
  </si>
  <si>
    <t>Inlet Protection</t>
  </si>
  <si>
    <t>Dikes</t>
  </si>
  <si>
    <t>Sediment Removal</t>
  </si>
  <si>
    <t>Construction Fence</t>
  </si>
  <si>
    <t>Planned Construction Seasons</t>
  </si>
  <si>
    <t>Culvert 1</t>
  </si>
  <si>
    <t>Culvert 3</t>
  </si>
  <si>
    <t>Culvert 2</t>
  </si>
  <si>
    <t>Culvert 4</t>
  </si>
  <si>
    <t>Culvert 5</t>
  </si>
  <si>
    <t>Culvert 6</t>
  </si>
  <si>
    <t xml:space="preserve">Culvert 7 </t>
  </si>
  <si>
    <t>Culvert 8</t>
  </si>
  <si>
    <t>Culvert 9</t>
  </si>
  <si>
    <t>Culvert 10</t>
  </si>
  <si>
    <t>Culvert 11</t>
  </si>
  <si>
    <t>Culvert 12</t>
  </si>
  <si>
    <t>Culvert 13</t>
  </si>
  <si>
    <t>Culvert 14</t>
  </si>
  <si>
    <t>Culvert 15</t>
  </si>
  <si>
    <t>Culvert 16</t>
  </si>
  <si>
    <t>Settling Basin Size (cyd.)</t>
  </si>
  <si>
    <t>Temporary Sediment &amp; Erosion Cost</t>
  </si>
  <si>
    <t>Length (Ft)</t>
  </si>
  <si>
    <t>Silt Fence Length (Ft)</t>
  </si>
  <si>
    <t>Seeding (square yd)</t>
  </si>
  <si>
    <t>Catch Basins</t>
  </si>
  <si>
    <t>New</t>
  </si>
  <si>
    <t>Adjusted</t>
  </si>
  <si>
    <t>Catch Basin Protection (Ft.)</t>
  </si>
  <si>
    <t>Estimated Construction Cost</t>
  </si>
  <si>
    <t>Total of Temporary Erosion Control</t>
  </si>
  <si>
    <t>Percentage of Costruction Cost</t>
  </si>
  <si>
    <t>Rock  (cubic yards)</t>
  </si>
  <si>
    <t>Constuction Seeding and Mulching</t>
  </si>
  <si>
    <t>(Square. yd.)</t>
  </si>
  <si>
    <t>Filter Fabric Ditch Check</t>
  </si>
  <si>
    <t>Sediment Basins</t>
  </si>
  <si>
    <t>Culvert 17</t>
  </si>
  <si>
    <t>Culvert 18</t>
  </si>
  <si>
    <t>Culvert 19</t>
  </si>
  <si>
    <t>Culvert 20</t>
  </si>
  <si>
    <t>Culvert 21</t>
  </si>
  <si>
    <t>Culvert 22</t>
  </si>
  <si>
    <t>Culvert 23</t>
  </si>
  <si>
    <t>Culvert 24</t>
  </si>
  <si>
    <t>Culvert 25</t>
  </si>
  <si>
    <t>Total Sediment Basins (cyd.)</t>
  </si>
  <si>
    <t>Number of Filter Ditch Checks</t>
  </si>
  <si>
    <t>Length of Filter Ditch Checks (ft)</t>
  </si>
  <si>
    <t>Rock Channel Protection w/ Filter</t>
  </si>
  <si>
    <t>Existing Stream Protection</t>
  </si>
  <si>
    <t>Length of project (ft)</t>
  </si>
  <si>
    <t>Number of Existing Streams</t>
  </si>
  <si>
    <t>Seeding Area</t>
  </si>
  <si>
    <t>Bikeways</t>
  </si>
  <si>
    <t>Bridge Deck Replacement</t>
  </si>
  <si>
    <t>Bridge Maintenance</t>
  </si>
  <si>
    <t>Bridge Repair</t>
  </si>
  <si>
    <t>Bridge Replacement</t>
  </si>
  <si>
    <t>Building Demolition</t>
  </si>
  <si>
    <t>Bypass</t>
  </si>
  <si>
    <t>Catch basins</t>
  </si>
  <si>
    <t>Culvert Construction/Reconstr/Repair</t>
  </si>
  <si>
    <t>Drainage Improvement</t>
  </si>
  <si>
    <t>Earthwork</t>
  </si>
  <si>
    <t>Interchange, New</t>
  </si>
  <si>
    <t>Interchange, Reconstruction</t>
  </si>
  <si>
    <t>Landscaping</t>
  </si>
  <si>
    <t>Major Reconstruction</t>
  </si>
  <si>
    <t>Major Rehabilitation</t>
  </si>
  <si>
    <t>Major Widening</t>
  </si>
  <si>
    <t>Minor Widening</t>
  </si>
  <si>
    <t>New Bridge</t>
  </si>
  <si>
    <t>Realignment</t>
  </si>
  <si>
    <t>Relocation</t>
  </si>
  <si>
    <t>Resurfacing (safety related)</t>
  </si>
  <si>
    <t>Resurfacing,  Undivided System</t>
  </si>
  <si>
    <t>Resurfacing, Divided System</t>
  </si>
  <si>
    <t>RR Crossing Protection</t>
  </si>
  <si>
    <t>RR Crossing Reconstruction</t>
  </si>
  <si>
    <t>Slide Repair</t>
  </si>
  <si>
    <t>Storm Sewer Repair</t>
  </si>
  <si>
    <t>Stream Mitigation</t>
  </si>
  <si>
    <t>OTHER</t>
  </si>
  <si>
    <t>PID</t>
  </si>
  <si>
    <t>Construction Entrance</t>
  </si>
  <si>
    <t>Average Right of Way Width</t>
  </si>
  <si>
    <t>Number of Entrances</t>
  </si>
  <si>
    <t>Project Earth Disturbed Area (acres)</t>
  </si>
  <si>
    <t>Est. Contractor Disturbed Area (acres)</t>
  </si>
  <si>
    <t>Total Acres</t>
  </si>
  <si>
    <t>Project Identified EDA (Acres)</t>
  </si>
  <si>
    <t>Fixed Price</t>
  </si>
  <si>
    <t>Comment</t>
  </si>
  <si>
    <t>Sq. Yd.</t>
  </si>
  <si>
    <t>Based on NOI Acres</t>
  </si>
  <si>
    <t>Lin. Ft.</t>
  </si>
  <si>
    <t>Cu. Yd.</t>
  </si>
  <si>
    <t>Rock Channel Protection, Type C or D with Filter</t>
  </si>
  <si>
    <t xml:space="preserve">Labor and Fabric cost only* </t>
  </si>
  <si>
    <t>Rock Channel Protection, Type C or D without Filter</t>
  </si>
  <si>
    <t>Labor cost only*</t>
  </si>
  <si>
    <t>Construction Mulching</t>
  </si>
  <si>
    <t xml:space="preserve">*  Unit cost shown above applies to installation cost of Rock Channel Protection BMP(s) minus the material cost for rock.  Rock material compensation will be paid per CMS 109.05 C Force Account FOB job site.  </t>
  </si>
  <si>
    <t>($/Square Yard)</t>
  </si>
  <si>
    <t>($/Foot)</t>
  </si>
  <si>
    <t xml:space="preserve">Contributing Drainage Area to Culverts </t>
  </si>
  <si>
    <t>New Construction</t>
  </si>
  <si>
    <t>Temporary Erosion Control Estimating</t>
  </si>
  <si>
    <t>CLICK FOR INPUT HELP</t>
  </si>
  <si>
    <t>Double Click icon below for Access to TSEC BMP estimator guidance document</t>
  </si>
  <si>
    <t>Drainage Area (acres)</t>
  </si>
  <si>
    <t>Basin Sediment Removal</t>
  </si>
  <si>
    <t>Miscellaneous Sediment Removal</t>
  </si>
  <si>
    <t>Skimmer</t>
  </si>
  <si>
    <t>EA</t>
  </si>
  <si>
    <t>Based on drainage area</t>
  </si>
  <si>
    <t>Version 07/21/23</t>
  </si>
  <si>
    <t>Temporary Stabilization Matting</t>
  </si>
  <si>
    <t>ERIE-US 0006 CONNECTIVITY CORRIDOR</t>
  </si>
  <si>
    <t>SWPPP Inspection</t>
  </si>
  <si>
    <t>SWPPP Plan</t>
  </si>
  <si>
    <t>SWPPP Inspection Software</t>
  </si>
  <si>
    <t>116570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</si>
</sst>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&quot;$&quot;#,##0;[Red]&quot;$&quot;#,##0"/>
    <numFmt numFmtId="167" formatCode="0.000%"/>
  </numFmts>
  <fonts count="1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64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2" xfId="0" applyNumberFormat="1" applyBorder="1"/>
    <xf numFmtId="16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7" xfId="0" applyBorder="1"/>
    <xf numFmtId="0" fontId="0" fillId="0" borderId="6" xfId="0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0" borderId="5" xfId="0" applyFont="1" applyBorder="1"/>
    <xf numFmtId="0" fontId="0" fillId="0" borderId="13" xfId="0" applyBorder="1"/>
    <xf numFmtId="0" fontId="1" fillId="0" borderId="7" xfId="0" applyFont="1" applyBorder="1" applyAlignment="1">
      <alignment wrapText="1"/>
    </xf>
    <xf numFmtId="3" fontId="0" fillId="0" borderId="0" xfId="0" applyNumberFormat="1"/>
    <xf numFmtId="165" fontId="0" fillId="0" borderId="7" xfId="0" applyNumberFormat="1" applyBorder="1"/>
    <xf numFmtId="1" fontId="0" fillId="0" borderId="0" xfId="0" applyNumberFormat="1" applyAlignment="1">
      <alignment horizontal="center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3" fontId="0" fillId="0" borderId="10" xfId="0" applyNumberFormat="1" applyBorder="1"/>
    <xf numFmtId="165" fontId="0" fillId="0" borderId="11" xfId="0" applyNumberFormat="1" applyBorder="1"/>
    <xf numFmtId="0" fontId="0" fillId="0" borderId="12" xfId="0" applyBorder="1"/>
    <xf numFmtId="0" fontId="0" fillId="0" borderId="16" xfId="0" applyBorder="1"/>
    <xf numFmtId="3" fontId="0" fillId="0" borderId="16" xfId="0" applyNumberFormat="1" applyBorder="1"/>
    <xf numFmtId="165" fontId="0" fillId="0" borderId="16" xfId="0" applyNumberFormat="1" applyBorder="1"/>
    <xf numFmtId="3" fontId="0" fillId="0" borderId="5" xfId="0" applyNumberFormat="1" applyBorder="1"/>
    <xf numFmtId="165" fontId="0" fillId="0" borderId="13" xfId="0" applyNumberFormat="1" applyBorder="1"/>
    <xf numFmtId="0" fontId="1" fillId="0" borderId="17" xfId="0" applyFont="1" applyBorder="1"/>
    <xf numFmtId="3" fontId="3" fillId="0" borderId="18" xfId="0" applyNumberFormat="1" applyFont="1" applyBorder="1"/>
    <xf numFmtId="3" fontId="3" fillId="0" borderId="0" xfId="0" applyNumberFormat="1" applyFont="1"/>
    <xf numFmtId="0" fontId="0" fillId="0" borderId="19" xfId="0" applyBorder="1"/>
    <xf numFmtId="0" fontId="4" fillId="0" borderId="0" xfId="0" applyFont="1"/>
    <xf numFmtId="165" fontId="0" fillId="0" borderId="0" xfId="0" applyNumberFormat="1"/>
    <xf numFmtId="1" fontId="0" fillId="0" borderId="2" xfId="0" applyNumberFormat="1" applyBorder="1"/>
    <xf numFmtId="1" fontId="0" fillId="0" borderId="0" xfId="0" applyNumberFormat="1"/>
    <xf numFmtId="0" fontId="0" fillId="0" borderId="20" xfId="0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8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33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35" xfId="0" applyFont="1" applyBorder="1" applyAlignment="1">
      <alignment horizontal="centerContinuous"/>
    </xf>
    <xf numFmtId="0" fontId="1" fillId="0" borderId="36" xfId="0" applyFont="1" applyBorder="1" applyAlignment="1">
      <alignment horizontal="centerContinuous"/>
    </xf>
    <xf numFmtId="0" fontId="1" fillId="0" borderId="37" xfId="0" applyFont="1" applyBorder="1" applyAlignment="1">
      <alignment horizontal="centerContinuous"/>
    </xf>
    <xf numFmtId="0" fontId="1" fillId="0" borderId="38" xfId="0" applyFont="1" applyBorder="1"/>
    <xf numFmtId="164" fontId="0" fillId="0" borderId="39" xfId="0" applyNumberFormat="1" applyBorder="1"/>
    <xf numFmtId="0" fontId="1" fillId="0" borderId="40" xfId="0" applyFont="1" applyBorder="1" applyAlignment="1">
      <alignment horizontal="center"/>
    </xf>
    <xf numFmtId="3" fontId="0" fillId="0" borderId="41" xfId="0" applyNumberFormat="1" applyBorder="1"/>
    <xf numFmtId="165" fontId="0" fillId="0" borderId="42" xfId="0" applyNumberFormat="1" applyBorder="1"/>
    <xf numFmtId="3" fontId="0" fillId="0" borderId="43" xfId="0" applyNumberFormat="1" applyBorder="1"/>
    <xf numFmtId="165" fontId="0" fillId="0" borderId="44" xfId="0" applyNumberFormat="1" applyBorder="1"/>
    <xf numFmtId="0" fontId="1" fillId="0" borderId="43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5" xfId="0" applyBorder="1" applyAlignment="1">
      <alignment horizontal="center"/>
    </xf>
    <xf numFmtId="0" fontId="4" fillId="0" borderId="0" xfId="0" applyFont="1" applyAlignment="1">
      <alignment horizontal="left"/>
    </xf>
    <xf numFmtId="167" fontId="0" fillId="0" borderId="2" xfId="0" applyNumberFormat="1" applyBorder="1" applyAlignment="1">
      <alignment horizontal="center"/>
    </xf>
    <xf numFmtId="165" fontId="5" fillId="0" borderId="21" xfId="0" applyNumberFormat="1" applyFont="1" applyBorder="1" applyAlignment="1" applyProtection="1">
      <alignment horizontal="left"/>
      <protection locked="0"/>
    </xf>
    <xf numFmtId="49" fontId="0" fillId="0" borderId="46" xfId="0" applyNumberFormat="1" applyBorder="1" applyAlignment="1" applyProtection="1">
      <alignment horizontal="left"/>
      <protection locked="0"/>
    </xf>
    <xf numFmtId="0" fontId="1" fillId="0" borderId="6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left"/>
      <protection locked="0"/>
    </xf>
    <xf numFmtId="2" fontId="0" fillId="0" borderId="2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</xdr:row>
          <xdr:rowOff>0</xdr:rowOff>
        </xdr:from>
        <xdr:to>
          <xdr:col>4</xdr:col>
          <xdr:colOff>285750</xdr:colOff>
          <xdr:row>4</xdr:row>
          <xdr:rowOff>47625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 entries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8</xdr:row>
          <xdr:rowOff>28575</xdr:rowOff>
        </xdr:from>
        <xdr:to>
          <xdr:col>5</xdr:col>
          <xdr:colOff>523875</xdr:colOff>
          <xdr:row>15</xdr:row>
          <xdr:rowOff>123825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00" mc:Ignorable="a14" a14:legacySpreadsheetColorIndex="8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137"/>
  <sheetViews>
    <sheetView showGridLines="0" tabSelected="1" zoomScaleNormal="100" workbookViewId="0">
      <selection activeCell="C65" sqref="C65"/>
    </sheetView>
  </sheetViews>
  <sheetFormatPr defaultRowHeight="12.75" x14ac:dyDescent="0.2"/>
  <cols>
    <col min="1" max="1" width="33.7109375" customWidth="1"/>
    <col min="2" max="2" width="23.7109375" customWidth="1"/>
    <col min="3" max="3" width="16.42578125" customWidth="1"/>
    <col min="4" max="4" width="17.85546875" customWidth="1"/>
    <col min="5" max="5" width="21.28515625" customWidth="1"/>
    <col min="11" max="11" width="45.42578125" customWidth="1"/>
    <col min="12" max="12" width="12.28515625" customWidth="1"/>
    <col min="13" max="13" width="11.5703125" customWidth="1"/>
    <col min="14" max="14" width="13.28515625" customWidth="1"/>
    <col min="15" max="15" width="14.5703125" customWidth="1"/>
    <col min="16" max="16" width="12.5703125" customWidth="1"/>
    <col min="17" max="17" width="11.85546875" customWidth="1"/>
    <col min="21" max="21" width="44.7109375" customWidth="1"/>
    <col min="22" max="22" width="7.140625" customWidth="1"/>
    <col min="23" max="35" width="10" customWidth="1"/>
    <col min="36" max="36" width="12.140625" bestFit="1" customWidth="1"/>
    <col min="37" max="40" width="12.42578125" customWidth="1"/>
    <col min="43" max="43" width="10.7109375" customWidth="1"/>
  </cols>
  <sheetData>
    <row r="1" spans="1:46" ht="18" x14ac:dyDescent="0.25">
      <c r="A1" s="10" t="s">
        <v>119</v>
      </c>
      <c r="D1" s="80" t="s">
        <v>128</v>
      </c>
    </row>
    <row r="2" spans="1:46" ht="15.75" customHeight="1" x14ac:dyDescent="0.25">
      <c r="A2" s="10" t="s">
        <v>2</v>
      </c>
      <c r="D2" s="80"/>
    </row>
    <row r="3" spans="1:46" x14ac:dyDescent="0.2">
      <c r="D3" s="80"/>
    </row>
    <row r="4" spans="1:46" x14ac:dyDescent="0.2">
      <c r="A4" t="s">
        <v>0</v>
      </c>
      <c r="B4" s="88" t="s">
        <v>130</v>
      </c>
      <c r="C4" s="9"/>
    </row>
    <row r="5" spans="1:46" x14ac:dyDescent="0.2">
      <c r="A5" t="s">
        <v>95</v>
      </c>
      <c r="B5" s="83" t="s">
        <v>134</v>
      </c>
      <c r="C5" s="8"/>
    </row>
    <row r="6" spans="1:46" x14ac:dyDescent="0.2">
      <c r="A6" t="s">
        <v>40</v>
      </c>
      <c r="B6" s="82">
        <v>30362940</v>
      </c>
    </row>
    <row r="7" spans="1:46" ht="13.5" thickBot="1" x14ac:dyDescent="0.25">
      <c r="L7" t="s">
        <v>65</v>
      </c>
      <c r="N7" s="2">
        <v>1</v>
      </c>
    </row>
    <row r="8" spans="1:46" ht="14.25" thickTop="1" thickBot="1" x14ac:dyDescent="0.25">
      <c r="A8" t="s">
        <v>1</v>
      </c>
      <c r="B8" s="79" t="s">
        <v>79</v>
      </c>
      <c r="D8" t="s">
        <v>132</v>
      </c>
      <c r="L8" t="s">
        <v>66</v>
      </c>
      <c r="N8" s="2">
        <v>2</v>
      </c>
    </row>
    <row r="9" spans="1:46" ht="14.25" thickTop="1" thickBot="1" x14ac:dyDescent="0.25">
      <c r="A9" t="s">
        <v>14</v>
      </c>
      <c r="B9" s="79">
        <v>1</v>
      </c>
      <c r="D9" t="s">
        <v>131</v>
      </c>
      <c r="L9" t="s">
        <v>67</v>
      </c>
      <c r="N9" s="2">
        <v>3</v>
      </c>
      <c r="S9" s="3"/>
      <c r="T9" s="3"/>
    </row>
    <row r="10" spans="1:46" ht="13.5" thickTop="1" x14ac:dyDescent="0.2">
      <c r="B10" s="3"/>
      <c r="D10" t="s">
        <v>133</v>
      </c>
      <c r="L10" t="s">
        <v>68</v>
      </c>
      <c r="N10" s="2"/>
      <c r="S10" s="3"/>
      <c r="T10" s="3"/>
      <c r="W10" s="67" t="s">
        <v>102</v>
      </c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9"/>
      <c r="AQ10" s="51" t="s">
        <v>103</v>
      </c>
      <c r="AR10" s="52" t="s">
        <v>104</v>
      </c>
      <c r="AS10" s="53"/>
      <c r="AT10" s="54"/>
    </row>
    <row r="11" spans="1:46" ht="13.5" thickBot="1" x14ac:dyDescent="0.25">
      <c r="B11" s="4"/>
      <c r="L11" t="s">
        <v>69</v>
      </c>
      <c r="N11" s="2"/>
      <c r="S11" s="62" t="s">
        <v>3</v>
      </c>
      <c r="T11" s="62" t="s">
        <v>4</v>
      </c>
      <c r="U11" s="63" t="s">
        <v>5</v>
      </c>
      <c r="V11" s="70">
        <v>1</v>
      </c>
      <c r="W11" s="55">
        <v>1</v>
      </c>
      <c r="X11" s="66">
        <v>2</v>
      </c>
      <c r="Y11" s="66">
        <v>3</v>
      </c>
      <c r="Z11" s="66">
        <v>4</v>
      </c>
      <c r="AA11" s="66">
        <v>5</v>
      </c>
      <c r="AB11" s="66">
        <v>6</v>
      </c>
      <c r="AC11" s="66">
        <v>7</v>
      </c>
      <c r="AD11" s="66">
        <v>8</v>
      </c>
      <c r="AE11" s="66">
        <v>9</v>
      </c>
      <c r="AF11" s="66">
        <v>10</v>
      </c>
      <c r="AG11" s="66">
        <v>11</v>
      </c>
      <c r="AH11" s="66">
        <v>12</v>
      </c>
      <c r="AI11" s="66">
        <v>13</v>
      </c>
      <c r="AJ11" s="56">
        <v>14</v>
      </c>
      <c r="AK11" s="56">
        <v>15</v>
      </c>
      <c r="AL11" s="56">
        <v>16</v>
      </c>
      <c r="AM11" s="56">
        <v>17</v>
      </c>
      <c r="AN11" s="56">
        <v>18</v>
      </c>
      <c r="AO11" s="56">
        <v>19</v>
      </c>
      <c r="AP11" s="57">
        <v>20</v>
      </c>
      <c r="AQ11" s="58"/>
      <c r="AR11" s="59"/>
      <c r="AS11" s="60"/>
      <c r="AT11" s="61"/>
    </row>
    <row r="12" spans="1:46" x14ac:dyDescent="0.2">
      <c r="A12" t="s">
        <v>41</v>
      </c>
      <c r="B12" s="6">
        <f>SUM(E45:E103)</f>
        <v>744878.94202525239</v>
      </c>
      <c r="L12" t="s">
        <v>70</v>
      </c>
      <c r="N12" s="2"/>
      <c r="S12" s="64">
        <v>832</v>
      </c>
      <c r="T12" s="64" t="s">
        <v>105</v>
      </c>
      <c r="U12" s="1" t="s">
        <v>6</v>
      </c>
      <c r="V12" s="1">
        <v>2</v>
      </c>
      <c r="W12" s="65">
        <v>1.1200000000000001</v>
      </c>
      <c r="X12" s="65">
        <v>1.1200000000000001</v>
      </c>
      <c r="Y12" s="65">
        <v>1.1200000000000001</v>
      </c>
      <c r="Z12" s="65">
        <v>1.1200000000000001</v>
      </c>
      <c r="AA12" s="65">
        <v>1.03</v>
      </c>
      <c r="AB12" s="65">
        <v>1.03</v>
      </c>
      <c r="AC12" s="65">
        <v>1.03</v>
      </c>
      <c r="AD12" s="65">
        <v>1.03</v>
      </c>
      <c r="AE12" s="65">
        <v>1.03</v>
      </c>
      <c r="AF12" s="65">
        <v>0.93</v>
      </c>
      <c r="AG12" s="65">
        <v>0.93</v>
      </c>
      <c r="AH12" s="65">
        <v>0.93</v>
      </c>
      <c r="AI12" s="65">
        <v>0.93</v>
      </c>
      <c r="AJ12" s="65">
        <v>0.93</v>
      </c>
      <c r="AK12" s="65">
        <v>0.84</v>
      </c>
      <c r="AL12" s="65">
        <v>0.84</v>
      </c>
      <c r="AM12" s="65">
        <v>0.84</v>
      </c>
      <c r="AN12" s="65">
        <v>0.84</v>
      </c>
      <c r="AO12" s="65">
        <v>0.84</v>
      </c>
      <c r="AP12" s="65">
        <v>0.83</v>
      </c>
      <c r="AQ12" s="65"/>
      <c r="AR12" s="93" t="s">
        <v>106</v>
      </c>
      <c r="AS12" s="93"/>
      <c r="AT12" s="93"/>
    </row>
    <row r="13" spans="1:46" x14ac:dyDescent="0.2">
      <c r="A13" t="s">
        <v>42</v>
      </c>
      <c r="B13" s="81">
        <f>B12/B6</f>
        <v>2.4532503836099284E-2</v>
      </c>
      <c r="C13" s="40" t="str">
        <f>IF(B13&gt;10.1%,"Percentage greater than 10% of construction - Recheck your inputs"," " )</f>
        <v xml:space="preserve"> </v>
      </c>
      <c r="L13" t="s">
        <v>71</v>
      </c>
      <c r="N13" s="2"/>
      <c r="S13" s="64">
        <v>832</v>
      </c>
      <c r="T13" s="64" t="s">
        <v>107</v>
      </c>
      <c r="U13" s="1" t="s">
        <v>7</v>
      </c>
      <c r="V13" s="1">
        <v>3</v>
      </c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>
        <v>13.5</v>
      </c>
      <c r="AR13" s="93"/>
      <c r="AS13" s="93"/>
      <c r="AT13" s="93"/>
    </row>
    <row r="14" spans="1:46" x14ac:dyDescent="0.2">
      <c r="B14" s="3"/>
      <c r="C14" s="41" t="str">
        <f>IF(B13&lt;1%,"Percentage less than 1% of construction - Recheck your inputs"," " )</f>
        <v xml:space="preserve"> </v>
      </c>
      <c r="L14" t="s">
        <v>72</v>
      </c>
      <c r="N14" s="2"/>
      <c r="S14" s="64">
        <v>832</v>
      </c>
      <c r="T14" s="64" t="s">
        <v>108</v>
      </c>
      <c r="U14" s="1" t="s">
        <v>8</v>
      </c>
      <c r="V14" s="1">
        <v>4</v>
      </c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>
        <v>15.25</v>
      </c>
      <c r="AR14" s="93"/>
      <c r="AS14" s="93"/>
      <c r="AT14" s="93"/>
    </row>
    <row r="15" spans="1:46" x14ac:dyDescent="0.2">
      <c r="B15" s="3"/>
      <c r="L15" t="s">
        <v>73</v>
      </c>
      <c r="N15" s="2"/>
      <c r="S15" s="64">
        <v>832</v>
      </c>
      <c r="T15" s="64" t="s">
        <v>107</v>
      </c>
      <c r="U15" s="1" t="s">
        <v>9</v>
      </c>
      <c r="V15" s="1">
        <v>5</v>
      </c>
      <c r="W15" s="65">
        <v>4.54</v>
      </c>
      <c r="X15" s="65">
        <v>4.54</v>
      </c>
      <c r="Y15" s="65">
        <v>4.54</v>
      </c>
      <c r="Z15" s="65">
        <v>4.54</v>
      </c>
      <c r="AA15" s="65">
        <v>3.48</v>
      </c>
      <c r="AB15" s="65">
        <v>3.48</v>
      </c>
      <c r="AC15" s="65">
        <v>3.48</v>
      </c>
      <c r="AD15" s="65">
        <v>3.48</v>
      </c>
      <c r="AE15" s="65">
        <v>3.48</v>
      </c>
      <c r="AF15" s="65">
        <v>3.19</v>
      </c>
      <c r="AG15" s="65">
        <v>3.19</v>
      </c>
      <c r="AH15" s="65">
        <v>3.19</v>
      </c>
      <c r="AI15" s="65">
        <v>3.19</v>
      </c>
      <c r="AJ15" s="65">
        <v>3.19</v>
      </c>
      <c r="AK15" s="65">
        <v>2.86</v>
      </c>
      <c r="AL15" s="65">
        <v>2.86</v>
      </c>
      <c r="AM15" s="65">
        <v>2.86</v>
      </c>
      <c r="AN15" s="65">
        <v>2.86</v>
      </c>
      <c r="AO15" s="65">
        <v>2.86</v>
      </c>
      <c r="AP15" s="65">
        <v>2.58</v>
      </c>
      <c r="AQ15" s="65"/>
      <c r="AR15" s="93" t="s">
        <v>106</v>
      </c>
      <c r="AS15" s="93"/>
      <c r="AT15" s="93"/>
    </row>
    <row r="16" spans="1:46" x14ac:dyDescent="0.2">
      <c r="L16" t="s">
        <v>74</v>
      </c>
      <c r="S16" s="64"/>
      <c r="T16" s="64"/>
      <c r="U16" s="1"/>
      <c r="V16" s="1">
        <v>6</v>
      </c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93"/>
      <c r="AS16" s="93"/>
      <c r="AT16" s="93"/>
    </row>
    <row r="17" spans="1:46" x14ac:dyDescent="0.2">
      <c r="L17" t="s">
        <v>75</v>
      </c>
      <c r="S17" s="64">
        <v>832</v>
      </c>
      <c r="T17" s="64" t="s">
        <v>107</v>
      </c>
      <c r="U17" s="1" t="s">
        <v>46</v>
      </c>
      <c r="V17" s="1">
        <v>7</v>
      </c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>
        <v>12.5</v>
      </c>
      <c r="AR17" s="93"/>
      <c r="AS17" s="93"/>
      <c r="AT17" s="93"/>
    </row>
    <row r="18" spans="1:46" ht="16.5" customHeight="1" x14ac:dyDescent="0.2">
      <c r="A18" s="21" t="s">
        <v>47</v>
      </c>
      <c r="B18" s="48" t="s">
        <v>120</v>
      </c>
      <c r="C18" s="22"/>
      <c r="D18" s="11"/>
      <c r="E18" s="23"/>
      <c r="L18" t="s">
        <v>76</v>
      </c>
      <c r="S18" s="64">
        <v>832</v>
      </c>
      <c r="T18" s="64" t="s">
        <v>107</v>
      </c>
      <c r="U18" s="1" t="s">
        <v>10</v>
      </c>
      <c r="V18" s="1">
        <v>8</v>
      </c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>
        <v>12.75</v>
      </c>
      <c r="AR18" s="93"/>
      <c r="AS18" s="93"/>
      <c r="AT18" s="93"/>
    </row>
    <row r="19" spans="1:46" ht="12" customHeight="1" x14ac:dyDescent="0.2">
      <c r="A19" s="16" t="s">
        <v>99</v>
      </c>
      <c r="B19" s="89">
        <v>50.18</v>
      </c>
      <c r="C19" s="43" t="str">
        <f>IF(B21&gt;=10,"Settling Basin May Be Needed","Do not enter information on Culvert Drainage Area")</f>
        <v>Settling Basin May Be Needed</v>
      </c>
      <c r="E19" s="15"/>
      <c r="L19" t="s">
        <v>77</v>
      </c>
      <c r="S19" s="64">
        <v>832</v>
      </c>
      <c r="T19" s="64" t="s">
        <v>108</v>
      </c>
      <c r="U19" s="1" t="s">
        <v>11</v>
      </c>
      <c r="V19" s="1">
        <v>9</v>
      </c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>
        <v>3.5</v>
      </c>
      <c r="AR19" s="93"/>
      <c r="AS19" s="93"/>
      <c r="AT19" s="93"/>
    </row>
    <row r="20" spans="1:46" ht="11.25" customHeight="1" x14ac:dyDescent="0.2">
      <c r="A20" s="16" t="s">
        <v>100</v>
      </c>
      <c r="B20" s="47">
        <v>9</v>
      </c>
      <c r="C20" s="43"/>
      <c r="E20" s="15"/>
      <c r="L20" t="s">
        <v>78</v>
      </c>
      <c r="S20" s="64">
        <v>832</v>
      </c>
      <c r="T20" s="64" t="s">
        <v>105</v>
      </c>
      <c r="U20" s="1" t="s">
        <v>129</v>
      </c>
      <c r="V20" s="1">
        <v>10</v>
      </c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>
        <v>3</v>
      </c>
      <c r="AR20" s="93"/>
      <c r="AS20" s="93"/>
      <c r="AT20" s="93"/>
    </row>
    <row r="21" spans="1:46" x14ac:dyDescent="0.2">
      <c r="A21" s="16" t="s">
        <v>101</v>
      </c>
      <c r="B21" s="49">
        <f>SUM(B19:B20)</f>
        <v>59.18</v>
      </c>
      <c r="C21" s="43"/>
      <c r="E21" s="15"/>
      <c r="L21" t="s">
        <v>79</v>
      </c>
      <c r="S21" s="64">
        <v>832</v>
      </c>
      <c r="T21" s="64" t="s">
        <v>108</v>
      </c>
      <c r="U21" s="1" t="s">
        <v>109</v>
      </c>
      <c r="V21" s="1">
        <v>11</v>
      </c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>
        <v>138</v>
      </c>
      <c r="AR21" s="93" t="s">
        <v>110</v>
      </c>
      <c r="AS21" s="93"/>
      <c r="AT21" s="93"/>
    </row>
    <row r="22" spans="1:46" x14ac:dyDescent="0.2">
      <c r="A22" s="12"/>
      <c r="E22" s="15"/>
      <c r="L22" t="s">
        <v>80</v>
      </c>
      <c r="S22" s="64">
        <v>832</v>
      </c>
      <c r="T22" s="64" t="s">
        <v>108</v>
      </c>
      <c r="U22" s="1" t="s">
        <v>111</v>
      </c>
      <c r="V22" s="1">
        <v>12</v>
      </c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>
        <v>135</v>
      </c>
      <c r="AR22" s="93" t="s">
        <v>112</v>
      </c>
      <c r="AS22" s="93"/>
      <c r="AT22" s="93"/>
    </row>
    <row r="23" spans="1:46" ht="35.25" customHeight="1" x14ac:dyDescent="0.2">
      <c r="A23" s="84" t="s">
        <v>117</v>
      </c>
      <c r="B23" s="85" t="s">
        <v>120</v>
      </c>
      <c r="C23" s="86" t="s">
        <v>122</v>
      </c>
      <c r="D23" s="86" t="s">
        <v>31</v>
      </c>
      <c r="E23" s="87" t="s">
        <v>32</v>
      </c>
      <c r="L23" t="s">
        <v>81</v>
      </c>
      <c r="S23" s="64">
        <v>832</v>
      </c>
      <c r="T23" s="64" t="s">
        <v>108</v>
      </c>
      <c r="U23" s="1" t="s">
        <v>123</v>
      </c>
      <c r="V23" s="1">
        <v>13</v>
      </c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>
        <v>11.25</v>
      </c>
      <c r="AR23" s="93"/>
      <c r="AS23" s="93"/>
      <c r="AT23" s="93"/>
    </row>
    <row r="24" spans="1:46" x14ac:dyDescent="0.2">
      <c r="A24" s="16"/>
      <c r="B24" t="s">
        <v>15</v>
      </c>
      <c r="C24" s="28">
        <v>192</v>
      </c>
      <c r="D24" s="5">
        <f>C24*101*0.1</f>
        <v>1939.2</v>
      </c>
      <c r="E24" s="15"/>
      <c r="L24" t="s">
        <v>82</v>
      </c>
      <c r="S24" s="64">
        <v>832</v>
      </c>
      <c r="T24" s="64" t="s">
        <v>108</v>
      </c>
      <c r="U24" s="1" t="s">
        <v>124</v>
      </c>
      <c r="V24" s="1">
        <v>14</v>
      </c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>
        <v>17.5</v>
      </c>
      <c r="AR24" s="93"/>
      <c r="AS24" s="93"/>
      <c r="AT24" s="93"/>
    </row>
    <row r="25" spans="1:46" x14ac:dyDescent="0.2">
      <c r="A25" s="16"/>
      <c r="B25" t="s">
        <v>17</v>
      </c>
      <c r="C25" s="28">
        <v>225</v>
      </c>
      <c r="D25" s="5">
        <f t="shared" ref="D25:D48" si="0">C25*101*0.1</f>
        <v>2272.5</v>
      </c>
      <c r="E25" s="15"/>
      <c r="L25" t="s">
        <v>83</v>
      </c>
      <c r="S25" s="64">
        <v>832</v>
      </c>
      <c r="T25" s="64" t="s">
        <v>107</v>
      </c>
      <c r="U25" s="1" t="s">
        <v>13</v>
      </c>
      <c r="V25" s="1">
        <v>15</v>
      </c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>
        <v>3</v>
      </c>
      <c r="AR25" s="93"/>
      <c r="AS25" s="93"/>
      <c r="AT25" s="93"/>
    </row>
    <row r="26" spans="1:46" x14ac:dyDescent="0.2">
      <c r="A26" s="16"/>
      <c r="B26" t="s">
        <v>16</v>
      </c>
      <c r="C26" s="28">
        <v>90</v>
      </c>
      <c r="D26" s="5">
        <f t="shared" si="0"/>
        <v>909</v>
      </c>
      <c r="E26" s="15"/>
      <c r="L26" t="s">
        <v>118</v>
      </c>
      <c r="S26" s="64">
        <v>832</v>
      </c>
      <c r="T26" s="64" t="s">
        <v>105</v>
      </c>
      <c r="U26" s="1" t="s">
        <v>113</v>
      </c>
      <c r="V26" s="1">
        <v>16</v>
      </c>
      <c r="W26" s="65">
        <v>0.89</v>
      </c>
      <c r="X26" s="65">
        <v>0.89</v>
      </c>
      <c r="Y26" s="65">
        <v>0.89</v>
      </c>
      <c r="Z26" s="65">
        <v>0.89</v>
      </c>
      <c r="AA26" s="65">
        <v>0.8</v>
      </c>
      <c r="AB26" s="65">
        <v>0.8</v>
      </c>
      <c r="AC26" s="65">
        <v>0.8</v>
      </c>
      <c r="AD26" s="65">
        <v>0.8</v>
      </c>
      <c r="AE26" s="65">
        <v>0.8</v>
      </c>
      <c r="AF26" s="65">
        <v>0.65</v>
      </c>
      <c r="AG26" s="65">
        <v>0.65</v>
      </c>
      <c r="AH26" s="65">
        <v>0.65</v>
      </c>
      <c r="AI26" s="65">
        <v>0.65</v>
      </c>
      <c r="AJ26" s="65">
        <v>0.65</v>
      </c>
      <c r="AK26" s="65">
        <v>0.63</v>
      </c>
      <c r="AL26" s="65">
        <v>0.63</v>
      </c>
      <c r="AM26" s="65">
        <v>0.63</v>
      </c>
      <c r="AN26" s="65">
        <v>0.63</v>
      </c>
      <c r="AO26" s="65">
        <v>0.63</v>
      </c>
      <c r="AP26" s="65">
        <v>0.61</v>
      </c>
      <c r="AQ26" s="65"/>
      <c r="AR26" s="93" t="s">
        <v>106</v>
      </c>
      <c r="AS26" s="93"/>
      <c r="AT26" s="93"/>
    </row>
    <row r="27" spans="1:46" x14ac:dyDescent="0.2">
      <c r="A27" s="16"/>
      <c r="B27" t="s">
        <v>18</v>
      </c>
      <c r="C27" s="28">
        <v>986</v>
      </c>
      <c r="D27" s="5">
        <f t="shared" si="0"/>
        <v>9958.6</v>
      </c>
      <c r="E27" s="15"/>
      <c r="L27" t="s">
        <v>84</v>
      </c>
    </row>
    <row r="28" spans="1:46" x14ac:dyDescent="0.2">
      <c r="A28" s="16"/>
      <c r="B28" t="s">
        <v>19</v>
      </c>
      <c r="C28" s="28">
        <v>25</v>
      </c>
      <c r="D28" s="5">
        <f t="shared" si="0"/>
        <v>252.5</v>
      </c>
      <c r="E28" s="15"/>
      <c r="L28" t="s">
        <v>85</v>
      </c>
      <c r="S28" s="64">
        <v>832</v>
      </c>
      <c r="T28" s="64" t="s">
        <v>108</v>
      </c>
      <c r="U28" s="1" t="s">
        <v>96</v>
      </c>
      <c r="V28" s="1">
        <v>18</v>
      </c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>
        <v>98</v>
      </c>
      <c r="AR28" s="93"/>
      <c r="AS28" s="93"/>
      <c r="AT28" s="93"/>
    </row>
    <row r="29" spans="1:46" x14ac:dyDescent="0.2">
      <c r="A29" s="16"/>
      <c r="B29" t="s">
        <v>20</v>
      </c>
      <c r="C29" s="28">
        <v>10</v>
      </c>
      <c r="D29" s="5">
        <f t="shared" si="0"/>
        <v>101</v>
      </c>
      <c r="E29" s="15"/>
      <c r="L29" t="s">
        <v>86</v>
      </c>
      <c r="S29" s="64">
        <v>832</v>
      </c>
      <c r="T29" s="64" t="s">
        <v>126</v>
      </c>
      <c r="U29" s="1" t="s">
        <v>125</v>
      </c>
      <c r="V29" s="1"/>
      <c r="W29" s="65">
        <v>600</v>
      </c>
      <c r="X29" s="65">
        <v>750</v>
      </c>
      <c r="Y29" s="65">
        <v>750</v>
      </c>
      <c r="Z29" s="65">
        <v>915</v>
      </c>
      <c r="AA29" s="65">
        <v>915</v>
      </c>
      <c r="AB29" s="65">
        <v>1100</v>
      </c>
      <c r="AC29" s="65">
        <v>1100</v>
      </c>
      <c r="AD29" s="65">
        <v>1100</v>
      </c>
      <c r="AE29" s="65">
        <v>1100</v>
      </c>
      <c r="AF29" s="65">
        <v>1590</v>
      </c>
      <c r="AG29" s="65">
        <v>1590</v>
      </c>
      <c r="AH29" s="65">
        <v>1590</v>
      </c>
      <c r="AI29" s="65">
        <v>1590</v>
      </c>
      <c r="AJ29" s="65">
        <v>1590</v>
      </c>
      <c r="AK29" s="65">
        <v>1590</v>
      </c>
      <c r="AL29" s="65">
        <v>1590</v>
      </c>
      <c r="AM29" s="65">
        <v>1590</v>
      </c>
      <c r="AN29" s="65">
        <v>1590</v>
      </c>
      <c r="AO29" s="65">
        <v>1590</v>
      </c>
      <c r="AP29" s="65">
        <v>1590</v>
      </c>
      <c r="AQ29" s="65"/>
      <c r="AR29" s="93" t="s">
        <v>127</v>
      </c>
      <c r="AS29" s="93"/>
      <c r="AT29" s="93"/>
    </row>
    <row r="30" spans="1:46" x14ac:dyDescent="0.2">
      <c r="A30" s="16"/>
      <c r="B30" t="s">
        <v>21</v>
      </c>
      <c r="C30" s="28">
        <v>75</v>
      </c>
      <c r="D30" s="5">
        <f t="shared" si="0"/>
        <v>757.5</v>
      </c>
      <c r="E30" s="15"/>
      <c r="L30" t="s">
        <v>87</v>
      </c>
      <c r="S30" s="3"/>
      <c r="T30" s="3"/>
      <c r="W30" s="91" t="s">
        <v>114</v>
      </c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</row>
    <row r="31" spans="1:46" x14ac:dyDescent="0.2">
      <c r="A31" s="16"/>
      <c r="B31" t="s">
        <v>22</v>
      </c>
      <c r="C31" s="28"/>
      <c r="D31" s="5">
        <f t="shared" si="0"/>
        <v>0</v>
      </c>
      <c r="E31" s="15"/>
      <c r="L31" t="s">
        <v>88</v>
      </c>
    </row>
    <row r="32" spans="1:46" x14ac:dyDescent="0.2">
      <c r="A32" s="16"/>
      <c r="B32" t="s">
        <v>23</v>
      </c>
      <c r="C32" s="28"/>
      <c r="D32" s="5">
        <f t="shared" si="0"/>
        <v>0</v>
      </c>
      <c r="E32" s="15"/>
      <c r="L32" t="s">
        <v>89</v>
      </c>
    </row>
    <row r="33" spans="1:12" x14ac:dyDescent="0.2">
      <c r="A33" s="16"/>
      <c r="B33" t="s">
        <v>24</v>
      </c>
      <c r="C33" s="28"/>
      <c r="D33" s="5">
        <f t="shared" si="0"/>
        <v>0</v>
      </c>
      <c r="E33" s="15"/>
      <c r="L33" t="s">
        <v>90</v>
      </c>
    </row>
    <row r="34" spans="1:12" x14ac:dyDescent="0.2">
      <c r="A34" s="16"/>
      <c r="B34" t="s">
        <v>25</v>
      </c>
      <c r="C34" s="28"/>
      <c r="D34" s="5">
        <f t="shared" si="0"/>
        <v>0</v>
      </c>
      <c r="E34" s="15"/>
      <c r="L34" t="s">
        <v>91</v>
      </c>
    </row>
    <row r="35" spans="1:12" x14ac:dyDescent="0.2">
      <c r="A35" s="16"/>
      <c r="B35" t="s">
        <v>26</v>
      </c>
      <c r="C35" s="28"/>
      <c r="D35" s="5">
        <f t="shared" si="0"/>
        <v>0</v>
      </c>
      <c r="E35" s="15"/>
      <c r="L35" t="s">
        <v>92</v>
      </c>
    </row>
    <row r="36" spans="1:12" x14ac:dyDescent="0.2">
      <c r="A36" s="16"/>
      <c r="B36" t="s">
        <v>27</v>
      </c>
      <c r="C36" s="28"/>
      <c r="D36" s="5">
        <f t="shared" si="0"/>
        <v>0</v>
      </c>
      <c r="E36" s="15"/>
      <c r="L36" t="s">
        <v>93</v>
      </c>
    </row>
    <row r="37" spans="1:12" x14ac:dyDescent="0.2">
      <c r="A37" s="16"/>
      <c r="B37" t="s">
        <v>28</v>
      </c>
      <c r="C37" s="28"/>
      <c r="D37" s="5">
        <f t="shared" si="0"/>
        <v>0</v>
      </c>
      <c r="E37" s="15"/>
      <c r="L37" t="s">
        <v>94</v>
      </c>
    </row>
    <row r="38" spans="1:12" x14ac:dyDescent="0.2">
      <c r="A38" s="16"/>
      <c r="B38" t="s">
        <v>29</v>
      </c>
      <c r="C38" s="28"/>
      <c r="D38" s="5">
        <f t="shared" si="0"/>
        <v>0</v>
      </c>
      <c r="E38" s="15"/>
    </row>
    <row r="39" spans="1:12" x14ac:dyDescent="0.2">
      <c r="A39" s="16"/>
      <c r="B39" t="s">
        <v>30</v>
      </c>
      <c r="C39" s="28"/>
      <c r="D39" s="5">
        <f t="shared" si="0"/>
        <v>0</v>
      </c>
      <c r="E39" s="15"/>
    </row>
    <row r="40" spans="1:12" x14ac:dyDescent="0.2">
      <c r="A40" s="16"/>
      <c r="B40" t="s">
        <v>48</v>
      </c>
      <c r="C40" s="28"/>
      <c r="D40" s="5">
        <f t="shared" si="0"/>
        <v>0</v>
      </c>
      <c r="E40" s="15"/>
    </row>
    <row r="41" spans="1:12" x14ac:dyDescent="0.2">
      <c r="A41" s="16"/>
      <c r="B41" t="s">
        <v>49</v>
      </c>
      <c r="C41" s="28"/>
      <c r="D41" s="5">
        <f t="shared" si="0"/>
        <v>0</v>
      </c>
      <c r="E41" s="15"/>
    </row>
    <row r="42" spans="1:12" x14ac:dyDescent="0.2">
      <c r="A42" s="16"/>
      <c r="B42" t="s">
        <v>50</v>
      </c>
      <c r="C42" s="28"/>
      <c r="D42" s="5">
        <f t="shared" si="0"/>
        <v>0</v>
      </c>
      <c r="E42" s="15"/>
    </row>
    <row r="43" spans="1:12" x14ac:dyDescent="0.2">
      <c r="A43" s="16"/>
      <c r="B43" t="s">
        <v>51</v>
      </c>
      <c r="C43" s="28"/>
      <c r="D43" s="5">
        <f t="shared" si="0"/>
        <v>0</v>
      </c>
      <c r="E43" s="15"/>
    </row>
    <row r="44" spans="1:12" x14ac:dyDescent="0.2">
      <c r="A44" s="16"/>
      <c r="B44" t="s">
        <v>52</v>
      </c>
      <c r="C44" s="28"/>
      <c r="D44" s="5">
        <f t="shared" si="0"/>
        <v>0</v>
      </c>
      <c r="E44" s="15"/>
    </row>
    <row r="45" spans="1:12" x14ac:dyDescent="0.2">
      <c r="A45" s="16"/>
      <c r="B45" t="s">
        <v>53</v>
      </c>
      <c r="C45" s="28"/>
      <c r="D45" s="5">
        <f t="shared" si="0"/>
        <v>0</v>
      </c>
      <c r="E45" s="15"/>
    </row>
    <row r="46" spans="1:12" x14ac:dyDescent="0.2">
      <c r="A46" s="16"/>
      <c r="B46" t="s">
        <v>54</v>
      </c>
      <c r="C46" s="28"/>
      <c r="D46" s="5">
        <f t="shared" si="0"/>
        <v>0</v>
      </c>
      <c r="E46" s="15"/>
    </row>
    <row r="47" spans="1:12" x14ac:dyDescent="0.2">
      <c r="A47" s="16"/>
      <c r="B47" t="s">
        <v>55</v>
      </c>
      <c r="C47" s="28"/>
      <c r="D47" s="5">
        <f t="shared" si="0"/>
        <v>0</v>
      </c>
      <c r="E47" s="15"/>
    </row>
    <row r="48" spans="1:12" x14ac:dyDescent="0.2">
      <c r="A48" s="16"/>
      <c r="B48" t="s">
        <v>56</v>
      </c>
      <c r="C48" s="28"/>
      <c r="D48" s="5">
        <f t="shared" si="0"/>
        <v>0</v>
      </c>
      <c r="E48" s="15"/>
    </row>
    <row r="49" spans="1:5" x14ac:dyDescent="0.2">
      <c r="A49" s="16"/>
      <c r="E49" s="15"/>
    </row>
    <row r="50" spans="1:5" x14ac:dyDescent="0.2">
      <c r="A50" s="16"/>
      <c r="B50" t="s">
        <v>57</v>
      </c>
      <c r="D50" s="5">
        <f>SUM(D24:D48)</f>
        <v>16190.3</v>
      </c>
      <c r="E50" s="17">
        <f>D50*$AQ$14</f>
        <v>246902.07499999998</v>
      </c>
    </row>
    <row r="51" spans="1:5" x14ac:dyDescent="0.2">
      <c r="A51" s="16"/>
      <c r="B51" t="s">
        <v>12</v>
      </c>
      <c r="D51" s="5">
        <f>D50/2</f>
        <v>8095.15</v>
      </c>
      <c r="E51" s="17">
        <f>D51*$AQ$23</f>
        <v>91070.4375</v>
      </c>
    </row>
    <row r="52" spans="1:5" x14ac:dyDescent="0.2">
      <c r="A52" s="18"/>
      <c r="B52" s="19"/>
      <c r="C52" s="19"/>
      <c r="D52" s="31"/>
      <c r="E52" s="32"/>
    </row>
    <row r="53" spans="1:5" x14ac:dyDescent="0.2">
      <c r="E53" s="44"/>
    </row>
    <row r="54" spans="1:5" x14ac:dyDescent="0.2">
      <c r="A54" s="21" t="s">
        <v>44</v>
      </c>
      <c r="B54" s="48" t="s">
        <v>120</v>
      </c>
      <c r="C54" s="11"/>
      <c r="D54" s="11"/>
      <c r="E54" s="23"/>
    </row>
    <row r="55" spans="1:5" x14ac:dyDescent="0.2">
      <c r="A55" s="16"/>
      <c r="B55" s="13" t="s">
        <v>45</v>
      </c>
      <c r="C55" s="14"/>
      <c r="E55" s="24"/>
    </row>
    <row r="56" spans="1:5" x14ac:dyDescent="0.2">
      <c r="A56" s="16" t="s">
        <v>64</v>
      </c>
      <c r="B56" s="29">
        <v>108468</v>
      </c>
      <c r="E56" s="15"/>
    </row>
    <row r="57" spans="1:5" x14ac:dyDescent="0.2">
      <c r="A57" s="16"/>
      <c r="B57" s="30"/>
      <c r="E57" s="15"/>
    </row>
    <row r="58" spans="1:5" x14ac:dyDescent="0.2">
      <c r="A58" s="16"/>
      <c r="D58" s="13" t="s">
        <v>115</v>
      </c>
      <c r="E58" s="15"/>
    </row>
    <row r="59" spans="1:5" x14ac:dyDescent="0.2">
      <c r="A59" s="16"/>
      <c r="D59" s="71">
        <f>IF(B21&lt;1,0,IF(B21="","",HLOOKUP(B21,W11:AP12,2,TRUE)))</f>
        <v>0.83</v>
      </c>
      <c r="E59" s="17">
        <f>B56*D59*1.5*B9</f>
        <v>135042.66</v>
      </c>
    </row>
    <row r="60" spans="1:5" x14ac:dyDescent="0.2">
      <c r="A60" s="16"/>
      <c r="E60" s="15"/>
    </row>
    <row r="61" spans="1:5" x14ac:dyDescent="0.2">
      <c r="A61" s="18"/>
      <c r="B61" s="19"/>
      <c r="C61" s="19"/>
      <c r="D61" s="19"/>
      <c r="E61" s="20"/>
    </row>
    <row r="62" spans="1:5" x14ac:dyDescent="0.2">
      <c r="A62" s="16"/>
      <c r="E62" s="34"/>
    </row>
    <row r="63" spans="1:5" x14ac:dyDescent="0.2">
      <c r="A63" s="21" t="s">
        <v>9</v>
      </c>
      <c r="B63" s="48" t="s">
        <v>120</v>
      </c>
      <c r="C63" s="22"/>
      <c r="D63" s="72" t="s">
        <v>116</v>
      </c>
      <c r="E63" s="23"/>
    </row>
    <row r="64" spans="1:5" x14ac:dyDescent="0.2">
      <c r="A64" s="16"/>
      <c r="B64" s="42" t="s">
        <v>62</v>
      </c>
      <c r="C64" s="29">
        <v>32931</v>
      </c>
      <c r="D64" s="71">
        <f>IF(B21&lt;1,0,IF(B21="","",HLOOKUP(B21,W11:AP15,5,TRUE)))</f>
        <v>2.58</v>
      </c>
      <c r="E64" s="17">
        <f>C64*D64*1.5</f>
        <v>127442.97</v>
      </c>
    </row>
    <row r="65" spans="1:5" x14ac:dyDescent="0.2">
      <c r="A65" s="18"/>
      <c r="B65" s="19"/>
      <c r="C65" s="19"/>
      <c r="D65" s="31"/>
      <c r="E65" s="32"/>
    </row>
    <row r="66" spans="1:5" x14ac:dyDescent="0.2">
      <c r="A66" s="34"/>
      <c r="B66" s="34"/>
      <c r="C66" s="34"/>
      <c r="D66" s="35"/>
      <c r="E66" s="36"/>
    </row>
    <row r="67" spans="1:5" x14ac:dyDescent="0.2">
      <c r="A67" s="33"/>
      <c r="B67" s="11"/>
      <c r="C67" s="11"/>
      <c r="D67" s="37"/>
      <c r="E67" s="38"/>
    </row>
    <row r="68" spans="1:5" x14ac:dyDescent="0.2">
      <c r="A68" s="12" t="s">
        <v>46</v>
      </c>
      <c r="B68" s="48" t="s">
        <v>120</v>
      </c>
      <c r="C68" s="14" t="s">
        <v>33</v>
      </c>
      <c r="D68" s="14"/>
      <c r="E68" s="15"/>
    </row>
    <row r="69" spans="1:5" x14ac:dyDescent="0.2">
      <c r="A69" s="16"/>
      <c r="B69" t="s">
        <v>62</v>
      </c>
      <c r="C69" s="7">
        <f>C64</f>
        <v>32931</v>
      </c>
      <c r="D69" s="27"/>
      <c r="E69" s="15"/>
    </row>
    <row r="70" spans="1:5" x14ac:dyDescent="0.2">
      <c r="A70" s="16"/>
      <c r="B70" t="s">
        <v>58</v>
      </c>
      <c r="D70" s="5">
        <f>C69*2/500</f>
        <v>131.72399999999999</v>
      </c>
      <c r="E70" s="15"/>
    </row>
    <row r="71" spans="1:5" x14ac:dyDescent="0.2">
      <c r="A71" s="16"/>
      <c r="B71" t="s">
        <v>59</v>
      </c>
      <c r="D71" s="5">
        <f>D70*12</f>
        <v>1580.6879999999999</v>
      </c>
      <c r="E71" s="17">
        <f>D71*$AQ$17</f>
        <v>19758.599999999999</v>
      </c>
    </row>
    <row r="72" spans="1:5" x14ac:dyDescent="0.2">
      <c r="A72" s="18"/>
      <c r="B72" s="19"/>
      <c r="C72" s="19"/>
      <c r="D72" s="31"/>
      <c r="E72" s="32"/>
    </row>
    <row r="73" spans="1:5" x14ac:dyDescent="0.2">
      <c r="A73" s="34"/>
      <c r="B73" s="34"/>
      <c r="C73" s="34"/>
      <c r="D73" s="35"/>
      <c r="E73" s="36"/>
    </row>
    <row r="74" spans="1:5" x14ac:dyDescent="0.2">
      <c r="A74" s="33"/>
      <c r="B74" s="11"/>
      <c r="C74" s="11"/>
      <c r="D74" s="37"/>
      <c r="E74" s="38"/>
    </row>
    <row r="75" spans="1:5" x14ac:dyDescent="0.2">
      <c r="A75" s="12" t="s">
        <v>60</v>
      </c>
      <c r="B75" s="48" t="s">
        <v>120</v>
      </c>
      <c r="D75" s="25"/>
      <c r="E75" s="26"/>
    </row>
    <row r="76" spans="1:5" x14ac:dyDescent="0.2">
      <c r="A76" s="16"/>
      <c r="B76" t="s">
        <v>43</v>
      </c>
      <c r="D76" s="5">
        <f>D70*0.25*16*3/27</f>
        <v>58.543999999999997</v>
      </c>
      <c r="E76" s="17">
        <f>D76*$AQ$21</f>
        <v>8079.0719999999992</v>
      </c>
    </row>
    <row r="77" spans="1:5" x14ac:dyDescent="0.2">
      <c r="A77" s="18"/>
      <c r="B77" s="19"/>
      <c r="C77" s="19"/>
      <c r="D77" s="31"/>
      <c r="E77" s="32"/>
    </row>
    <row r="78" spans="1:5" x14ac:dyDescent="0.2">
      <c r="A78" s="34"/>
      <c r="B78" s="34"/>
      <c r="C78" s="34"/>
      <c r="D78" s="34"/>
      <c r="E78" s="34"/>
    </row>
    <row r="79" spans="1:5" x14ac:dyDescent="0.2">
      <c r="A79" s="21" t="s">
        <v>61</v>
      </c>
      <c r="B79" s="48" t="s">
        <v>120</v>
      </c>
      <c r="C79" s="11"/>
      <c r="D79" s="11"/>
      <c r="E79" s="23"/>
    </row>
    <row r="80" spans="1:5" x14ac:dyDescent="0.2">
      <c r="A80" s="16"/>
      <c r="B80" s="39"/>
      <c r="E80" s="15"/>
    </row>
    <row r="81" spans="1:5" x14ac:dyDescent="0.2">
      <c r="A81" s="16" t="s">
        <v>97</v>
      </c>
      <c r="B81" s="29">
        <v>100</v>
      </c>
      <c r="E81" s="15"/>
    </row>
    <row r="82" spans="1:5" x14ac:dyDescent="0.2">
      <c r="A82" s="16" t="s">
        <v>63</v>
      </c>
      <c r="B82" s="29">
        <v>7</v>
      </c>
      <c r="E82" s="15"/>
    </row>
    <row r="83" spans="1:5" x14ac:dyDescent="0.2">
      <c r="A83" s="16"/>
      <c r="C83" s="30"/>
      <c r="E83" s="15"/>
    </row>
    <row r="84" spans="1:5" x14ac:dyDescent="0.2">
      <c r="A84" s="16"/>
      <c r="C84" s="77" t="s">
        <v>116</v>
      </c>
      <c r="E84" s="15"/>
    </row>
    <row r="85" spans="1:5" x14ac:dyDescent="0.2">
      <c r="A85" s="16"/>
      <c r="B85" t="s">
        <v>34</v>
      </c>
      <c r="C85" s="71">
        <f>IF(B21&lt;1,0,IF($B$21="","",HLOOKUP($B$21,W11:AP15,5,TRUE)))</f>
        <v>2.58</v>
      </c>
      <c r="D85" s="5">
        <f>B81*B82*2</f>
        <v>1400</v>
      </c>
      <c r="E85" s="17">
        <f>D85*$C$85</f>
        <v>3612</v>
      </c>
    </row>
    <row r="86" spans="1:5" x14ac:dyDescent="0.2">
      <c r="A86" s="16"/>
      <c r="D86" s="73"/>
      <c r="E86" s="74"/>
    </row>
    <row r="87" spans="1:5" x14ac:dyDescent="0.2">
      <c r="A87" s="16"/>
      <c r="C87" s="13" t="s">
        <v>115</v>
      </c>
      <c r="D87" s="75"/>
      <c r="E87" s="76"/>
    </row>
    <row r="88" spans="1:5" x14ac:dyDescent="0.2">
      <c r="A88" s="16"/>
      <c r="B88" t="s">
        <v>35</v>
      </c>
      <c r="C88" s="71">
        <f>IF(B21&lt;1,0,IF($B$21="","",HLOOKUP($B$21,W11:AP12,2,TRUE)))</f>
        <v>0.83</v>
      </c>
      <c r="D88" s="5">
        <f>D85*50/9</f>
        <v>7777.7777777777774</v>
      </c>
      <c r="E88" s="17">
        <f>D88*C88</f>
        <v>6455.5555555555547</v>
      </c>
    </row>
    <row r="89" spans="1:5" x14ac:dyDescent="0.2">
      <c r="A89" s="18"/>
      <c r="B89" s="19"/>
      <c r="C89" s="19"/>
      <c r="D89" s="19"/>
      <c r="E89" s="20"/>
    </row>
    <row r="90" spans="1:5" x14ac:dyDescent="0.2">
      <c r="A90" s="34"/>
      <c r="B90" s="34"/>
      <c r="C90" s="34"/>
      <c r="D90" s="34"/>
      <c r="E90" s="34"/>
    </row>
    <row r="91" spans="1:5" x14ac:dyDescent="0.2">
      <c r="A91" s="21" t="s">
        <v>10</v>
      </c>
      <c r="B91" s="48" t="s">
        <v>120</v>
      </c>
      <c r="C91" s="11"/>
      <c r="D91" s="11"/>
      <c r="E91" s="23"/>
    </row>
    <row r="92" spans="1:5" x14ac:dyDescent="0.2">
      <c r="A92" s="12" t="s">
        <v>36</v>
      </c>
      <c r="B92" s="14"/>
      <c r="E92" s="15"/>
    </row>
    <row r="93" spans="1:5" x14ac:dyDescent="0.2">
      <c r="A93" s="16" t="s">
        <v>37</v>
      </c>
      <c r="B93" s="29">
        <v>96</v>
      </c>
      <c r="E93" s="15"/>
    </row>
    <row r="94" spans="1:5" x14ac:dyDescent="0.2">
      <c r="A94" s="16" t="s">
        <v>38</v>
      </c>
      <c r="B94" s="29">
        <v>10</v>
      </c>
      <c r="E94" s="15"/>
    </row>
    <row r="95" spans="1:5" x14ac:dyDescent="0.2">
      <c r="A95" s="16"/>
      <c r="E95" s="15"/>
    </row>
    <row r="96" spans="1:5" x14ac:dyDescent="0.2">
      <c r="A96" s="16"/>
      <c r="B96" t="s">
        <v>39</v>
      </c>
      <c r="D96" s="7">
        <f>(B93+B94)*16</f>
        <v>1696</v>
      </c>
      <c r="E96" s="17">
        <f>D96*$AQ$18</f>
        <v>21624</v>
      </c>
    </row>
    <row r="97" spans="1:5" x14ac:dyDescent="0.2">
      <c r="A97" s="18"/>
      <c r="B97" s="19"/>
      <c r="C97" s="19"/>
      <c r="D97" s="19"/>
      <c r="E97" s="20"/>
    </row>
    <row r="98" spans="1:5" x14ac:dyDescent="0.2">
      <c r="A98" s="11"/>
      <c r="B98" s="11"/>
      <c r="C98" s="11"/>
      <c r="D98" s="11"/>
      <c r="E98" s="11"/>
    </row>
    <row r="99" spans="1:5" x14ac:dyDescent="0.2">
      <c r="A99" s="21" t="s">
        <v>96</v>
      </c>
      <c r="B99" s="48" t="s">
        <v>120</v>
      </c>
      <c r="C99" s="11"/>
      <c r="D99" s="11"/>
      <c r="E99" s="23"/>
    </row>
    <row r="100" spans="1:5" x14ac:dyDescent="0.2">
      <c r="A100" s="16"/>
      <c r="B100" t="s">
        <v>62</v>
      </c>
      <c r="C100" s="49">
        <f>C64</f>
        <v>32931</v>
      </c>
      <c r="D100" s="46"/>
      <c r="E100" s="15"/>
    </row>
    <row r="101" spans="1:5" x14ac:dyDescent="0.2">
      <c r="A101" s="16"/>
      <c r="B101" t="s">
        <v>98</v>
      </c>
      <c r="D101" s="45">
        <f>C100/5280*3</f>
        <v>18.710795454545455</v>
      </c>
      <c r="E101" s="50">
        <f>D101*(10*150*0.5/27+(4/12*10*150/27*$B$9))*$AQ$28</f>
        <v>84891.571969696961</v>
      </c>
    </row>
    <row r="102" spans="1:5" x14ac:dyDescent="0.2">
      <c r="A102" s="16"/>
      <c r="E102" s="15"/>
    </row>
    <row r="103" spans="1:5" x14ac:dyDescent="0.2">
      <c r="A103" s="18"/>
      <c r="B103" s="19"/>
      <c r="C103" s="19"/>
      <c r="D103" s="19"/>
      <c r="E103" s="20"/>
    </row>
    <row r="116" spans="9:20" x14ac:dyDescent="0.2">
      <c r="I116" s="3"/>
      <c r="J116" s="3"/>
      <c r="L116" s="92"/>
      <c r="M116" s="92"/>
      <c r="N116" s="92"/>
      <c r="O116" s="92"/>
      <c r="P116" s="92"/>
      <c r="Q116" s="90"/>
      <c r="R116" s="90"/>
      <c r="S116" s="90"/>
      <c r="T116" s="90"/>
    </row>
    <row r="117" spans="9:20" x14ac:dyDescent="0.2">
      <c r="I117" s="3"/>
      <c r="J117" s="3"/>
      <c r="L117" s="3"/>
      <c r="M117" s="3"/>
      <c r="N117" s="3"/>
      <c r="O117" s="3"/>
      <c r="P117" s="3"/>
      <c r="Q117" s="90"/>
      <c r="R117" s="90"/>
      <c r="S117" s="90"/>
      <c r="T117" s="90"/>
    </row>
    <row r="118" spans="9:20" x14ac:dyDescent="0.2">
      <c r="I118" s="3"/>
      <c r="J118" s="3"/>
      <c r="K118" s="14"/>
      <c r="L118" s="90"/>
      <c r="M118" s="90"/>
      <c r="N118" s="90"/>
      <c r="O118" s="90"/>
      <c r="P118" s="90"/>
    </row>
    <row r="119" spans="9:20" x14ac:dyDescent="0.2">
      <c r="I119" s="3"/>
      <c r="J119" s="3"/>
      <c r="L119" s="78"/>
      <c r="M119" s="78"/>
      <c r="N119" s="78"/>
      <c r="O119" s="78"/>
      <c r="P119" s="78"/>
      <c r="Q119" s="78"/>
      <c r="R119" s="90"/>
      <c r="S119" s="90"/>
      <c r="T119" s="90"/>
    </row>
    <row r="120" spans="9:20" x14ac:dyDescent="0.2">
      <c r="I120" s="3"/>
      <c r="J120" s="3"/>
      <c r="L120" s="78"/>
      <c r="M120" s="78"/>
      <c r="N120" s="78"/>
      <c r="O120" s="78"/>
      <c r="P120" s="78"/>
      <c r="Q120" s="78"/>
      <c r="R120" s="90"/>
      <c r="S120" s="90"/>
      <c r="T120" s="90"/>
    </row>
    <row r="121" spans="9:20" x14ac:dyDescent="0.2">
      <c r="I121" s="3"/>
      <c r="J121" s="3"/>
      <c r="L121" s="78"/>
      <c r="M121" s="78"/>
      <c r="N121" s="78"/>
      <c r="O121" s="78"/>
      <c r="P121" s="78"/>
      <c r="Q121" s="78"/>
      <c r="R121" s="90"/>
      <c r="S121" s="90"/>
      <c r="T121" s="90"/>
    </row>
    <row r="122" spans="9:20" x14ac:dyDescent="0.2">
      <c r="I122" s="3"/>
      <c r="J122" s="3"/>
      <c r="L122" s="78"/>
      <c r="M122" s="78"/>
      <c r="N122" s="78"/>
      <c r="O122" s="78"/>
      <c r="P122" s="78"/>
      <c r="Q122" s="78"/>
      <c r="R122" s="90"/>
      <c r="S122" s="90"/>
      <c r="T122" s="90"/>
    </row>
    <row r="123" spans="9:20" x14ac:dyDescent="0.2">
      <c r="I123" s="3"/>
      <c r="J123" s="3"/>
      <c r="L123" s="78"/>
      <c r="M123" s="78"/>
      <c r="N123" s="78"/>
      <c r="O123" s="78"/>
      <c r="P123" s="78"/>
      <c r="Q123" s="78"/>
      <c r="R123" s="90"/>
      <c r="S123" s="90"/>
      <c r="T123" s="90"/>
    </row>
    <row r="124" spans="9:20" x14ac:dyDescent="0.2">
      <c r="I124" s="3"/>
      <c r="J124" s="3"/>
      <c r="L124" s="78"/>
      <c r="M124" s="78"/>
      <c r="N124" s="78"/>
      <c r="O124" s="78"/>
      <c r="P124" s="78"/>
      <c r="Q124" s="78"/>
      <c r="R124" s="90"/>
      <c r="S124" s="90"/>
      <c r="T124" s="90"/>
    </row>
    <row r="125" spans="9:20" x14ac:dyDescent="0.2">
      <c r="I125" s="3"/>
      <c r="J125" s="3"/>
      <c r="L125" s="78"/>
      <c r="M125" s="78"/>
      <c r="N125" s="78"/>
      <c r="O125" s="78"/>
      <c r="P125" s="78"/>
      <c r="Q125" s="78"/>
      <c r="R125" s="90"/>
      <c r="S125" s="90"/>
      <c r="T125" s="90"/>
    </row>
    <row r="126" spans="9:20" x14ac:dyDescent="0.2">
      <c r="I126" s="3"/>
      <c r="J126" s="3"/>
      <c r="L126" s="78"/>
      <c r="M126" s="78"/>
      <c r="N126" s="78"/>
      <c r="O126" s="78"/>
      <c r="P126" s="78"/>
      <c r="Q126" s="78"/>
      <c r="R126" s="90"/>
      <c r="S126" s="90"/>
      <c r="T126" s="90"/>
    </row>
    <row r="127" spans="9:20" x14ac:dyDescent="0.2">
      <c r="I127" s="3"/>
      <c r="J127" s="3"/>
      <c r="L127" s="78"/>
      <c r="M127" s="78"/>
      <c r="N127" s="78"/>
      <c r="O127" s="78"/>
      <c r="P127" s="78"/>
      <c r="Q127" s="78"/>
      <c r="R127" s="90"/>
      <c r="S127" s="90"/>
      <c r="T127" s="90"/>
    </row>
    <row r="128" spans="9:20" x14ac:dyDescent="0.2">
      <c r="I128" s="3"/>
      <c r="J128" s="3"/>
      <c r="L128" s="78"/>
      <c r="M128" s="78"/>
      <c r="N128" s="78"/>
      <c r="O128" s="78"/>
      <c r="P128" s="78"/>
      <c r="Q128" s="78"/>
      <c r="R128" s="90"/>
      <c r="S128" s="90"/>
      <c r="T128" s="90"/>
    </row>
    <row r="129" spans="9:20" x14ac:dyDescent="0.2">
      <c r="I129" s="3"/>
      <c r="J129" s="3"/>
      <c r="L129" s="78"/>
      <c r="M129" s="78"/>
      <c r="N129" s="78"/>
      <c r="O129" s="78"/>
      <c r="P129" s="78"/>
      <c r="Q129" s="78"/>
      <c r="R129" s="90"/>
      <c r="S129" s="90"/>
      <c r="T129" s="90"/>
    </row>
    <row r="130" spans="9:20" x14ac:dyDescent="0.2">
      <c r="I130" s="3"/>
      <c r="J130" s="3"/>
      <c r="L130" s="78"/>
      <c r="M130" s="78"/>
      <c r="N130" s="78"/>
      <c r="O130" s="78"/>
      <c r="P130" s="78"/>
      <c r="Q130" s="78"/>
      <c r="R130" s="90"/>
      <c r="S130" s="90"/>
      <c r="T130" s="90"/>
    </row>
    <row r="131" spans="9:20" x14ac:dyDescent="0.2">
      <c r="I131" s="3"/>
      <c r="J131" s="3"/>
      <c r="L131" s="78"/>
      <c r="M131" s="78"/>
      <c r="N131" s="78"/>
      <c r="O131" s="78"/>
      <c r="P131" s="78"/>
      <c r="Q131" s="78"/>
      <c r="R131" s="90"/>
      <c r="S131" s="90"/>
      <c r="T131" s="90"/>
    </row>
    <row r="132" spans="9:20" x14ac:dyDescent="0.2">
      <c r="I132" s="3"/>
      <c r="J132" s="3"/>
      <c r="L132" s="78"/>
      <c r="M132" s="78"/>
      <c r="N132" s="78"/>
      <c r="O132" s="78"/>
      <c r="P132" s="78"/>
      <c r="Q132" s="78"/>
      <c r="R132" s="90"/>
      <c r="S132" s="90"/>
      <c r="T132" s="90"/>
    </row>
    <row r="133" spans="9:20" x14ac:dyDescent="0.2">
      <c r="I133" s="3"/>
      <c r="J133" s="3"/>
      <c r="L133" s="78"/>
      <c r="M133" s="78"/>
      <c r="N133" s="78"/>
      <c r="O133" s="78"/>
      <c r="P133" s="78"/>
      <c r="Q133" s="78"/>
      <c r="R133" s="90"/>
      <c r="S133" s="90"/>
      <c r="T133" s="90"/>
    </row>
    <row r="134" spans="9:20" x14ac:dyDescent="0.2">
      <c r="I134" s="3"/>
      <c r="J134" s="3"/>
      <c r="L134" s="78"/>
      <c r="M134" s="78"/>
      <c r="N134" s="78"/>
      <c r="O134" s="78"/>
      <c r="P134" s="78"/>
      <c r="Q134" s="78"/>
      <c r="R134" s="90"/>
      <c r="S134" s="90"/>
      <c r="T134" s="90"/>
    </row>
    <row r="135" spans="9:20" x14ac:dyDescent="0.2">
      <c r="I135" s="3"/>
      <c r="J135" s="3"/>
      <c r="L135" s="78"/>
      <c r="M135" s="78"/>
      <c r="N135" s="78"/>
      <c r="O135" s="78"/>
      <c r="P135" s="78"/>
      <c r="Q135" s="78"/>
      <c r="R135" s="90"/>
      <c r="S135" s="90"/>
      <c r="T135" s="90"/>
    </row>
    <row r="136" spans="9:20" x14ac:dyDescent="0.2">
      <c r="I136" s="3"/>
      <c r="J136" s="3"/>
    </row>
    <row r="137" spans="9:20" x14ac:dyDescent="0.2">
      <c r="I137" s="3"/>
      <c r="J137" s="3"/>
      <c r="L137" s="91"/>
      <c r="M137" s="91"/>
      <c r="N137" s="91"/>
      <c r="O137" s="91"/>
      <c r="P137" s="91"/>
      <c r="Q137" s="91"/>
      <c r="R137" s="91"/>
      <c r="S137" s="91"/>
      <c r="T137" s="91"/>
    </row>
  </sheetData>
  <mergeCells count="40">
    <mergeCell ref="AR22:AT22"/>
    <mergeCell ref="AR23:AT23"/>
    <mergeCell ref="AR28:AT28"/>
    <mergeCell ref="W30:AT30"/>
    <mergeCell ref="AR24:AT24"/>
    <mergeCell ref="AR25:AT25"/>
    <mergeCell ref="AR26:AT26"/>
    <mergeCell ref="AR29:AT29"/>
    <mergeCell ref="AR17:AT17"/>
    <mergeCell ref="AR18:AT18"/>
    <mergeCell ref="AR19:AT19"/>
    <mergeCell ref="AR20:AT20"/>
    <mergeCell ref="AR21:AT21"/>
    <mergeCell ref="AR12:AT12"/>
    <mergeCell ref="AR13:AT13"/>
    <mergeCell ref="AR14:AT14"/>
    <mergeCell ref="AR15:AT15"/>
    <mergeCell ref="AR16:AT16"/>
    <mergeCell ref="R119:T119"/>
    <mergeCell ref="R120:T120"/>
    <mergeCell ref="R121:T121"/>
    <mergeCell ref="R122:T122"/>
    <mergeCell ref="L116:P116"/>
    <mergeCell ref="Q116:Q117"/>
    <mergeCell ref="R116:T117"/>
    <mergeCell ref="L118:P118"/>
    <mergeCell ref="R127:T127"/>
    <mergeCell ref="R128:T128"/>
    <mergeCell ref="R129:T129"/>
    <mergeCell ref="R130:T130"/>
    <mergeCell ref="R123:T123"/>
    <mergeCell ref="R124:T124"/>
    <mergeCell ref="R125:T125"/>
    <mergeCell ref="R126:T126"/>
    <mergeCell ref="R135:T135"/>
    <mergeCell ref="L137:T137"/>
    <mergeCell ref="R131:T131"/>
    <mergeCell ref="R132:T132"/>
    <mergeCell ref="R133:T133"/>
    <mergeCell ref="R134:T134"/>
  </mergeCells>
  <phoneticPr fontId="0" type="noConversion"/>
  <dataValidations xWindow="347" yWindow="344" count="11">
    <dataValidation type="list" allowBlank="1" showInputMessage="1" showErrorMessage="1" sqref="B9:B10" xr:uid="{00000000-0002-0000-0000-000000000000}">
      <formula1>$N$7:$N$9</formula1>
    </dataValidation>
    <dataValidation allowBlank="1" showInputMessage="1" showErrorMessage="1" promptTitle="Seeding and Mulching" prompt="Enter the seeding area in square yard as listed in the general summary.  _x000a_The calculation uses this figure an multiplies it by 1.5 and then by the number of planned construction seasons" sqref="B54" xr:uid="{00000000-0002-0000-0000-000001000000}"/>
    <dataValidation allowBlank="1" showInputMessage="1" showErrorMessage="1" promptTitle="Sediment Basins" prompt="Enter the Project Earth Disturbed acres and Estimated Contractor Disturbed acres from the project site plan sheet._x000a_" sqref="B18" xr:uid="{00000000-0002-0000-0000-000002000000}"/>
    <dataValidation allowBlank="1" showInputMessage="1" showErrorMessage="1" promptTitle="Perimeter Filter Fabric Fence" prompt="Enter the length of the project from the title sheet.  The total length of the perimeter silt fence is 1.5 times the length of the project." sqref="B63" xr:uid="{00000000-0002-0000-0000-000003000000}"/>
    <dataValidation allowBlank="1" showInputMessage="1" showErrorMessage="1" promptTitle="Filter Fabric Ditch Check" prompt="No Input Necessary._x000a_The number of filter fabric ditch checks  is calculated by multiplying the total length of the project by 2 and then dividing by 500." sqref="B68" xr:uid="{00000000-0002-0000-0000-000004000000}"/>
    <dataValidation allowBlank="1" showInputMessage="1" showErrorMessage="1" promptTitle="Existing Stream Protection" prompt="Enter the average width of the right-of-way for the project._x000a_Count the number of culverts that cross the centerline as shown on the plan views and input this number.  Silt fence equal to 2 times the R-of-W times the number of streams. " sqref="B79" xr:uid="{00000000-0002-0000-0000-000005000000}"/>
    <dataValidation allowBlank="1" showInputMessage="1" showErrorMessage="1" promptTitle="Rock Channel Protection/Filter" prompt="No Input Necessary.  _x000a_This section assumes that one quarter of the filter fabric ditch checks will involve rock.  " sqref="B75" xr:uid="{00000000-0002-0000-0000-000006000000}"/>
    <dataValidation allowBlank="1" showInputMessage="1" showErrorMessage="1" promptTitle="Inlet Protection" prompt="Enter the number of new and adjusted catch basins from the general summary.  The length of protection is calculated by multiplying the total number of basins by 16 feet. " sqref="B91" xr:uid="{00000000-0002-0000-0000-000007000000}"/>
    <dataValidation allowBlank="1" showInputMessage="1" showErrorMessage="1" promptTitle="Construction Entrance" prompt="No Input Necessary._x000a_Number of entrances is based upon 3 per mile.  Each entrance is 10 ft by 150 ft by 0.5 feet.  Each entrance has 4 inches of stone added per construction season.   " sqref="B99" xr:uid="{00000000-0002-0000-0000-000008000000}"/>
    <dataValidation type="list" allowBlank="1" showInputMessage="1" showErrorMessage="1" sqref="B8" xr:uid="{00000000-0002-0000-0000-000009000000}">
      <formula1>$L$7:$L$37</formula1>
    </dataValidation>
    <dataValidation allowBlank="1" showInputMessage="1" showErrorMessage="1" promptTitle="Sediment Basins" prompt="Enter in the Drainage acreage given in Culvert Detail sheets for all Culverts. Excluding bridges." sqref="B23" xr:uid="{00000000-0002-0000-0000-00000A000000}"/>
  </dataValidations>
  <pageMargins left="0.67" right="0.75" top="0.5" bottom="1" header="0.49" footer="0.5"/>
  <pageSetup scale="72" fitToHeight="0" orientation="portrait" r:id="rId1"/>
  <headerFooter alignWithMargins="0">
    <oddFooter>&amp;C&amp;8&amp;P of &amp;N</oddFooter>
  </headerFooter>
  <rowBreaks count="1" manualBreakCount="1">
    <brk id="66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Button 20">
              <controlPr defaultSize="0" print="0" autoFill="0" autoPict="0" macro="[0]!delete1">
                <anchor moveWithCells="1">
                  <from>
                    <xdr:col>3</xdr:col>
                    <xdr:colOff>381000</xdr:colOff>
                    <xdr:row>3</xdr:row>
                    <xdr:rowOff>0</xdr:rowOff>
                  </from>
                  <to>
                    <xdr:col>4</xdr:col>
                    <xdr:colOff>285750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7"/>
  <sheetViews>
    <sheetView workbookViewId="0">
      <selection activeCell="B14" sqref="B14"/>
    </sheetView>
  </sheetViews>
  <sheetFormatPr defaultRowHeight="12.75" x14ac:dyDescent="0.2"/>
  <sheetData>
    <row r="7" spans="2:2" x14ac:dyDescent="0.2">
      <c r="B7" t="s">
        <v>121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2051" r:id="rId4">
          <objectPr defaultSize="0" autoPict="0" r:id="rId5">
            <anchor moveWithCells="1">
              <from>
                <xdr:col>3</xdr:col>
                <xdr:colOff>123825</xdr:colOff>
                <xdr:row>8</xdr:row>
                <xdr:rowOff>28575</xdr:rowOff>
              </from>
              <to>
                <xdr:col>5</xdr:col>
                <xdr:colOff>523875</xdr:colOff>
                <xdr:row>15</xdr:row>
                <xdr:rowOff>123825</xdr:rowOff>
              </to>
            </anchor>
          </objectPr>
        </oleObject>
      </mc:Choice>
      <mc:Fallback>
        <oleObject progId="Document" dvAspect="DVASPECT_ICON" shapeId="205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F2A0E2FCEBC441AE756F492ADF2ED4" ma:contentTypeVersion="0" ma:contentTypeDescription="Create a new document." ma:contentTypeScope="" ma:versionID="74e3c00e4b2c890b50950128a8274c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e8063a59de06746c4b8a978e3e5f3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34D45A-D1EE-4B38-9053-1958DC38A6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E2435E-DD23-4154-9452-4A0C76802D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CFD5261-C4D5-4E52-AB2D-83102828A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Estimating</vt:lpstr>
      <vt:lpstr>Guidance Document</vt:lpstr>
      <vt:lpstr>Estimating!Print_Area</vt:lpstr>
      <vt:lpstr>Estimating!Print_Titles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Michelle Terrell</cp:lastModifiedBy>
  <cp:lastPrinted>2006-04-05T20:01:03Z</cp:lastPrinted>
  <dcterms:created xsi:type="dcterms:W3CDTF">2005-09-26T19:29:29Z</dcterms:created>
  <dcterms:modified xsi:type="dcterms:W3CDTF">2025-07-24T18:14:49Z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