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341336\"/>
    </mc:Choice>
  </mc:AlternateContent>
  <xr:revisionPtr revIDLastSave="0" documentId="13_ncr:1_{FABFEAEE-6F52-42A8-B9A4-F6FED54A3136}" xr6:coauthVersionLast="47" xr6:coauthVersionMax="47" xr10:uidLastSave="{00000000-0000-0000-0000-000000000000}"/>
  <bookViews>
    <workbookView xWindow="780" yWindow="780" windowWidth="27030" windowHeight="14130" activeTab="2" xr2:uid="{4429564F-C4F5-4911-B3EA-2331C55096B9}"/>
  </bookViews>
  <sheets>
    <sheet name="Type A" sheetId="1" r:id="rId1"/>
    <sheet name="Type B" sheetId="2" r:id="rId2"/>
    <sheet name="Type C" sheetId="3" r:id="rId3"/>
    <sheet name="Rebar Da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3" l="1"/>
  <c r="P23" i="3"/>
  <c r="P19" i="3"/>
  <c r="P18" i="3"/>
  <c r="P17" i="3"/>
  <c r="P14" i="3"/>
  <c r="P13" i="3"/>
  <c r="P10" i="3"/>
  <c r="P9" i="3"/>
  <c r="P7" i="3"/>
  <c r="P6" i="3"/>
  <c r="Q15" i="3" l="1"/>
  <c r="R24" i="3"/>
  <c r="Q24" i="3"/>
  <c r="S24" i="3" s="1"/>
  <c r="Y25" i="3"/>
  <c r="Y44" i="2"/>
  <c r="Y50" i="2"/>
  <c r="Z44" i="2"/>
  <c r="Z50" i="2"/>
  <c r="U7" i="3"/>
  <c r="V7" i="3"/>
  <c r="V10" i="1"/>
  <c r="U10" i="1"/>
  <c r="O10" i="1"/>
  <c r="W44" i="2"/>
  <c r="W50" i="2"/>
  <c r="X44" i="2"/>
  <c r="O13" i="2"/>
  <c r="F14" i="2"/>
  <c r="O37" i="2"/>
  <c r="U13" i="2"/>
  <c r="R13" i="2"/>
  <c r="V13" i="2"/>
  <c r="V22" i="2"/>
  <c r="V24" i="2"/>
  <c r="A22" i="2"/>
  <c r="C19" i="2"/>
  <c r="C19" i="1"/>
  <c r="X22" i="2"/>
  <c r="X24" i="2"/>
  <c r="X19" i="1"/>
  <c r="X21" i="1"/>
  <c r="A21" i="1"/>
  <c r="X47" i="1"/>
  <c r="X48" i="1"/>
  <c r="O14" i="3"/>
  <c r="O13" i="3"/>
  <c r="O24" i="1"/>
  <c r="O7" i="3"/>
  <c r="O9" i="1"/>
  <c r="O7" i="1"/>
  <c r="Q6" i="1"/>
  <c r="Q12" i="1"/>
  <c r="V26" i="1"/>
  <c r="U26" i="1"/>
  <c r="R6" i="1"/>
  <c r="R12" i="1"/>
  <c r="R8" i="1"/>
  <c r="AD7" i="1"/>
  <c r="Q35" i="2"/>
  <c r="Q36" i="2"/>
  <c r="P45" i="2"/>
  <c r="P48" i="2"/>
  <c r="Q24" i="1"/>
  <c r="Q28" i="1"/>
  <c r="Q25" i="1"/>
  <c r="Q13" i="3"/>
  <c r="Q14" i="3"/>
  <c r="P34" i="1"/>
  <c r="P37" i="1"/>
  <c r="F14" i="3"/>
  <c r="O15" i="3"/>
  <c r="V15" i="3"/>
  <c r="U15" i="3"/>
  <c r="V37" i="2"/>
  <c r="U37" i="2"/>
  <c r="R37" i="2"/>
  <c r="O36" i="2"/>
  <c r="O35" i="2"/>
  <c r="AB19" i="1"/>
  <c r="X20" i="1"/>
  <c r="W20" i="1"/>
  <c r="O25" i="1"/>
  <c r="F14" i="1"/>
  <c r="O26" i="1"/>
  <c r="P18" i="1"/>
  <c r="P19" i="1"/>
  <c r="P14" i="1"/>
  <c r="P8" i="1"/>
  <c r="U19" i="1"/>
  <c r="U21" i="1"/>
  <c r="V19" i="1"/>
  <c r="V21" i="1"/>
  <c r="W19" i="1"/>
  <c r="W21" i="1"/>
  <c r="B9" i="1"/>
  <c r="B10" i="1"/>
  <c r="Y48" i="1"/>
  <c r="B8" i="1"/>
  <c r="P30" i="1"/>
  <c r="B18" i="1"/>
  <c r="P24" i="1"/>
  <c r="B20" i="1"/>
  <c r="X10" i="1"/>
  <c r="Q15" i="1"/>
  <c r="Q18" i="1"/>
  <c r="R15" i="1"/>
  <c r="Z20" i="1"/>
  <c r="Q8" i="1"/>
  <c r="P15" i="1"/>
  <c r="F21" i="1"/>
  <c r="P10" i="1"/>
  <c r="AA19" i="1"/>
  <c r="Y19" i="1"/>
  <c r="R24" i="1"/>
  <c r="Q29" i="1"/>
  <c r="R25" i="1"/>
  <c r="W47" i="1"/>
  <c r="W48" i="1"/>
  <c r="R48" i="1"/>
  <c r="B17" i="1"/>
  <c r="B15" i="1"/>
  <c r="U22" i="2"/>
  <c r="U24" i="2"/>
  <c r="W22" i="2"/>
  <c r="W24" i="2"/>
  <c r="B8" i="2"/>
  <c r="P41" i="2"/>
  <c r="R42" i="2"/>
  <c r="R57" i="2"/>
  <c r="B9" i="2"/>
  <c r="B10" i="2"/>
  <c r="V58" i="2"/>
  <c r="X41" i="2"/>
  <c r="B18" i="2"/>
  <c r="Q48" i="2"/>
  <c r="U41" i="2"/>
  <c r="AA22" i="2"/>
  <c r="Y22" i="2"/>
  <c r="AB22" i="2"/>
  <c r="P31" i="2"/>
  <c r="R31" i="2"/>
  <c r="Z32" i="2"/>
  <c r="Q29" i="2"/>
  <c r="Q28" i="2"/>
  <c r="S28" i="2"/>
  <c r="R28" i="2"/>
  <c r="Q8" i="2"/>
  <c r="S7" i="2"/>
  <c r="R8" i="2"/>
  <c r="R27" i="2"/>
  <c r="Q25" i="2"/>
  <c r="S26" i="2"/>
  <c r="R25" i="2"/>
  <c r="P27" i="2"/>
  <c r="P21" i="2"/>
  <c r="Q19" i="2"/>
  <c r="S20" i="2"/>
  <c r="Q18" i="2"/>
  <c r="Q21" i="2"/>
  <c r="R18" i="2"/>
  <c r="Z23" i="2"/>
  <c r="R21" i="2"/>
  <c r="Q6" i="2"/>
  <c r="AC7" i="2"/>
  <c r="Q15" i="2"/>
  <c r="R6" i="2"/>
  <c r="R15" i="2"/>
  <c r="P17" i="2"/>
  <c r="Q10" i="2"/>
  <c r="R10" i="2"/>
  <c r="P12" i="2"/>
  <c r="P8" i="2"/>
  <c r="X13" i="2"/>
  <c r="W32" i="2"/>
  <c r="X32" i="2"/>
  <c r="P28" i="2"/>
  <c r="P18" i="2"/>
  <c r="P22" i="2"/>
  <c r="F21" i="2"/>
  <c r="R35" i="2"/>
  <c r="Q40" i="2"/>
  <c r="W58" i="2"/>
  <c r="R58" i="2"/>
  <c r="X58" i="2"/>
  <c r="X59" i="2"/>
  <c r="W23" i="2"/>
  <c r="X23" i="2"/>
  <c r="P13" i="2"/>
  <c r="O11" i="2"/>
  <c r="O9" i="2"/>
  <c r="O7" i="2"/>
  <c r="B8" i="3"/>
  <c r="R18" i="3"/>
  <c r="R23" i="3"/>
  <c r="B9" i="3"/>
  <c r="B10" i="3"/>
  <c r="X17" i="3"/>
  <c r="B17" i="3"/>
  <c r="S13" i="3" s="1"/>
  <c r="W7" i="3"/>
  <c r="Q7" i="3"/>
  <c r="V17" i="3"/>
  <c r="B15" i="3"/>
  <c r="B14" i="3"/>
  <c r="Q6" i="3"/>
  <c r="Q9" i="3"/>
  <c r="S7" i="3"/>
  <c r="R13" i="3"/>
  <c r="R14" i="3"/>
  <c r="W24" i="3"/>
  <c r="W25" i="3"/>
  <c r="X24" i="3"/>
  <c r="X25" i="3"/>
  <c r="R6" i="3"/>
  <c r="R9" i="3"/>
  <c r="S6" i="3"/>
  <c r="S9" i="3"/>
  <c r="Q10" i="3"/>
  <c r="R10" i="3"/>
  <c r="F21" i="3"/>
  <c r="O6" i="3"/>
  <c r="R18" i="1"/>
  <c r="X7" i="3"/>
  <c r="U17" i="3"/>
  <c r="Q9" i="1"/>
  <c r="V47" i="1"/>
  <c r="S15" i="1"/>
  <c r="Q14" i="1"/>
  <c r="U47" i="1"/>
  <c r="U48" i="1"/>
  <c r="Z48" i="1"/>
  <c r="W30" i="1"/>
  <c r="P46" i="1"/>
  <c r="X30" i="1"/>
  <c r="Y20" i="1"/>
  <c r="Q20" i="1"/>
  <c r="Q37" i="1"/>
  <c r="Q42" i="2"/>
  <c r="S42" i="2"/>
  <c r="Q57" i="2"/>
  <c r="R19" i="2"/>
  <c r="V32" i="2"/>
  <c r="R17" i="2"/>
  <c r="R9" i="2"/>
  <c r="R46" i="2"/>
  <c r="R52" i="2"/>
  <c r="R54" i="2"/>
  <c r="U51" i="2"/>
  <c r="V41" i="2"/>
  <c r="Q27" i="2"/>
  <c r="AD26" i="2"/>
  <c r="R12" i="2"/>
  <c r="Q37" i="2"/>
  <c r="S37" i="2"/>
  <c r="Y23" i="2"/>
  <c r="Q12" i="2"/>
  <c r="S11" i="2"/>
  <c r="Q9" i="2"/>
  <c r="S9" i="2"/>
  <c r="S18" i="2"/>
  <c r="Z59" i="2"/>
  <c r="P57" i="2"/>
  <c r="AC26" i="2"/>
  <c r="U58" i="2"/>
  <c r="Y59" i="2"/>
  <c r="P36" i="2"/>
  <c r="P37" i="2"/>
  <c r="P29" i="2"/>
  <c r="AD11" i="2"/>
  <c r="U59" i="2"/>
  <c r="Q26" i="1"/>
  <c r="R26" i="1"/>
  <c r="Z19" i="1"/>
  <c r="S40" i="2"/>
  <c r="AD20" i="2"/>
  <c r="AC20" i="2"/>
  <c r="S36" i="2"/>
  <c r="V59" i="2"/>
  <c r="S57" i="2"/>
  <c r="R23" i="2"/>
  <c r="Q23" i="2"/>
  <c r="S20" i="1"/>
  <c r="V48" i="1"/>
  <c r="P25" i="1"/>
  <c r="P26" i="1"/>
  <c r="S26" i="1"/>
  <c r="P58" i="2"/>
  <c r="P59" i="2"/>
  <c r="P35" i="2"/>
  <c r="S35" i="2"/>
  <c r="R29" i="1"/>
  <c r="S29" i="1"/>
  <c r="R28" i="1"/>
  <c r="S28" i="1"/>
  <c r="V45" i="2"/>
  <c r="R39" i="2"/>
  <c r="AC7" i="1"/>
  <c r="S7" i="1"/>
  <c r="U45" i="2"/>
  <c r="U43" i="2"/>
  <c r="R36" i="2"/>
  <c r="R40" i="2"/>
  <c r="Y34" i="1"/>
  <c r="Q31" i="1"/>
  <c r="Z40" i="1"/>
  <c r="V30" i="1"/>
  <c r="R9" i="1"/>
  <c r="S9" i="1"/>
  <c r="W10" i="1"/>
  <c r="Q31" i="2"/>
  <c r="R14" i="1"/>
  <c r="U32" i="2"/>
  <c r="AD7" i="2"/>
  <c r="Q46" i="2"/>
  <c r="R29" i="2"/>
  <c r="R35" i="1"/>
  <c r="R41" i="1"/>
  <c r="U30" i="1"/>
  <c r="R31" i="1"/>
  <c r="R46" i="1"/>
  <c r="P47" i="1"/>
  <c r="P48" i="1"/>
  <c r="Z34" i="1"/>
  <c r="Q43" i="1"/>
  <c r="W13" i="2"/>
  <c r="R37" i="1"/>
  <c r="AC36" i="1"/>
  <c r="R16" i="1"/>
  <c r="Z32" i="1"/>
  <c r="Z38" i="1"/>
  <c r="Q16" i="1"/>
  <c r="Q39" i="2"/>
  <c r="S39" i="2"/>
  <c r="AC11" i="2"/>
  <c r="R20" i="1"/>
  <c r="V43" i="2"/>
  <c r="V49" i="2"/>
  <c r="Q54" i="2"/>
  <c r="S24" i="1"/>
  <c r="R43" i="1"/>
  <c r="Y32" i="1"/>
  <c r="Y40" i="1"/>
  <c r="R48" i="2"/>
  <c r="AC47" i="2"/>
  <c r="V51" i="2"/>
  <c r="W41" i="2"/>
  <c r="Q41" i="2"/>
  <c r="Q35" i="1"/>
  <c r="Q17" i="2"/>
  <c r="AC13" i="1"/>
  <c r="AD13" i="1"/>
  <c r="S23" i="2"/>
  <c r="R41" i="2"/>
  <c r="Q40" i="1"/>
  <c r="AD39" i="1"/>
  <c r="AC39" i="1"/>
  <c r="R40" i="1"/>
  <c r="R32" i="1"/>
  <c r="Q32" i="1"/>
  <c r="Y38" i="1"/>
  <c r="S30" i="2"/>
  <c r="Q46" i="1"/>
  <c r="S46" i="1"/>
  <c r="S31" i="1"/>
  <c r="R30" i="1"/>
  <c r="Q30" i="1"/>
  <c r="S30" i="1"/>
  <c r="S47" i="2"/>
  <c r="Q52" i="2"/>
  <c r="S53" i="2"/>
  <c r="Y32" i="2"/>
  <c r="AC30" i="2"/>
  <c r="AD30" i="2"/>
  <c r="S36" i="1"/>
  <c r="Q41" i="1"/>
  <c r="S42" i="1"/>
  <c r="S17" i="1"/>
  <c r="AD17" i="1"/>
  <c r="S25" i="1"/>
  <c r="S41" i="2"/>
  <c r="AD36" i="1"/>
  <c r="AC17" i="1"/>
  <c r="AD47" i="2"/>
  <c r="AD16" i="2"/>
  <c r="AC16" i="2"/>
  <c r="S16" i="2"/>
  <c r="R34" i="1"/>
  <c r="AC33" i="1"/>
  <c r="Q34" i="1"/>
  <c r="AD33" i="1"/>
  <c r="R32" i="2"/>
  <c r="Q32" i="2"/>
  <c r="S32" i="2"/>
  <c r="U49" i="2"/>
  <c r="S13" i="1"/>
  <c r="AD42" i="1"/>
  <c r="AC42" i="1"/>
  <c r="AD53" i="2"/>
  <c r="R38" i="1"/>
  <c r="Q38" i="1"/>
  <c r="AC53" i="2"/>
  <c r="R47" i="1"/>
  <c r="Q47" i="1"/>
  <c r="Q48" i="1"/>
  <c r="S48" i="1"/>
  <c r="S47" i="1"/>
  <c r="Q19" i="1"/>
  <c r="Q21" i="1"/>
  <c r="R21" i="1"/>
  <c r="R19" i="1"/>
  <c r="S19" i="1"/>
  <c r="S21" i="1"/>
  <c r="Q43" i="2"/>
  <c r="S39" i="1"/>
  <c r="R10" i="1"/>
  <c r="Q10" i="1"/>
  <c r="S10" i="1"/>
  <c r="S33" i="1"/>
  <c r="X50" i="2"/>
  <c r="R43" i="2"/>
  <c r="R45" i="2"/>
  <c r="Q45" i="2"/>
  <c r="R51" i="2"/>
  <c r="R49" i="2"/>
  <c r="Q13" i="2"/>
  <c r="S13" i="2"/>
  <c r="W59" i="2"/>
  <c r="Q59" i="2"/>
  <c r="S59" i="2"/>
  <c r="R59" i="2"/>
  <c r="Q58" i="2"/>
  <c r="S58" i="2"/>
  <c r="Z22" i="2"/>
  <c r="R24" i="2"/>
  <c r="Q24" i="2"/>
  <c r="Q22" i="2"/>
  <c r="R22" i="2"/>
  <c r="S44" i="2"/>
  <c r="AC44" i="2"/>
  <c r="AD44" i="2"/>
  <c r="Q51" i="2"/>
  <c r="Q49" i="2"/>
  <c r="S50" i="2"/>
  <c r="S22" i="2"/>
  <c r="S24" i="2"/>
  <c r="S50" i="1"/>
  <c r="AC50" i="2"/>
  <c r="AD50" i="2"/>
  <c r="S61" i="2"/>
  <c r="V24" i="3"/>
  <c r="V25" i="3"/>
  <c r="W17" i="3"/>
  <c r="R17" i="3"/>
  <c r="Q18" i="3"/>
  <c r="Q23" i="3"/>
  <c r="S18" i="3"/>
  <c r="S19" i="3"/>
  <c r="U24" i="3"/>
  <c r="P25" i="3"/>
  <c r="R7" i="3"/>
  <c r="Q17" i="3"/>
  <c r="S17" i="3"/>
  <c r="S23" i="3"/>
  <c r="U25" i="3"/>
  <c r="R25" i="3"/>
  <c r="Q25" i="3"/>
  <c r="S25" i="3"/>
  <c r="S10" i="3" l="1"/>
  <c r="P15" i="3" l="1"/>
  <c r="S15" i="3" s="1"/>
  <c r="S14" i="3"/>
  <c r="S27" i="3" l="1"/>
</calcChain>
</file>

<file path=xl/sharedStrings.xml><?xml version="1.0" encoding="utf-8"?>
<sst xmlns="http://schemas.openxmlformats.org/spreadsheetml/2006/main" count="304" uniqueCount="103">
  <si>
    <t>Wingwalls:</t>
  </si>
  <si>
    <t>Footing &amp; Cutoff Wall:</t>
  </si>
  <si>
    <t>Precast Box Culvert:</t>
  </si>
  <si>
    <t>Span =</t>
  </si>
  <si>
    <t>Rise =</t>
  </si>
  <si>
    <t>H =</t>
  </si>
  <si>
    <t>Type A Headwall: Reinforcing Schedule Calculations</t>
  </si>
  <si>
    <t>TYPE A HEADWALL REINFORCING SCHEDULE</t>
  </si>
  <si>
    <t>NUMBER</t>
  </si>
  <si>
    <t>LENGTH</t>
  </si>
  <si>
    <t>TYPE</t>
  </si>
  <si>
    <t>A</t>
  </si>
  <si>
    <t>B</t>
  </si>
  <si>
    <t>C</t>
  </si>
  <si>
    <t>D</t>
  </si>
  <si>
    <t>INC.</t>
  </si>
  <si>
    <t>BAR MARK</t>
  </si>
  <si>
    <t>Bar Size:</t>
  </si>
  <si>
    <t>V =</t>
  </si>
  <si>
    <t>W =</t>
  </si>
  <si>
    <t>X =</t>
  </si>
  <si>
    <t>Y =</t>
  </si>
  <si>
    <t>Z =</t>
  </si>
  <si>
    <t>WW501</t>
  </si>
  <si>
    <t>WW502</t>
  </si>
  <si>
    <t>WW503</t>
  </si>
  <si>
    <t>WW504</t>
  </si>
  <si>
    <t>WW505</t>
  </si>
  <si>
    <t>WW506</t>
  </si>
  <si>
    <t>WINGWALLS</t>
  </si>
  <si>
    <t>FOOTING &amp; CUTOFF WALL</t>
  </si>
  <si>
    <t>F501</t>
  </si>
  <si>
    <t>F502</t>
  </si>
  <si>
    <t>F503</t>
  </si>
  <si>
    <t>F504</t>
  </si>
  <si>
    <t>FS501</t>
  </si>
  <si>
    <t>FS502</t>
  </si>
  <si>
    <t>FS503</t>
  </si>
  <si>
    <t>SERIES</t>
  </si>
  <si>
    <t>Bar Spacing:</t>
  </si>
  <si>
    <t>v =</t>
  </si>
  <si>
    <t>w =</t>
  </si>
  <si>
    <t>x =</t>
  </si>
  <si>
    <t>y =</t>
  </si>
  <si>
    <t>z =</t>
  </si>
  <si>
    <t>TO</t>
  </si>
  <si>
    <t>STR.</t>
  </si>
  <si>
    <r>
      <t>(h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=h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>)</t>
    </r>
  </si>
  <si>
    <r>
      <t>(L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=L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>)</t>
    </r>
  </si>
  <si>
    <t>WEIGHT (LBS.)</t>
  </si>
  <si>
    <t>FORESLOPE WALL</t>
  </si>
  <si>
    <t>TOTAL</t>
  </si>
  <si>
    <t>Reference shall be made to the "Concrete Headwalls for Precast Box Culverts" Standard Drawing for headwall dimensions and reinforcing data.</t>
  </si>
  <si>
    <t>Type B Headwall: Reinforcing Schedule Calculations</t>
  </si>
  <si>
    <t>TYPE B HEADWALL REINFORCING SCHEDULE</t>
  </si>
  <si>
    <t>WW507</t>
  </si>
  <si>
    <t>WW508</t>
  </si>
  <si>
    <t>WW509</t>
  </si>
  <si>
    <t>WW510</t>
  </si>
  <si>
    <t>Type C Headwall: Reinforcing Schedule Calculations</t>
  </si>
  <si>
    <t>TYPE C HEADWALL REINFORCING SCHEDULE</t>
  </si>
  <si>
    <t>(z=w)</t>
  </si>
  <si>
    <t>a =</t>
  </si>
  <si>
    <t>b =</t>
  </si>
  <si>
    <t>c =</t>
  </si>
  <si>
    <r>
      <t>(h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=h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>=H)</t>
    </r>
  </si>
  <si>
    <t>BAR TYPE DIMENSIONS</t>
  </si>
  <si>
    <t>Default</t>
  </si>
  <si>
    <t>Override *</t>
  </si>
  <si>
    <r>
      <t>*</t>
    </r>
    <r>
      <rPr>
        <b/>
        <sz val="8"/>
        <rFont val="Arial"/>
        <family val="2"/>
      </rPr>
      <t xml:space="preserve">  If Override Option is 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Used, Leave Cell Blank</t>
    </r>
  </si>
  <si>
    <r>
      <t>W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</si>
  <si>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r>
      <t>h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=</t>
    </r>
  </si>
  <si>
    <r>
      <t>h</t>
    </r>
    <r>
      <rPr>
        <vertAlign val="subscript"/>
        <sz val="10"/>
        <rFont val="Arial"/>
        <family val="2"/>
      </rPr>
      <t>cw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</si>
  <si>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Arial"/>
        <family val="2"/>
      </rPr>
      <t>box,wall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</si>
  <si>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Arial"/>
        <family val="2"/>
      </rPr>
      <t>box,top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</si>
  <si>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Arial"/>
        <family val="2"/>
      </rPr>
      <t>box,bot</t>
    </r>
    <r>
      <rPr>
        <sz val="10"/>
        <rFont val="Arial"/>
        <family val="2"/>
      </rPr>
      <t xml:space="preserve"> =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</si>
  <si>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</si>
  <si>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</si>
  <si>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L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</si>
  <si>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</si>
  <si>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t>q =</t>
  </si>
  <si>
    <t>F601</t>
  </si>
  <si>
    <t>F602</t>
  </si>
  <si>
    <t>F603</t>
  </si>
  <si>
    <t>F604</t>
  </si>
  <si>
    <t>Bar Size</t>
  </si>
  <si>
    <t>J</t>
  </si>
  <si>
    <t>J-A</t>
  </si>
  <si>
    <t>Mark</t>
  </si>
  <si>
    <t>Y301</t>
  </si>
  <si>
    <t>Y401</t>
  </si>
  <si>
    <t>Y501</t>
  </si>
  <si>
    <t>Y601</t>
  </si>
  <si>
    <t>Y701</t>
  </si>
  <si>
    <t>Y801</t>
  </si>
  <si>
    <t>Y901</t>
  </si>
  <si>
    <t>Y1001</t>
  </si>
  <si>
    <t>Y1101</t>
  </si>
  <si>
    <t>Y1401</t>
  </si>
  <si>
    <t>Y1801</t>
  </si>
  <si>
    <t>Weight</t>
  </si>
  <si>
    <t>Lap Length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</si>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</sst>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&quot; ft&quot;_);\(#,##0\)"/>
    <numFmt numFmtId="165" formatCode="#,##0.00&quot; in&quot;_);\(#,##0\)"/>
    <numFmt numFmtId="166" formatCode="#&quot; #&quot;##0_);\(#,##0\)"/>
    <numFmt numFmtId="167" formatCode="#,##0.00&quot; in&quot;_);\(#,##0.00\)"/>
    <numFmt numFmtId="168" formatCode="#&quot;of &quot;##0_);\(#,##0\)"/>
    <numFmt numFmtId="169" formatCode="#,##0&quot;'-&quot;_);\(#,##0\)"/>
    <numFmt numFmtId="170" formatCode="#,##0&quot;''&quot;_);\(#,##0\)"/>
    <numFmt numFmtId="171" formatCode="#\ ?/?&quot;''&quot;"/>
    <numFmt numFmtId="172" formatCode="#,##0&quot; deg&quot;_);\(#,##0\)"/>
  </numFmts>
  <fonts count="12" x14ac:knownFonts="1">
    <font>
      <sz val="10"/>
      <name val="Arial"/>
    </font>
    <font>
      <vertAlign val="subscript"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 val="doubl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right" vertical="center"/>
    </xf>
    <xf numFmtId="170" fontId="2" fillId="0" borderId="6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171" fontId="2" fillId="0" borderId="7" xfId="0" applyNumberFormat="1" applyFont="1" applyBorder="1" applyAlignment="1">
      <alignment horizontal="left" vertical="center"/>
    </xf>
    <xf numFmtId="166" fontId="6" fillId="0" borderId="0" xfId="0" applyNumberFormat="1" applyFont="1" applyAlignment="1" applyProtection="1">
      <alignment horizontal="left" vertical="center"/>
      <protection locked="0"/>
    </xf>
    <xf numFmtId="168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67" fontId="6" fillId="0" borderId="0" xfId="0" applyNumberFormat="1" applyFont="1" applyAlignment="1" applyProtection="1">
      <alignment horizontal="left" vertical="center"/>
      <protection locked="0"/>
    </xf>
    <xf numFmtId="167" fontId="7" fillId="0" borderId="0" xfId="0" applyNumberFormat="1" applyFont="1" applyAlignment="1">
      <alignment horizontal="left" vertical="center"/>
    </xf>
    <xf numFmtId="171" fontId="2" fillId="0" borderId="6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0" fontId="2" fillId="0" borderId="7" xfId="0" applyNumberFormat="1" applyFont="1" applyBorder="1" applyAlignment="1">
      <alignment horizontal="left" vertical="center"/>
    </xf>
    <xf numFmtId="169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left" vertical="center"/>
    </xf>
    <xf numFmtId="171" fontId="7" fillId="0" borderId="0" xfId="0" applyNumberFormat="1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169" fontId="2" fillId="0" borderId="6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2</xdr:row>
      <xdr:rowOff>0</xdr:rowOff>
    </xdr:from>
    <xdr:to>
      <xdr:col>14</xdr:col>
      <xdr:colOff>0</xdr:colOff>
      <xdr:row>23</xdr:row>
      <xdr:rowOff>0</xdr:rowOff>
    </xdr:to>
    <xdr:pic>
      <xdr:nvPicPr>
        <xdr:cNvPr id="1471" name="Picture 12">
          <a:extLst>
            <a:ext uri="{FF2B5EF4-FFF2-40B4-BE49-F238E27FC236}">
              <a16:creationId xmlns:a16="http://schemas.microsoft.com/office/drawing/2014/main" id="{18C07B39-84B1-6A2A-40E6-150417EA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23850"/>
          <a:ext cx="4295775" cy="340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23</xdr:row>
      <xdr:rowOff>9525</xdr:rowOff>
    </xdr:from>
    <xdr:to>
      <xdr:col>7</xdr:col>
      <xdr:colOff>0</xdr:colOff>
      <xdr:row>37</xdr:row>
      <xdr:rowOff>95250</xdr:rowOff>
    </xdr:to>
    <xdr:pic>
      <xdr:nvPicPr>
        <xdr:cNvPr id="1472" name="Picture 13">
          <a:extLst>
            <a:ext uri="{FF2B5EF4-FFF2-40B4-BE49-F238E27FC236}">
              <a16:creationId xmlns:a16="http://schemas.microsoft.com/office/drawing/2014/main" id="{FD6EF925-E7F6-F05F-1482-73661E32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33800"/>
          <a:ext cx="4238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23</xdr:row>
      <xdr:rowOff>9525</xdr:rowOff>
    </xdr:from>
    <xdr:to>
      <xdr:col>14</xdr:col>
      <xdr:colOff>0</xdr:colOff>
      <xdr:row>37</xdr:row>
      <xdr:rowOff>142875</xdr:rowOff>
    </xdr:to>
    <xdr:pic>
      <xdr:nvPicPr>
        <xdr:cNvPr id="1473" name="Picture 14">
          <a:extLst>
            <a:ext uri="{FF2B5EF4-FFF2-40B4-BE49-F238E27FC236}">
              <a16:creationId xmlns:a16="http://schemas.microsoft.com/office/drawing/2014/main" id="{770C3734-993A-007C-7B7F-BC254C01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733800"/>
          <a:ext cx="393382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2</xdr:row>
      <xdr:rowOff>9525</xdr:rowOff>
    </xdr:from>
    <xdr:to>
      <xdr:col>14</xdr:col>
      <xdr:colOff>0</xdr:colOff>
      <xdr:row>22</xdr:row>
      <xdr:rowOff>114300</xdr:rowOff>
    </xdr:to>
    <xdr:pic>
      <xdr:nvPicPr>
        <xdr:cNvPr id="2489" name="Picture 6">
          <a:extLst>
            <a:ext uri="{FF2B5EF4-FFF2-40B4-BE49-F238E27FC236}">
              <a16:creationId xmlns:a16="http://schemas.microsoft.com/office/drawing/2014/main" id="{15D9AD56-25D7-706F-007E-80E298FC9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333375"/>
          <a:ext cx="4210050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23</xdr:row>
      <xdr:rowOff>9525</xdr:rowOff>
    </xdr:from>
    <xdr:to>
      <xdr:col>14</xdr:col>
      <xdr:colOff>0</xdr:colOff>
      <xdr:row>38</xdr:row>
      <xdr:rowOff>0</xdr:rowOff>
    </xdr:to>
    <xdr:pic>
      <xdr:nvPicPr>
        <xdr:cNvPr id="2490" name="Picture 7">
          <a:extLst>
            <a:ext uri="{FF2B5EF4-FFF2-40B4-BE49-F238E27FC236}">
              <a16:creationId xmlns:a16="http://schemas.microsoft.com/office/drawing/2014/main" id="{9169CBF5-B12C-256F-AA5B-35EC7D06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733800"/>
          <a:ext cx="38481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9525</xdr:rowOff>
    </xdr:from>
    <xdr:to>
      <xdr:col>7</xdr:col>
      <xdr:colOff>0</xdr:colOff>
      <xdr:row>38</xdr:row>
      <xdr:rowOff>123825</xdr:rowOff>
    </xdr:to>
    <xdr:pic>
      <xdr:nvPicPr>
        <xdr:cNvPr id="2491" name="Picture 8">
          <a:extLst>
            <a:ext uri="{FF2B5EF4-FFF2-40B4-BE49-F238E27FC236}">
              <a16:creationId xmlns:a16="http://schemas.microsoft.com/office/drawing/2014/main" id="{D5E5FE32-C5AC-4020-0316-779E980E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"/>
          <a:ext cx="4305300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2</xdr:row>
      <xdr:rowOff>0</xdr:rowOff>
    </xdr:from>
    <xdr:to>
      <xdr:col>14</xdr:col>
      <xdr:colOff>0</xdr:colOff>
      <xdr:row>23</xdr:row>
      <xdr:rowOff>15240</xdr:rowOff>
    </xdr:to>
    <xdr:pic>
      <xdr:nvPicPr>
        <xdr:cNvPr id="3547" name="Picture 9">
          <a:extLst>
            <a:ext uri="{FF2B5EF4-FFF2-40B4-BE49-F238E27FC236}">
              <a16:creationId xmlns:a16="http://schemas.microsoft.com/office/drawing/2014/main" id="{CFAFA782-29AF-AF7F-90D0-E3F39E72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323850"/>
          <a:ext cx="4419600" cy="341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23</xdr:row>
      <xdr:rowOff>9525</xdr:rowOff>
    </xdr:from>
    <xdr:to>
      <xdr:col>6</xdr:col>
      <xdr:colOff>590550</xdr:colOff>
      <xdr:row>37</xdr:row>
      <xdr:rowOff>91440</xdr:rowOff>
    </xdr:to>
    <xdr:pic>
      <xdr:nvPicPr>
        <xdr:cNvPr id="3548" name="Picture 10">
          <a:extLst>
            <a:ext uri="{FF2B5EF4-FFF2-40B4-BE49-F238E27FC236}">
              <a16:creationId xmlns:a16="http://schemas.microsoft.com/office/drawing/2014/main" id="{56379093-F10D-02D1-B539-E92F672B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733800"/>
          <a:ext cx="415290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24</xdr:row>
      <xdr:rowOff>9525</xdr:rowOff>
    </xdr:from>
    <xdr:to>
      <xdr:col>14</xdr:col>
      <xdr:colOff>0</xdr:colOff>
      <xdr:row>37</xdr:row>
      <xdr:rowOff>91440</xdr:rowOff>
    </xdr:to>
    <xdr:pic>
      <xdr:nvPicPr>
        <xdr:cNvPr id="3549" name="Picture 11">
          <a:extLst>
            <a:ext uri="{FF2B5EF4-FFF2-40B4-BE49-F238E27FC236}">
              <a16:creationId xmlns:a16="http://schemas.microsoft.com/office/drawing/2014/main" id="{667E71FF-605C-E247-93F3-98AA08101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3895725"/>
          <a:ext cx="3952875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278A-D33B-4521-8D57-BDF3E73B8A29}">
  <dimension ref="A1:AD50"/>
  <sheetViews>
    <sheetView workbookViewId="0">
      <selection activeCell="B20" sqref="B20"/>
    </sheetView>
  </sheetViews>
  <sheetFormatPr defaultColWidth="9.140625" defaultRowHeight="12.75" customHeight="1" x14ac:dyDescent="0.2"/>
  <cols>
    <col min="1" max="13" width="9.140625" style="1"/>
    <col min="14" max="14" width="4.140625" style="1" customWidth="1"/>
    <col min="15" max="15" width="7.42578125" style="36" customWidth="1"/>
    <col min="16" max="16" width="9.28515625" style="36" customWidth="1"/>
    <col min="17" max="17" width="6.7109375" style="36" customWidth="1"/>
    <col min="18" max="18" width="8.7109375" style="36" customWidth="1"/>
    <col min="19" max="19" width="9.28515625" style="36" customWidth="1"/>
    <col min="20" max="20" width="5" style="36" customWidth="1"/>
    <col min="21" max="21" width="6.7109375" style="36" customWidth="1"/>
    <col min="22" max="22" width="8.7109375" style="36" customWidth="1"/>
    <col min="23" max="23" width="6.7109375" style="36" customWidth="1"/>
    <col min="24" max="24" width="8.7109375" style="36" customWidth="1"/>
    <col min="25" max="25" width="6.7109375" style="36" customWidth="1"/>
    <col min="26" max="26" width="8.7109375" style="36" customWidth="1"/>
    <col min="27" max="27" width="6.7109375" style="36" customWidth="1"/>
    <col min="28" max="28" width="8.7109375" style="36" customWidth="1"/>
    <col min="29" max="29" width="6.7109375" style="36" customWidth="1"/>
    <col min="30" max="30" width="8.7109375" style="1" customWidth="1"/>
    <col min="31" max="16384" width="9.140625" style="1"/>
  </cols>
  <sheetData>
    <row r="1" spans="1:30" ht="12.75" customHeight="1" thickBot="1" x14ac:dyDescent="0.25">
      <c r="A1" s="4" t="s">
        <v>6</v>
      </c>
      <c r="M1" s="2" t="s">
        <v>69</v>
      </c>
      <c r="O1" s="53" t="s">
        <v>7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5"/>
    </row>
    <row r="2" spans="1:30" ht="12.75" customHeight="1" x14ac:dyDescent="0.2">
      <c r="A2" s="3" t="s">
        <v>52</v>
      </c>
      <c r="O2" s="64" t="s">
        <v>16</v>
      </c>
      <c r="P2" s="67" t="s">
        <v>8</v>
      </c>
      <c r="Q2" s="70" t="s">
        <v>9</v>
      </c>
      <c r="R2" s="71"/>
      <c r="S2" s="83" t="s">
        <v>49</v>
      </c>
      <c r="T2" s="88" t="s">
        <v>10</v>
      </c>
      <c r="U2" s="70" t="s">
        <v>66</v>
      </c>
      <c r="V2" s="76"/>
      <c r="W2" s="76"/>
      <c r="X2" s="76"/>
      <c r="Y2" s="76"/>
      <c r="Z2" s="76"/>
      <c r="AA2" s="76"/>
      <c r="AB2" s="71"/>
      <c r="AC2" s="70" t="s">
        <v>15</v>
      </c>
      <c r="AD2" s="80"/>
    </row>
    <row r="3" spans="1:30" ht="12.75" customHeight="1" x14ac:dyDescent="0.2">
      <c r="O3" s="65"/>
      <c r="P3" s="68"/>
      <c r="Q3" s="72"/>
      <c r="R3" s="73"/>
      <c r="S3" s="84"/>
      <c r="T3" s="89"/>
      <c r="U3" s="77"/>
      <c r="V3" s="78"/>
      <c r="W3" s="78"/>
      <c r="X3" s="78"/>
      <c r="Y3" s="78"/>
      <c r="Z3" s="78"/>
      <c r="AA3" s="78"/>
      <c r="AB3" s="79"/>
      <c r="AC3" s="72"/>
      <c r="AD3" s="81"/>
    </row>
    <row r="4" spans="1:30" ht="12.75" customHeight="1" thickBot="1" x14ac:dyDescent="0.25">
      <c r="A4" s="4" t="s">
        <v>2</v>
      </c>
      <c r="E4" s="4" t="s">
        <v>1</v>
      </c>
      <c r="O4" s="66"/>
      <c r="P4" s="69"/>
      <c r="Q4" s="74"/>
      <c r="R4" s="75"/>
      <c r="S4" s="85"/>
      <c r="T4" s="90"/>
      <c r="U4" s="61" t="s">
        <v>11</v>
      </c>
      <c r="V4" s="62"/>
      <c r="W4" s="61" t="s">
        <v>12</v>
      </c>
      <c r="X4" s="62"/>
      <c r="Y4" s="61" t="s">
        <v>13</v>
      </c>
      <c r="Z4" s="62"/>
      <c r="AA4" s="61" t="s">
        <v>14</v>
      </c>
      <c r="AB4" s="62"/>
      <c r="AC4" s="74"/>
      <c r="AD4" s="82"/>
    </row>
    <row r="5" spans="1:30" ht="12.75" customHeight="1" x14ac:dyDescent="0.2">
      <c r="A5" s="5" t="s">
        <v>3</v>
      </c>
      <c r="B5" s="6">
        <v>8</v>
      </c>
      <c r="E5" s="5" t="s">
        <v>70</v>
      </c>
      <c r="F5" s="6">
        <v>8</v>
      </c>
      <c r="O5" s="86" t="s">
        <v>29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87"/>
    </row>
    <row r="6" spans="1:30" ht="12.75" customHeight="1" x14ac:dyDescent="0.2">
      <c r="A6" s="5" t="s">
        <v>4</v>
      </c>
      <c r="B6" s="6">
        <v>7</v>
      </c>
      <c r="E6" s="5" t="s">
        <v>71</v>
      </c>
      <c r="F6" s="6">
        <v>2</v>
      </c>
      <c r="O6" s="10"/>
      <c r="P6" s="11">
        <v>2</v>
      </c>
      <c r="Q6" s="12">
        <f>IF((B14-(2/12)-ROUNDDOWN(B14-(2/12),0))*12=12,ROUNDDOWN(B14-(2/12),0)+1,ROUNDDOWN(B14-(2/12),0))</f>
        <v>5</v>
      </c>
      <c r="R6" s="13">
        <f>IF((B14-(2/12)-ROUNDDOWN(B14-(2/12),0))*12=12,0,(B14-(2/12)-ROUNDDOWN(B14-(2/12),0))*12)</f>
        <v>9.9999999999999964</v>
      </c>
      <c r="S6" s="14"/>
      <c r="T6" s="11"/>
      <c r="U6" s="15"/>
      <c r="V6" s="15"/>
      <c r="W6" s="16"/>
      <c r="X6" s="17"/>
      <c r="Y6" s="16"/>
      <c r="Z6" s="17"/>
      <c r="AA6" s="16"/>
      <c r="AB6" s="17"/>
      <c r="AC6" s="18"/>
      <c r="AD6" s="19"/>
    </row>
    <row r="7" spans="1:30" ht="12.75" customHeight="1" x14ac:dyDescent="0.2">
      <c r="B7" s="9" t="s">
        <v>67</v>
      </c>
      <c r="C7" s="9" t="s">
        <v>68</v>
      </c>
      <c r="E7" s="5" t="s">
        <v>72</v>
      </c>
      <c r="F7" s="6">
        <v>2</v>
      </c>
      <c r="O7" s="10" t="str">
        <f>IF(F12=5,"X501","X601")</f>
        <v>X501</v>
      </c>
      <c r="P7" s="11" t="s">
        <v>38</v>
      </c>
      <c r="Q7" s="56" t="s">
        <v>45</v>
      </c>
      <c r="R7" s="57"/>
      <c r="S7" s="14">
        <f>ROUNDUP(IF(F12=5,0.5*(Q8+R8/12+Q6+R6/12)*P6*P8*1.043,0.5*(Q8+R8/12+Q6+R6/12)*P6*P8*1.502),0)</f>
        <v>220</v>
      </c>
      <c r="T7" s="11" t="s">
        <v>46</v>
      </c>
      <c r="U7" s="16"/>
      <c r="V7" s="17"/>
      <c r="W7" s="16"/>
      <c r="X7" s="17"/>
      <c r="Y7" s="16"/>
      <c r="Z7" s="17"/>
      <c r="AA7" s="16"/>
      <c r="AB7" s="17"/>
      <c r="AC7" s="12">
        <f>IF((Q8+R8/12-Q6-R6/12)/(P8-1)=1,1,IF(CEILING(((Q8+(R8/12)-Q6-(R6/12))/(P8-1)-ROUNDDOWN((Q8+(R8/12)-Q6-(R6/12))/(P8-1),0))*12,0.125)=12,ROUNDDOWN(((Q8+(R8/12)-Q6-(R6/12))/(P8-1)),0)+1,ROUNDDOWN(((Q8+(R8/12)-Q6-(R6/12))/(P8-1)),0)))</f>
        <v>0</v>
      </c>
      <c r="AD7" s="23">
        <f>IF((Q8+R8/12-Q6-R6/12)/(P8-1)=1,0,IF(CEILING(((Q8+(R8/12)-Q6-(R6/12))/(P8-1)-ROUNDDOWN((Q8+(R8/12)-Q6-(R6/12))/(P8-1),0))*12,0.125)=12,0,CEILING(((Q8+(R8/12)-Q6-(R6/12))/(P8-1)-ROUNDDOWN((Q8+(R8/12)-Q6-(R6/12))/(P8-1),0))*12,0.125)))</f>
        <v>4.5</v>
      </c>
    </row>
    <row r="8" spans="1:30" ht="12.75" customHeight="1" x14ac:dyDescent="0.2">
      <c r="A8" s="5" t="s">
        <v>73</v>
      </c>
      <c r="B8" s="20">
        <f>IF($B$5=8,8,IF($B$5=10,10,IF($B$5&gt;=12,12,"Error")))</f>
        <v>8</v>
      </c>
      <c r="C8" s="21"/>
      <c r="O8" s="10"/>
      <c r="P8" s="25">
        <f>ROUNDUP(((B16-(4/12))/(F19/12))+1,0)</f>
        <v>13</v>
      </c>
      <c r="Q8" s="12">
        <f>IF((B13-(2/12)-ROUNDDOWN(B13-(2/12),0))*12=12,ROUNDDOWN(B13-(2/12),0)+1,ROUNDDOWN(B13-(2/12),0))</f>
        <v>10</v>
      </c>
      <c r="R8" s="13">
        <f>IF((B13-(2/12)-ROUNDDOWN(B13-(2/12),0))*12=12,0,(B13-(2/12)-ROUNDDOWN(B13-(2/12),0))*12)</f>
        <v>4.0000000000000071</v>
      </c>
      <c r="S8" s="14"/>
      <c r="T8" s="11"/>
      <c r="U8" s="16"/>
      <c r="V8" s="17"/>
      <c r="W8" s="16"/>
      <c r="X8" s="17"/>
      <c r="Y8" s="16"/>
      <c r="Z8" s="17"/>
      <c r="AA8" s="16"/>
      <c r="AB8" s="17"/>
      <c r="AC8" s="18"/>
      <c r="AD8" s="26"/>
    </row>
    <row r="9" spans="1:30" ht="12.75" customHeight="1" x14ac:dyDescent="0.2">
      <c r="A9" s="5" t="s">
        <v>74</v>
      </c>
      <c r="B9" s="20">
        <f>IF($B$5=8,8,IF($B$5=10,10,IF($B$5&gt;=12,12,"Error")))</f>
        <v>8</v>
      </c>
      <c r="C9" s="21"/>
      <c r="E9" s="4" t="s">
        <v>17</v>
      </c>
      <c r="O9" s="10" t="str">
        <f>IF(F12=5,"X502","X602")</f>
        <v>X502</v>
      </c>
      <c r="P9" s="11">
        <v>4</v>
      </c>
      <c r="Q9" s="12">
        <f>Q8</f>
        <v>10</v>
      </c>
      <c r="R9" s="13">
        <f>R8</f>
        <v>4.0000000000000071</v>
      </c>
      <c r="S9" s="14">
        <f>ROUNDUP(IF(F12=5,(Q9+R9/12)*P9*1.043,(Q9+R9/12)*P9*1.502),0)</f>
        <v>44</v>
      </c>
      <c r="T9" s="11" t="s">
        <v>46</v>
      </c>
      <c r="U9" s="16"/>
      <c r="V9" s="17"/>
      <c r="W9" s="16"/>
      <c r="X9" s="17"/>
      <c r="Y9" s="16"/>
      <c r="Z9" s="17"/>
      <c r="AA9" s="16"/>
      <c r="AB9" s="17"/>
      <c r="AC9" s="18"/>
      <c r="AD9" s="26"/>
    </row>
    <row r="10" spans="1:30" ht="12.75" customHeight="1" x14ac:dyDescent="0.2">
      <c r="A10" s="5" t="s">
        <v>75</v>
      </c>
      <c r="B10" s="20">
        <f>IF($B$5=8,8,IF($B$5=10,10,IF($B$5&gt;=12,12,"Error")))</f>
        <v>8</v>
      </c>
      <c r="C10" s="21"/>
      <c r="E10" s="5" t="s">
        <v>18</v>
      </c>
      <c r="F10" s="24">
        <v>5</v>
      </c>
      <c r="O10" s="10" t="str">
        <f>VLOOKUP(F13,'Rebar Data'!A2:D12,4)</f>
        <v>Y601</v>
      </c>
      <c r="P10" s="11">
        <f>ROUNDUP((((B16-(4/12))/(F20/12))+3),0)*2</f>
        <v>54</v>
      </c>
      <c r="Q10" s="12">
        <f>IF((U10+V10/12+W10+X10/12-(VLOOKUP(F13,'Rebar Data'!A2:C12,3)/12)-ROUNDDOWN(U10+V10/12+W10+X10/12-(VLOOKUP(F13,'Rebar Data'!A2:C12,3)/12),0))*12=12,ROUNDDOWN(U10+V10/12+W10+X10/12-(VLOOKUP(F13,'Rebar Data'!A2:C12,3)/12),0)+1,ROUNDDOWN(U10+V10/12+W10+X10/12-(VLOOKUP(F13,'Rebar Data'!A2:C12,3)/12),0))</f>
        <v>6</v>
      </c>
      <c r="R10" s="13">
        <f>ROUNDDOWN((U10+V10/12+W10+X10/12-(VLOOKUP(F13,'Rebar Data'!A2:C12,3)/12)-ROUNDDOWN(U10+V10/12+W10+X10/12-(VLOOKUP(F13,'Rebar Data'!A2:C12,3)/12),0))*12,0)</f>
        <v>5</v>
      </c>
      <c r="S10" s="14">
        <f>(Q10+(R10/12))*P10*VLOOKUP(F13,'Rebar Data'!A2:E12,5)</f>
        <v>520.44299999999998</v>
      </c>
      <c r="T10" s="11">
        <v>1</v>
      </c>
      <c r="U10" s="12">
        <f>IF(VLOOKUP(F13,'Rebar Data'!A2:B12,2)&gt;=36,3,IF(VLOOKUP(F13,'Rebar Data'!A2:B12,2)&gt;=24,2,IF(VLOOKUP(F13,'Rebar Data'!A2:B12,2)&gt;=12,1,0)))</f>
        <v>1</v>
      </c>
      <c r="V10" s="13">
        <f>IF(VLOOKUP(F13,'Rebar Data'!A2:B12,2)&gt;=36,VLOOKUP(F13,'Rebar Data'!A2:B12,2)-36,IF(VLOOKUP(F13,'Rebar Data'!A2:B12,2)&gt;=24,VLOOKUP(F13,'Rebar Data'!A2:B12,2)-24,IF(VLOOKUP(F13,'Rebar Data'!A2:B12,2)&gt;=12,VLOOKUP(F13,'Rebar Data'!A2:B12,2)-12,VLOOKUP(F13,'Rebar Data'!A2:B12,2))))</f>
        <v>0</v>
      </c>
      <c r="W10" s="12">
        <f>IF((F6+B20-(3/12)-ROUNDDOWN(F6+B20-(3/12),0))*12=12,ROUNDDOWN(F6+B20-(3/12),0)+1,ROUNDDOWN(F6+B20-(3/12),0))</f>
        <v>5</v>
      </c>
      <c r="X10" s="13">
        <f>IF((F6+B20-(3/12)-ROUNDDOWN(F6+B20-(3/12),0))*12=12,0,(F6+B20-(3/12)-ROUNDDOWN(F6+B20-(3/12),0))*12)</f>
        <v>7.9999999999999929</v>
      </c>
      <c r="Y10" s="12"/>
      <c r="Z10" s="13"/>
      <c r="AA10" s="12"/>
      <c r="AB10" s="13"/>
      <c r="AC10" s="18"/>
      <c r="AD10" s="26"/>
    </row>
    <row r="11" spans="1:30" ht="12.75" customHeight="1" x14ac:dyDescent="0.2">
      <c r="E11" s="5" t="s">
        <v>19</v>
      </c>
      <c r="F11" s="24">
        <v>5</v>
      </c>
      <c r="O11" s="10"/>
      <c r="P11" s="11"/>
      <c r="Q11" s="18"/>
      <c r="R11" s="22"/>
      <c r="S11" s="14"/>
      <c r="T11" s="11"/>
      <c r="U11" s="16"/>
      <c r="V11" s="17"/>
      <c r="W11" s="16"/>
      <c r="X11" s="17"/>
      <c r="Y11" s="16"/>
      <c r="Z11" s="17"/>
      <c r="AA11" s="16"/>
      <c r="AB11" s="17"/>
      <c r="AC11" s="18"/>
      <c r="AD11" s="26"/>
    </row>
    <row r="12" spans="1:30" ht="12.75" customHeight="1" x14ac:dyDescent="0.2">
      <c r="A12" s="4" t="s">
        <v>0</v>
      </c>
      <c r="E12" s="5" t="s">
        <v>20</v>
      </c>
      <c r="F12" s="24">
        <v>5</v>
      </c>
      <c r="O12" s="10"/>
      <c r="P12" s="11">
        <v>2</v>
      </c>
      <c r="Q12" s="12">
        <f>Q6</f>
        <v>5</v>
      </c>
      <c r="R12" s="13">
        <f>R6</f>
        <v>9.9999999999999964</v>
      </c>
      <c r="S12" s="14"/>
      <c r="T12" s="11"/>
      <c r="U12" s="15"/>
      <c r="V12" s="15"/>
      <c r="W12" s="16"/>
      <c r="X12" s="17"/>
      <c r="Y12" s="16"/>
      <c r="Z12" s="17"/>
      <c r="AA12" s="16"/>
      <c r="AB12" s="17"/>
      <c r="AC12" s="18"/>
      <c r="AD12" s="26"/>
    </row>
    <row r="13" spans="1:30" ht="12.75" customHeight="1" x14ac:dyDescent="0.2">
      <c r="A13" s="5" t="s">
        <v>5</v>
      </c>
      <c r="B13" s="6">
        <v>10.5</v>
      </c>
      <c r="E13" s="5" t="s">
        <v>21</v>
      </c>
      <c r="F13" s="24">
        <v>6</v>
      </c>
      <c r="O13" s="10" t="s">
        <v>23</v>
      </c>
      <c r="P13" s="11" t="s">
        <v>38</v>
      </c>
      <c r="Q13" s="56" t="s">
        <v>45</v>
      </c>
      <c r="R13" s="57"/>
      <c r="S13" s="14">
        <f>ROUNDUP(0.5*(Q14+R14/12+Q12+R12/12)*P12*P14*1.043,0)</f>
        <v>220</v>
      </c>
      <c r="T13" s="11" t="s">
        <v>46</v>
      </c>
      <c r="U13" s="16"/>
      <c r="V13" s="17"/>
      <c r="W13" s="16"/>
      <c r="X13" s="17"/>
      <c r="Y13" s="16"/>
      <c r="Z13" s="17"/>
      <c r="AA13" s="16"/>
      <c r="AB13" s="17"/>
      <c r="AC13" s="12">
        <f>IF((Q14+R14/12-Q12-R12/12)/(P14-1)=1,1,IF(CEILING(((Q14+(R14/12)-Q12-(R12/12))/(P14-1)-ROUNDDOWN((Q14+(R14/12)-Q12-(R12/12))/(P14-1),0))*12,0.125)=12,ROUNDDOWN(((Q14+(R14/12)-Q12-(R12/12))/(P14-1)),0)+1,ROUNDDOWN(((Q14+(R14/12)-Q12-(R12/12))/(P14-1)),0)))</f>
        <v>0</v>
      </c>
      <c r="AD13" s="23">
        <f>IF((Q14+R14/12-Q12-R12/12)/(P14-1)=1,0,IF(CEILING(((Q14+(R14/12)-Q12-(R12/12))/(P14-1)-ROUNDDOWN((Q14+(R14/12)-Q12-(R12/12))/(P14-1),0))*12,0.125)=12,0,CEILING(((Q14+(R14/12)-Q12-(R12/12))/(P14-1)-ROUNDDOWN((Q14+(R14/12)-Q12-(R12/12))/(P14-1),0))*12,0.125)))</f>
        <v>4.5</v>
      </c>
    </row>
    <row r="14" spans="1:30" ht="12.75" customHeight="1" x14ac:dyDescent="0.2">
      <c r="A14" s="5" t="s">
        <v>76</v>
      </c>
      <c r="B14" s="6">
        <v>6</v>
      </c>
      <c r="E14" s="5" t="s">
        <v>22</v>
      </c>
      <c r="F14" s="27">
        <f>F11</f>
        <v>5</v>
      </c>
      <c r="O14" s="10"/>
      <c r="P14" s="25">
        <f>ROUNDUP(((B16-(4/12))/(18/12))+1,0)</f>
        <v>13</v>
      </c>
      <c r="Q14" s="12">
        <f>Q8</f>
        <v>10</v>
      </c>
      <c r="R14" s="13">
        <f>R8</f>
        <v>4.0000000000000071</v>
      </c>
      <c r="S14" s="14"/>
      <c r="T14" s="11"/>
      <c r="U14" s="16"/>
      <c r="V14" s="17"/>
      <c r="W14" s="16"/>
      <c r="X14" s="17"/>
      <c r="Y14" s="16"/>
      <c r="Z14" s="17"/>
      <c r="AA14" s="16"/>
      <c r="AB14" s="17"/>
      <c r="AC14" s="18"/>
      <c r="AD14" s="26"/>
    </row>
    <row r="15" spans="1:30" ht="12.75" customHeight="1" x14ac:dyDescent="0.2">
      <c r="A15" s="5" t="s">
        <v>77</v>
      </c>
      <c r="B15" s="28">
        <f>B14</f>
        <v>6</v>
      </c>
      <c r="C15" s="3" t="s">
        <v>47</v>
      </c>
      <c r="O15" s="10" t="s">
        <v>24</v>
      </c>
      <c r="P15" s="11">
        <f>ROUNDUP((((B14-(4/12))/(18/12))),0)*4</f>
        <v>16</v>
      </c>
      <c r="Q15" s="12">
        <f>IF((B16-(4/12)-ROUNDDOWN(B16-(4/12),0))*12=12,ROUNDDOWN(B16-(4/12),0)+1,ROUNDDOWN(B16-(4/12),0))</f>
        <v>17</v>
      </c>
      <c r="R15" s="13">
        <f>IF((B16-(4/12)-ROUNDDOWN(B16-(4/12),0))*12=12,0,(B16-(4/12)-ROUNDDOWN(B16-(4/12),0))*12)</f>
        <v>8.0000000000000142</v>
      </c>
      <c r="S15" s="14">
        <f>ROUNDUP((Q15+R15/12)*P15*1.043,0)</f>
        <v>295</v>
      </c>
      <c r="T15" s="11" t="s">
        <v>46</v>
      </c>
      <c r="U15" s="16"/>
      <c r="V15" s="17"/>
      <c r="W15" s="16"/>
      <c r="X15" s="17"/>
      <c r="Y15" s="16"/>
      <c r="Z15" s="17"/>
      <c r="AA15" s="16"/>
      <c r="AB15" s="17"/>
      <c r="AC15" s="18"/>
      <c r="AD15" s="26"/>
    </row>
    <row r="16" spans="1:30" ht="12.75" customHeight="1" x14ac:dyDescent="0.2">
      <c r="A16" s="5" t="s">
        <v>78</v>
      </c>
      <c r="B16" s="6">
        <v>18</v>
      </c>
      <c r="E16" s="4" t="s">
        <v>39</v>
      </c>
      <c r="O16" s="10"/>
      <c r="P16" s="11">
        <v>4</v>
      </c>
      <c r="Q16" s="12">
        <f>IF(ROUNDUP((((B16-(4/12))/P18)-ROUNDDOWN(($B$16-(4/12))/$P$18,0))*12,0)=12,ROUNDDOWN(($B$16-(4/12))/$P$18,0)+1,ROUNDDOWN(($B$16-(4/12))/$P$18,0))</f>
        <v>5</v>
      </c>
      <c r="R16" s="13">
        <f>IF(ROUNDUP((((B16-(4/12))/P18)-ROUNDDOWN(($B$16-(4/12))/$P$18,0))*12,0)=12,0,ROUNDUP((((B16-(4/12))/P18)-ROUNDDOWN(($B$16-(4/12))/$P$18,0))*12,0))</f>
        <v>11</v>
      </c>
      <c r="S16" s="14"/>
      <c r="T16" s="11"/>
      <c r="U16" s="16"/>
      <c r="V16" s="17"/>
      <c r="W16" s="16"/>
      <c r="X16" s="17"/>
      <c r="Y16" s="16"/>
      <c r="Z16" s="17"/>
      <c r="AA16" s="16"/>
      <c r="AB16" s="17"/>
      <c r="AC16" s="18"/>
      <c r="AD16" s="26"/>
    </row>
    <row r="17" spans="1:30" ht="12.75" customHeight="1" x14ac:dyDescent="0.2">
      <c r="A17" s="5" t="s">
        <v>79</v>
      </c>
      <c r="B17" s="28">
        <f>B16</f>
        <v>18</v>
      </c>
      <c r="C17" s="3" t="s">
        <v>48</v>
      </c>
      <c r="E17" s="5" t="s">
        <v>40</v>
      </c>
      <c r="F17" s="29">
        <v>18</v>
      </c>
      <c r="O17" s="10" t="s">
        <v>25</v>
      </c>
      <c r="P17" s="11" t="s">
        <v>38</v>
      </c>
      <c r="Q17" s="56" t="s">
        <v>45</v>
      </c>
      <c r="R17" s="57"/>
      <c r="S17" s="14">
        <f>ROUNDUP(0.5*(Q16+R16/12+Q18+R18/12)*P16*P18*1.043,0)</f>
        <v>148</v>
      </c>
      <c r="T17" s="11" t="s">
        <v>46</v>
      </c>
      <c r="U17" s="16"/>
      <c r="V17" s="17"/>
      <c r="W17" s="16"/>
      <c r="X17" s="17"/>
      <c r="Y17" s="16"/>
      <c r="Z17" s="17"/>
      <c r="AA17" s="16"/>
      <c r="AB17" s="17"/>
      <c r="AC17" s="12">
        <f>IF((Q18+R18/12-Q16-R16/12)/(P18-1)=1,1,IF(CEILING(((Q18+(R18/12)-Q16-(R16/12))/(P18-1)-ROUNDDOWN((Q18+(R18/12)-Q16-(R16/12))/(P18-1),0))*12,0.125)=12,ROUNDDOWN(((Q18+(R18/12)-Q16-(R16/12))/(P18-1)),0)+1,ROUNDDOWN(((Q18+(R18/12)-Q16-(R16/12))/(P18-1)),0)))</f>
        <v>5</v>
      </c>
      <c r="AD17" s="23">
        <f>IF((Q18+R18/12-Q16-R16/12)/(P18-1)=1,0,IF(CEILING(((Q18+(R18/12)-Q16-(R16/12))/(P18-1)-ROUNDDOWN((Q18+(R18/12)-Q16-(R16/12))/(P18-1),0))*12,0.125)=12,0,CEILING(((Q18+(R18/12)-Q16-(R16/12))/(P18-1)-ROUNDDOWN((Q18+(R18/12)-Q16-(R16/12))/(P18-1),0))*12,0.125)))</f>
        <v>10.625</v>
      </c>
    </row>
    <row r="18" spans="1:30" ht="12.75" customHeight="1" x14ac:dyDescent="0.2">
      <c r="A18" s="5" t="s">
        <v>62</v>
      </c>
      <c r="B18" s="6">
        <f>3+8/12</f>
        <v>3.6666666666666665</v>
      </c>
      <c r="E18" s="5" t="s">
        <v>41</v>
      </c>
      <c r="F18" s="29">
        <v>18</v>
      </c>
      <c r="O18" s="10"/>
      <c r="P18" s="25">
        <f>ROUNDUP((B13-B14-(2/12))/(18/12),0)</f>
        <v>3</v>
      </c>
      <c r="Q18" s="12">
        <f>Q15</f>
        <v>17</v>
      </c>
      <c r="R18" s="13">
        <f>R15</f>
        <v>8.0000000000000142</v>
      </c>
      <c r="S18" s="14"/>
      <c r="T18" s="11"/>
      <c r="U18" s="16"/>
      <c r="V18" s="17"/>
      <c r="W18" s="16"/>
      <c r="X18" s="17"/>
      <c r="Y18" s="16"/>
      <c r="Z18" s="17"/>
      <c r="AA18" s="16"/>
      <c r="AB18" s="17"/>
      <c r="AC18" s="18"/>
      <c r="AD18" s="19"/>
    </row>
    <row r="19" spans="1:30" ht="12.75" customHeight="1" x14ac:dyDescent="0.2">
      <c r="A19" s="5" t="s">
        <v>63</v>
      </c>
      <c r="B19" s="6">
        <v>1.26</v>
      </c>
      <c r="C19" s="50" t="str">
        <f>IF(B19&lt;=1.25,"NG, see note below"," ")</f>
        <v xml:space="preserve"> </v>
      </c>
      <c r="E19" s="5" t="s">
        <v>42</v>
      </c>
      <c r="F19" s="29">
        <v>18</v>
      </c>
      <c r="O19" s="10" t="s">
        <v>26</v>
      </c>
      <c r="P19" s="11">
        <f>0.5*(P15+P16*P18)</f>
        <v>14</v>
      </c>
      <c r="Q19" s="12">
        <f>IF(ROUNDUP(((U19*12+V19+W19*12+X19+AA19*12+AB19-1.875)/12-ROUNDDOWN((U19*12+V19+W19*12+X19+AA19*12+AB19-1.875)/12,0))*12,0)=12,ROUNDDOWN((U19*12+V19+W19*12+X19+AA19*12+AB19-1.875)/12,0)+1,ROUNDDOWN((U19*12+V19+W19*12+X19+AA19*12+AB19-1.875)/12,0))</f>
        <v>4</v>
      </c>
      <c r="R19" s="13">
        <f>IF(ROUNDUP(((U19*12+V19+W19*12+X19+AA19*12+AB19-1.875)/12-ROUNDDOWN((U19*12+V19+W19*12+X19+AA19*12+AB19-1.875)/12,0))*12,0)=12,0,ROUNDUP(((U19*12+V19+W19*12+X19+AA19*12+AB19-1.875)/12-ROUNDDOWN((U19*12+V19+W19*12+X19+AA19*12+AB19-1.875)/12,0))*12,0))</f>
        <v>0</v>
      </c>
      <c r="S19" s="14">
        <f>ROUNDUP((Q19+R19/12)*P19*1.043,0)</f>
        <v>59</v>
      </c>
      <c r="T19" s="11">
        <v>2</v>
      </c>
      <c r="U19" s="12">
        <f>IF((B19-(5/12)-ROUNDDOWN(B19-(5/12),0))*12=12,ROUNDDOWN(B19-(5/12),0)+1,ROUNDDOWN(B19-(5/12),0))</f>
        <v>0</v>
      </c>
      <c r="V19" s="13">
        <f>IF((B19-(5/12)-ROUNDDOWN(B19-(5/12),0))*12=12,0,(B19-(5/12)-ROUNDDOWN(B19-(5/12),0))*12)</f>
        <v>10.119999999999999</v>
      </c>
      <c r="W19" s="12">
        <f>IF(CEILING(($B$19*TAN(RADIANS(22.5))-(3/12)-ROUNDDOWN($B$19*TAN(RADIANS(22.5))-(3/12),0))*12,0.25)=12,ROUNDDOWN($B$19*TAN(RADIANS(22.5))-(3/12),0)+1,ROUNDDOWN($B$19*TAN(RADIANS(22.5))-(3/12),0))</f>
        <v>0</v>
      </c>
      <c r="X19" s="31">
        <f>IF(CEILING(($B$19*TAN(RADIANS(22.5))-(3/12)-ROUNDDOWN($B$19*TAN(RADIANS(22.5))-(3/12),0))*12,0.25)=12,0,CEILING(($B$19*TAN(RADIANS(22.5))-(3/12)-ROUNDDOWN($B$19*TAN(RADIANS(22.5))-(3/12),0))*12,0.25))</f>
        <v>3.5</v>
      </c>
      <c r="Y19" s="12">
        <f>IF(CEILING(((AA19+(AB19/12))/(SQRT(2))-ROUNDDOWN((AA19+(AB19/12))/(SQRT(2)),0))*12,0.25)=12,ROUNDDOWN((AA19+(AB19/12))/(SQRT(2)),0)+1,ROUNDDOWN((AA19+(AB19/12))/(SQRT(2)),0))</f>
        <v>2</v>
      </c>
      <c r="Z19" s="31">
        <f>IF(CEILING(((AA19+(AB19/12))/(SQRT(2))-ROUNDDOWN((AA19+(AB19/12))/(SQRT(2)),0))*12,0.25)=12,0,CEILING(((AA19+(AB19/12))/(SQRT(2))-ROUNDDOWN((AA19+(AB19/12))/(SQRT(2)),0))*12,0.25))</f>
        <v>1.25</v>
      </c>
      <c r="AA19" s="12">
        <f>IF(CEILING(($B$19*TAN(RADIANS(22.5))+(29/12)-ROUNDDOWN($B$19*TAN(RADIANS(22.5))+(29/12),0))*12,0.25)=12,ROUNDDOWN($B$19*TAN(RADIANS(22.5))+(29/12),0)+1,ROUNDDOWN($B$19*TAN(RADIANS(22.5))+(29/12),0))</f>
        <v>2</v>
      </c>
      <c r="AB19" s="31">
        <f>IF(CEILING(($B$19*TAN(RADIANS(22.5))+(29/12)-ROUNDDOWN($B$19*TAN(RADIANS(22.5))+(29/12),0))*12,0.25)=12,0,CEILING(($B$19*TAN(RADIANS(22.5))+(29/12)-ROUNDDOWN($B$19*TAN(RADIANS(22.5))+(29/12),0))*12,0.25))</f>
        <v>11.5</v>
      </c>
      <c r="AC19" s="18"/>
      <c r="AD19" s="19"/>
    </row>
    <row r="20" spans="1:30" ht="12.75" customHeight="1" x14ac:dyDescent="0.2">
      <c r="A20" s="5" t="s">
        <v>64</v>
      </c>
      <c r="B20" s="6">
        <f>3+11/12</f>
        <v>3.9166666666666665</v>
      </c>
      <c r="E20" s="5" t="s">
        <v>43</v>
      </c>
      <c r="F20" s="29">
        <v>9</v>
      </c>
      <c r="O20" s="10" t="s">
        <v>27</v>
      </c>
      <c r="P20" s="11">
        <v>4</v>
      </c>
      <c r="Q20" s="12">
        <f>IF(ROUNDUP((($U$20*12+$V$20+SQRT(($W$20*12+$X$20)^2+($Y$20*12+$Z$20)^2)-0.375)/12-ROUNDDOWN(($U$20*12+$V$20+SQRT(($W$20*12+$X$20)^2+($Y$20*12+$Z$20)^2)-0.375)/12,0))*12,0)=12,ROUNDDOWN(($U$20*12+$V$20+SQRT(($W$20*12+$X$20)^2+($Y$20*12+$Z$20)^2)-0.375)/12,0)+1,ROUNDDOWN(($U$20*12+$V$20+SQRT(($W$20*12+$X$20)^2+($Y$20*12+$Z$20)^2)-0.375)/12,0))</f>
        <v>20</v>
      </c>
      <c r="R20" s="13">
        <f>IF(ROUNDUP((($U$20*12+$V$20+SQRT(($W$20*12+$X$20)^2+($Y$20*12+$Z$20)^2)-0.375)/12-ROUNDDOWN(($U$20*12+$V$20+SQRT(($W$20*12+$X$20)^2+($Y$20*12+$Z$20)^2)-0.375)/12,0))*12,0)=12,0,ROUNDUP((($U$20*12+$V$20+SQRT(($W$20*12+$X$20)^2+($Y$20*12+$Z$20)^2)-0.375)/12-ROUNDDOWN(($U$20*12+$V$20+SQRT(($W$20*12+$X$20)^2+($Y$20*12+$Z$20)^2)-0.375)/12,0))*12,0))</f>
        <v>7</v>
      </c>
      <c r="S20" s="14">
        <f>ROUNDUP((Q20+R20/12)*P20*1.043,0)</f>
        <v>86</v>
      </c>
      <c r="T20" s="11">
        <v>3</v>
      </c>
      <c r="U20" s="12">
        <v>2</v>
      </c>
      <c r="V20" s="13">
        <v>5</v>
      </c>
      <c r="W20" s="12">
        <f>IF((B13-B14-(2/12)-ROUNDDOWN(B13-B14-(2/12),0))*12=12,ROUNDDOWN(B13-B14-(2/12),0)+1,ROUNDDOWN(B13-B14-(2/12),0))</f>
        <v>4</v>
      </c>
      <c r="X20" s="13">
        <f>IF((B13-B14-(2/12)-ROUNDDOWN(B13-B14-(2/12),0))*12=12,0,(B13-B14-(2/12)-ROUNDDOWN(B13-B14-(2/12),0))*12)</f>
        <v>3.9999999999999964</v>
      </c>
      <c r="Y20" s="12">
        <f>Q15</f>
        <v>17</v>
      </c>
      <c r="Z20" s="13">
        <f>R15</f>
        <v>8.0000000000000142</v>
      </c>
      <c r="AA20" s="12"/>
      <c r="AB20" s="13"/>
      <c r="AC20" s="18"/>
      <c r="AD20" s="19"/>
    </row>
    <row r="21" spans="1:30" ht="12.75" customHeight="1" x14ac:dyDescent="0.2">
      <c r="A21" s="63" t="str">
        <f>IF(B19&lt;=1.25,"The rebar shown cannot be fabricated with this wall thickness. Change dimension or investigate alternative reinfocing shapes."," ")</f>
        <v xml:space="preserve"> </v>
      </c>
      <c r="B21" s="63"/>
      <c r="C21" s="63"/>
      <c r="D21" s="63"/>
      <c r="E21" s="5" t="s">
        <v>44</v>
      </c>
      <c r="F21" s="30">
        <f>F18</f>
        <v>18</v>
      </c>
      <c r="G21" s="1" t="s">
        <v>61</v>
      </c>
      <c r="O21" s="10" t="s">
        <v>28</v>
      </c>
      <c r="P21" s="11">
        <v>2</v>
      </c>
      <c r="Q21" s="12">
        <f>IF(ROUNDUP((($U$21*12+$V$21+2*($W$21*12+$X$21)+3-1.875)/12-ROUNDDOWN(($U$21*12+$V$21+2*($W$21*12+$X$21)+3-1.875)/12,0))*12,0)=12,ROUNDDOWN(($U$21*12+$V$21+2*($W$21*12+$X$21)+3-1.875)/12,0)+1,ROUNDDOWN(($U$21*12+$V$21+2*($W$21*12+$X$21)+3-1.875)/12,0))</f>
        <v>1</v>
      </c>
      <c r="R21" s="13">
        <f>IF(ROUNDUP((($U$21*12+$V$21+2*($W$21*12+$X$21)+3-1.875)/12-ROUNDDOWN(($U$21*12+$V$21+2*($W$21*12+$X$21)+3-1.875)/12,0))*12,0)=12,0,ROUNDUP((($U$21*12+$V$21+2*($W$21*12+$X$21)+3-1.875)/12-ROUNDDOWN(($U$21*12+$V$21+2*($W$21*12+$X$21)+3-1.875)/12,0))*12,0))</f>
        <v>7</v>
      </c>
      <c r="S21" s="14">
        <f>ROUNDUP((Q21+R21/12)*P21*1.043,0)</f>
        <v>4</v>
      </c>
      <c r="T21" s="11">
        <v>4</v>
      </c>
      <c r="U21" s="12">
        <f>U19</f>
        <v>0</v>
      </c>
      <c r="V21" s="13">
        <f>V19</f>
        <v>10.119999999999999</v>
      </c>
      <c r="W21" s="12">
        <f>W19</f>
        <v>0</v>
      </c>
      <c r="X21" s="31">
        <f>X19</f>
        <v>3.5</v>
      </c>
      <c r="Y21" s="12"/>
      <c r="Z21" s="31"/>
      <c r="AA21" s="12"/>
      <c r="AB21" s="31"/>
      <c r="AC21" s="18"/>
      <c r="AD21" s="19"/>
    </row>
    <row r="22" spans="1:30" ht="12.75" customHeight="1" x14ac:dyDescent="0.2">
      <c r="A22" s="63"/>
      <c r="B22" s="63"/>
      <c r="C22" s="63"/>
      <c r="D22" s="63"/>
      <c r="E22" s="51"/>
      <c r="F22" s="51"/>
      <c r="O22" s="10"/>
      <c r="P22" s="11"/>
      <c r="Q22" s="18"/>
      <c r="R22" s="22"/>
      <c r="S22" s="11"/>
      <c r="T22" s="11"/>
      <c r="U22" s="16"/>
      <c r="V22" s="17"/>
      <c r="W22" s="16"/>
      <c r="X22" s="17"/>
      <c r="Y22" s="16"/>
      <c r="Z22" s="17"/>
      <c r="AA22" s="16"/>
      <c r="AB22" s="17"/>
      <c r="AC22" s="18"/>
      <c r="AD22" s="19"/>
    </row>
    <row r="23" spans="1:30" ht="12.75" customHeight="1" x14ac:dyDescent="0.2">
      <c r="A23" s="63"/>
      <c r="B23" s="63"/>
      <c r="C23" s="63"/>
      <c r="D23" s="63"/>
      <c r="E23" s="51"/>
      <c r="F23" s="51"/>
      <c r="O23" s="58" t="s">
        <v>30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/>
    </row>
    <row r="24" spans="1:30" ht="12.75" customHeight="1" x14ac:dyDescent="0.2">
      <c r="O24" s="10" t="str">
        <f>IF(F10=5,"V501",IF(F10=6, "V601", "V701"))</f>
        <v>V501</v>
      </c>
      <c r="P24" s="11">
        <f>2*ROUNDUP(((($B$16-$B$18*TAN(RADIANS(22.5))-(2/12))/(F17/12))+1),0)+ROUNDUP((($B$5+2*(IF($C$8&gt;0,$C$8,$B$8)/12)-2*$B$18*TAN(RADIANS(22.5)))/(F17/12))+1,0)</f>
        <v>30</v>
      </c>
      <c r="Q24" s="12">
        <f>IF((F5-(4/12)-ROUNDDOWN(F5-(4/12),0))*12=12,ROUNDDOWN(F5-(4/12),0)+1,ROUNDDOWN(F5-(4/12),0))</f>
        <v>7</v>
      </c>
      <c r="R24" s="13">
        <f>ROUNDUP(IF((F5-(4/12)-ROUNDDOWN(F5-(4/12),0))*12=12,0,(F5-(4/12)-ROUNDDOWN(F5-(4/12),0))*12),0)</f>
        <v>8</v>
      </c>
      <c r="S24" s="14">
        <f>ROUNDUP(IF(F10=5,(Q24+R24/12)*P24*1.043, IF(F10=6,(Q24+R24/12)*P24*1.502, (Q24+R24/12)*P24*2.044)),0)</f>
        <v>240</v>
      </c>
      <c r="T24" s="11" t="s">
        <v>46</v>
      </c>
      <c r="U24" s="18"/>
      <c r="V24" s="22"/>
      <c r="W24" s="18"/>
      <c r="X24" s="22"/>
      <c r="Y24" s="18"/>
      <c r="Z24" s="22"/>
      <c r="AA24" s="18"/>
      <c r="AB24" s="22"/>
      <c r="AC24" s="18"/>
      <c r="AD24" s="19"/>
    </row>
    <row r="25" spans="1:30" ht="12.75" customHeight="1" x14ac:dyDescent="0.2">
      <c r="O25" s="10" t="str">
        <f>IF(F11=5,"W501", IF(F11=6, "W601", "W701"))</f>
        <v>W501</v>
      </c>
      <c r="P25" s="11">
        <f>2*ROUNDUP(((($B$16-$B$18*TAN(RADIANS(22.5))-(2/12))/(F18/12))+1),0)+ROUNDUP((($B$5+2*(IF($C$8&gt;0,$C$8,$B$8)/12)-2*B18*TAN(RADIANS(22.5)))/(F18/12))+1,0)</f>
        <v>30</v>
      </c>
      <c r="Q25" s="12">
        <f>Q24</f>
        <v>7</v>
      </c>
      <c r="R25" s="13">
        <f>R24</f>
        <v>8</v>
      </c>
      <c r="S25" s="14">
        <f>ROUNDUP(IF(F11=5,(Q25+R25/12)*P25*1.043, IF(F11=6,(Q25+R25/12)*P25*1.502, (Q25+R25/12)*P25*2.044)),0)</f>
        <v>240</v>
      </c>
      <c r="T25" s="11" t="s">
        <v>46</v>
      </c>
      <c r="U25" s="18"/>
      <c r="V25" s="22"/>
      <c r="W25" s="18"/>
      <c r="X25" s="22"/>
      <c r="Y25" s="18"/>
      <c r="Z25" s="22"/>
      <c r="AA25" s="18"/>
      <c r="AB25" s="22"/>
      <c r="AC25" s="18"/>
      <c r="AD25" s="19"/>
    </row>
    <row r="26" spans="1:30" ht="12.75" customHeight="1" x14ac:dyDescent="0.2">
      <c r="O26" s="10" t="str">
        <f>IF(F14=5,"Z501", IF(F14=6, "Z601", "Z701"))</f>
        <v>Z501</v>
      </c>
      <c r="P26" s="11">
        <f>P25+4</f>
        <v>34</v>
      </c>
      <c r="Q26" s="12">
        <f>IF(F14=5,IF(ROUNDUP((2*($U$26+$V$26/12)+$W$26+$X$26/12-(3/12)-ROUNDDOWN(2*($U$26+$V$26/12)+$W$26+$X$26/12-(3/12),0))*12,0)=12,ROUNDDOWN(2*($U$26+$V$26/12)+$W$26+$X$26/12-(3/12),0)+1,ROUNDDOWN(2*($U$26+$V$26/12)+$W$26+$X$26/12-(3/12),0)),IF(ROUNDUP((2*($U$26+$V$26/12)+$W$26+$X$26/12-(4/12)-ROUNDDOWN(2*($U$26+$V$26/12)+$W$26+$X$26/12-(4/12),0))*12,0)=12,ROUNDDOWN(2*($U$26+$V$26/12)+$W$26+$X$26/12-(4/12),0)+1,ROUNDDOWN(2*($U$26+$V$26/12)+$W$26+$X$26/12-(4/12),0)))</f>
        <v>8</v>
      </c>
      <c r="R26" s="13">
        <f>IF(F14=5,IF(ROUNDUP((2*($U$26+$V$26/12)+$W$26+$X$26/12-(3/12)-ROUNDDOWN(2*($U$26+$V$26/12)+$W$26+$X$26/12-(3/12),0))*12,0)=12,0,ROUNDUP((2*($U$26+$V$26/12)+$W$26+$X$26/12-(3/12)-ROUNDDOWN(2*($U$26+$V$26/12)+$W$26+$X$26/12-(3/12),0))*12,0)),IF(ROUNDUP((2*($U$26+$V$26/12)+$W$26+$X$26/12-(4/12)-ROUNDDOWN(2*($U$26+$V$26/12)+$W$26+$X$26/12-(4/12),0))*12,0)=12,0,ROUNDUP((2*($U$26+$V$26/12)+$W$26+$X$26/12-(4/12)-ROUNDDOWN(2*($U$26+$V$26/12)+$W$26+$X$26/12-(4/12),0))*12,0)))</f>
        <v>2</v>
      </c>
      <c r="S26" s="14">
        <f>ROUNDUP(IF(F14=5,(Q26+R26/12)*P26*1.043, IF(F14=6,(Q26+R26/12)*P26*1.502, (Q26+R26/12)*P26*2.044)),0)</f>
        <v>290</v>
      </c>
      <c r="T26" s="11">
        <v>5</v>
      </c>
      <c r="U26" s="12">
        <f>IF(($F$6+$F$7-(5/12)-ROUNDDOWN($F$6+$F$7-(5/12),0))*12=12,ROUNDDOWN($F$6+$F$7-(5/12),0)+1,ROUNDDOWN($F$6+$F$7-(5/12),0))</f>
        <v>3</v>
      </c>
      <c r="V26" s="13">
        <f>IF(($F$6+$F$7-(5/12)-ROUNDDOWN($F$6+$F$7-(5/12),0))*12=12,0,($F$6+$F$7-(5/12)-ROUNDDOWN($F$6+$F$7-(5/12),0))*12)</f>
        <v>7.0000000000000018</v>
      </c>
      <c r="W26" s="12">
        <v>1</v>
      </c>
      <c r="X26" s="13">
        <v>2</v>
      </c>
      <c r="Y26" s="18"/>
      <c r="Z26" s="22"/>
      <c r="AA26" s="18"/>
      <c r="AB26" s="22"/>
      <c r="AC26" s="18"/>
      <c r="AD26" s="19"/>
    </row>
    <row r="27" spans="1:30" ht="12.75" customHeight="1" x14ac:dyDescent="0.2">
      <c r="O27" s="10"/>
      <c r="P27" s="11"/>
      <c r="Q27" s="18"/>
      <c r="R27" s="22"/>
      <c r="S27" s="14"/>
      <c r="T27" s="11"/>
      <c r="U27" s="18"/>
      <c r="V27" s="22"/>
      <c r="W27" s="18"/>
      <c r="X27" s="22"/>
      <c r="Y27" s="18"/>
      <c r="Z27" s="22"/>
      <c r="AA27" s="18"/>
      <c r="AB27" s="22"/>
      <c r="AC27" s="18"/>
      <c r="AD27" s="19"/>
    </row>
    <row r="28" spans="1:30" ht="12.75" customHeight="1" x14ac:dyDescent="0.2">
      <c r="O28" s="10" t="s">
        <v>31</v>
      </c>
      <c r="P28" s="11">
        <v>12</v>
      </c>
      <c r="Q28" s="12">
        <f>IF(ROUNDUP((0.9*($Q$24+$R$24/12)-ROUNDDOWN(0.9*($Q$24+$R$24/12),0))*12,0)=12,ROUNDDOWN(0.9*($Q$24+$R$24/12),0)+1,ROUNDDOWN(0.9*($Q$24+$R$24/12),0))</f>
        <v>6</v>
      </c>
      <c r="R28" s="13">
        <f>IF(ROUNDUP((0.9*($Q$24+$R$24/12)-ROUNDDOWN(0.9*($Q$24+$R$24/12),0))*12,0)=12,0,ROUNDUP((0.9*($Q$24+$R$24/12)-ROUNDDOWN(0.9*($Q$24+$R$24/12),0))*12,0))</f>
        <v>11</v>
      </c>
      <c r="S28" s="14">
        <f>ROUNDUP((Q28+R28/12)*P28*1.043,0)</f>
        <v>87</v>
      </c>
      <c r="T28" s="11" t="s">
        <v>46</v>
      </c>
      <c r="U28" s="18"/>
      <c r="V28" s="22"/>
      <c r="W28" s="18"/>
      <c r="X28" s="22"/>
      <c r="Y28" s="18"/>
      <c r="Z28" s="22"/>
      <c r="AA28" s="18"/>
      <c r="AB28" s="22"/>
      <c r="AC28" s="18"/>
      <c r="AD28" s="19"/>
    </row>
    <row r="29" spans="1:30" ht="12.75" customHeight="1" x14ac:dyDescent="0.2">
      <c r="O29" s="10" t="s">
        <v>32</v>
      </c>
      <c r="P29" s="11">
        <v>16</v>
      </c>
      <c r="Q29" s="12">
        <f>IF(ROUNDUP((0.7*($Q$24+$R$24/12)-ROUNDDOWN(0.7*($Q$24+$R$24/12),0))*12,0)=12,ROUNDDOWN(0.7*($Q$24+$R$24/12),0)+1,ROUNDDOWN(0.7*($Q$24+$R$24/12),0))</f>
        <v>5</v>
      </c>
      <c r="R29" s="13">
        <f>IF(ROUNDUP((0.7*($Q$24+$R$24/12)-ROUNDDOWN(0.7*($Q$24+$R$24/12),0))*12,0)=12,0,ROUNDUP((0.7*($Q$24+$R$24/12)-ROUNDDOWN(0.7*($Q$24+$R$24/12),0))*12,0))</f>
        <v>5</v>
      </c>
      <c r="S29" s="14">
        <f>ROUNDUP((Q29+R29/12)*P29*1.043,0)</f>
        <v>91</v>
      </c>
      <c r="T29" s="11" t="s">
        <v>46</v>
      </c>
      <c r="U29" s="18"/>
      <c r="V29" s="22"/>
      <c r="W29" s="18"/>
      <c r="X29" s="22"/>
      <c r="Y29" s="18"/>
      <c r="Z29" s="22"/>
      <c r="AA29" s="18"/>
      <c r="AB29" s="22"/>
      <c r="AC29" s="18"/>
      <c r="AD29" s="19"/>
    </row>
    <row r="30" spans="1:30" ht="12.75" customHeight="1" x14ac:dyDescent="0.2">
      <c r="O30" s="10" t="s">
        <v>33</v>
      </c>
      <c r="P30" s="11">
        <f>ROUNDUP((B5+2*(IF($C$8&gt;0,$C$8,$B$8)/12)-(4/12))/(18/12)+1,0)</f>
        <v>7</v>
      </c>
      <c r="Q30" s="12">
        <f>IF(ROUNDUP(($U$30+($V$30/12)+$W$30+($X$30/12)-(1.5/12)-ROUNDDOWN($U$30+($V$30/12)+$W$30+($X$30/12)-(1.5/12),0))*12,0)=12,ROUNDDOWN($U$30+($V$30/12)+$W$30+($X$30/12)-(1.5/12),0)+1,ROUNDDOWN($U$30+($V$30/12)+$W$30+($X$30/12)-(1.5/12),0))</f>
        <v>5</v>
      </c>
      <c r="R30" s="13">
        <f>IF(ROUNDUP(($U$30+($V$30/12)+$W$30+($X$30/12)-(1.5/12)-ROUNDDOWN($U$30+($V$30/12)+$W$30+($X$30/12)-(1.5/12),0))*12,0)=12,0,ROUNDUP(($U$30+($V$30/12)+$W$30+($X$30/12)-(1.5/12)-ROUNDDOWN($U$30+($V$30/12)+$W$30+($X$30/12)-(1.5/12),0))*12,0))</f>
        <v>11</v>
      </c>
      <c r="S30" s="14">
        <f>ROUNDUP((Q30+R30/12)*P30*1.043,0)</f>
        <v>44</v>
      </c>
      <c r="T30" s="11">
        <v>1</v>
      </c>
      <c r="U30" s="12">
        <f>IF(ROUNDUP((B18-ROUNDDOWN(B18,0))*12,0)=12,ROUNDDOWN(B18,0)+1,ROUNDDOWN(B18,0))</f>
        <v>3</v>
      </c>
      <c r="V30" s="13">
        <f>IF(ROUNDUP((B18-ROUNDDOWN(B18,0))*12,0)=12,0,ROUNDUP((B18-ROUNDDOWN(B18,0))*12,0))</f>
        <v>8</v>
      </c>
      <c r="W30" s="12">
        <f>IF(ROUNDUP(((IF(C10&gt;0,C10,B10)/12)+$F$6-(4/12)-ROUNDDOWN((IF(C10&gt;0,C10,B10)/12)+$F$6-(4/12),0))*12,0)=12,ROUNDDOWN((IF(C10&gt;0,C10,B10)/12)+$F$6-(4/12),0)+1,ROUNDDOWN((IF(C10&gt;0,C10,B10)/12)+$F$6-(4/12),0))</f>
        <v>2</v>
      </c>
      <c r="X30" s="13">
        <f>IF(ROUNDUP(((IF(C10&gt;0,C10,B10)/12)+$F$6-(4/12)-ROUNDDOWN((IF(C10&gt;0,C10,B10)/12)+$F$6-(4/12),0))*12,0)=12,0,ROUNDUP(((IF(C10&gt;0,C10,B10)/12)+$F$6-(4/12)-ROUNDDOWN((IF(C10&gt;0,C10,B10)/12)+$F$6-(4/12),0))*12,0))</f>
        <v>4</v>
      </c>
      <c r="Y30" s="18"/>
      <c r="Z30" s="22"/>
      <c r="AA30" s="18"/>
      <c r="AB30" s="22"/>
      <c r="AC30" s="18"/>
      <c r="AD30" s="19"/>
    </row>
    <row r="31" spans="1:30" ht="12.75" customHeight="1" x14ac:dyDescent="0.2">
      <c r="O31" s="10" t="s">
        <v>34</v>
      </c>
      <c r="P31" s="11">
        <v>2</v>
      </c>
      <c r="Q31" s="12">
        <f>IF(ROUNDUP(($B$5+2*(IF(C8&gt;0,C8,B8)/12)-(4/12)-ROUNDDOWN($B$5+2*(IF(C8&gt;0,C8,B8)/12)-(4/12),0))*12,0)=12,ROUNDDOWN($B$5+2*(IF(C8&gt;0,C8,B8)/12)-(4/12),0)+1,ROUNDDOWN($B$5+2*(IF(C8&gt;0,C8,B8)/12)-(4/12),0))</f>
        <v>9</v>
      </c>
      <c r="R31" s="13">
        <f>IF(ROUNDUP(($B$5+2*(IF(C8&gt;0,C8,B8)/12)-(4/12)-ROUNDDOWN($B$5+2*(IF(C8&gt;0,C8,B8)/12)-(4/12),0))*12,0)=12,0,ROUNDUP(($B$5+2*(IF(C8&gt;0,C8,B8)/12)-(4/12)-ROUNDDOWN($B$5+2*(IF(C8&gt;0,C8,B8)/12)-(4/12),0))*12,0))</f>
        <v>0</v>
      </c>
      <c r="S31" s="14">
        <f>ROUNDUP((Q31+R31/12)*P31*1.043,0)</f>
        <v>19</v>
      </c>
      <c r="T31" s="11" t="s">
        <v>46</v>
      </c>
      <c r="U31" s="18"/>
      <c r="V31" s="22"/>
      <c r="W31" s="18"/>
      <c r="X31" s="22"/>
      <c r="Y31" s="18"/>
      <c r="Z31" s="22"/>
      <c r="AA31" s="18"/>
      <c r="AB31" s="22"/>
      <c r="AC31" s="18"/>
      <c r="AD31" s="19"/>
    </row>
    <row r="32" spans="1:30" ht="12.75" customHeight="1" x14ac:dyDescent="0.2">
      <c r="O32" s="10"/>
      <c r="P32" s="11">
        <v>2</v>
      </c>
      <c r="Q32" s="12">
        <f>IF(ROUNDUP(((2*SQRT((($U$33+$V$33/12)^2)+(($W$33+$X$33/12)^2))+Y32+(Z32/12)-(0.75/12))-ROUNDDOWN((2*SQRT((($U$33+$V$33/12)^2)+(($W$33+$X$33/12)^2))+Y32+(Z32/12)-(0.75/12)),0))*12,0)=12,ROUNDDOWN(2*SQRT((($U$33+$V$33/12)^2)+(($W$33+$X$33/12)^2))+Y32+(Z32/12)-(0.75/12),0)+1,ROUNDDOWN(2*SQRT((($U$33+$V$33/12)^2)+(($W$33+$X$33/12)^2))+Y32+(Z32/12)-(0.75/12),0))</f>
        <v>12</v>
      </c>
      <c r="R32" s="13">
        <f>IF(ROUNDUP(((2*SQRT((($U$33+$V$33/12)^2)+(($W$33+$X$33/12)^2))+Y32+(Z32/12)-(0.75/12))-ROUNDDOWN((2*SQRT((($U$33+$V$33/12)^2)+(($W$33+$X$33/12)^2))+Y32+(Z32/12)-(0.75/12)),0))*12,0)=12,0,ROUNDUP(((2*SQRT((($U$33+$V$33/12)^2)+(($W$33+$X$33/12)^2))+Y32+(Z32/12)-(0.75/12))-ROUNDDOWN((2*SQRT((($U$33+$V$33/12)^2)+(($W$33+$X$33/12)^2))+Y32+(Z32/12)-(0.75/12)),0))*12,0))</f>
        <v>6</v>
      </c>
      <c r="S32" s="14"/>
      <c r="T32" s="11"/>
      <c r="U32" s="18"/>
      <c r="V32" s="22"/>
      <c r="W32" s="18"/>
      <c r="X32" s="22"/>
      <c r="Y32" s="12">
        <f>IF(CEILING(($B$5+2*(IF(C8&gt;0,C8,B8)/12)-2*($B$18-(2/12))*TAN(RADIANS(22.5))+2/12-ROUNDDOWN($B$5+2*(IF(C8&gt;0,C8,B8)/12)-2*($B$18-(2/12))*TAN(RADIANS(22.5))+2/12,0))*12,0.25)=12,ROUNDDOWN($B$5+2*(IF(C8&gt;0,C8,B8)/12)-2*($B$18-(2/12))*TAN(RADIANS(22.5))+2/12,0)+1,ROUNDDOWN($B$5+2*(IF(C8&gt;0,C8,B8)/12)-2*($B$18-(2/12))*TAN(RADIANS(22.5))+2/12,0))</f>
        <v>6</v>
      </c>
      <c r="Z32" s="31">
        <f>IF(CEILING(($B$5+2*(IF(C8&gt;0,C8,B8)/12)-2*($B$18-(2/12))*TAN(RADIANS(22.5))+2/12-ROUNDDOWN($B$5+2*(IF(C8&gt;0,C8,B8)/12)-2*($B$18-(2/12))*TAN(RADIANS(22.5))+2/12,0))*12,0.25)=12,0,CEILING(($B$5+2*(IF(C8&gt;0,C8,B8)/12)-2*($B$18-(2/12))*TAN(RADIANS(22.5))+2/12-ROUNDDOWN($B$5+2*(IF(C8&gt;0,C8,B8)/12)-2*($B$18-(2/12))*TAN(RADIANS(22.5))+2/12,0))*12,0.25))</f>
        <v>7.25</v>
      </c>
      <c r="AA32" s="18"/>
      <c r="AB32" s="22"/>
      <c r="AC32" s="18"/>
      <c r="AD32" s="19"/>
    </row>
    <row r="33" spans="15:30" ht="12.75" customHeight="1" x14ac:dyDescent="0.2">
      <c r="O33" s="10" t="s">
        <v>81</v>
      </c>
      <c r="P33" s="11" t="s">
        <v>38</v>
      </c>
      <c r="Q33" s="56" t="s">
        <v>45</v>
      </c>
      <c r="R33" s="57"/>
      <c r="S33" s="14">
        <f>ROUNDUP(0.5*(Q32+R32/12+Q34+R34/12)*P32*P34*1.502,0)</f>
        <v>330</v>
      </c>
      <c r="T33" s="11">
        <v>6</v>
      </c>
      <c r="U33" s="12">
        <v>2</v>
      </c>
      <c r="V33" s="13">
        <v>1</v>
      </c>
      <c r="W33" s="12">
        <v>2</v>
      </c>
      <c r="X33" s="13">
        <v>1</v>
      </c>
      <c r="Y33" s="56" t="s">
        <v>45</v>
      </c>
      <c r="Z33" s="57"/>
      <c r="AA33" s="18"/>
      <c r="AB33" s="22"/>
      <c r="AC33" s="12">
        <f>IF((Y34+Z34/12-Y32-Z32/12)/(P34-1)=1,1,IF(CEILING(((Y34+(Z34/12)-Y32-(Z32/12))/(P34-1)-ROUNDDOWN((Y34+(Z34/12)-Y32-(Z32/12))/(P34-1),0))*12,0.125)=12,ROUNDDOWN((Y34+(Z34/12)-Y32-(Z32/12))/(P34-1),0)+1,ROUNDDOWN((Y34+(Z34/12)-Y32-(Z32/12))/(P34-1),0)))</f>
        <v>1</v>
      </c>
      <c r="AD33" s="23">
        <f>IF((Y34+Z34/12-Y32-Z32/12)/(P34-1)=1,0,IF(CEILING(((Y34+(Z34/12)-Y32-(Z32/12))/(P34-1)-ROUNDDOWN((Y34+(Z34/12)-Y32-(Z32/12))/(P34-1),0))*12,0.125)=12,0,CEILING(((Y34+(Z34/12)-Y32-(Z32/12))/(P34-1)-ROUNDDOWN((Y34+(Z34/12)-Y32-(Z32/12))/(P34-1),0))*12,0.125)))</f>
        <v>0.75</v>
      </c>
    </row>
    <row r="34" spans="15:30" ht="12.75" customHeight="1" x14ac:dyDescent="0.2">
      <c r="O34" s="10"/>
      <c r="P34" s="25">
        <f>ROUNDUP((F5-4/12)/(18/12)+1,0)</f>
        <v>7</v>
      </c>
      <c r="Q34" s="12">
        <f>IF(ROUNDUP(((2*SQRT((($U$33+$V$33/12)^2)+(($W$33+$X$33/12)^2))+Y34+(Z34/12)-(0.75/12))-ROUNDDOWN((2*SQRT((($U$33+$V$33/12)^2)+(($W$33+$X$33/12)^2))+Y34+(Z34/12)-(0.75/12)),0))*12,0)=12,ROUNDDOWN(2*SQRT((($U$33+$V$33/12)^2)+(($W$33+$X$33/12)^2))+Y34+(Z34/12)-(0.75/12),0)+1,ROUNDDOWN(2*SQRT((($U$33+$V$33/12)^2)+(($W$33+$X$33/12)^2))+Y34+(Z34/12)-(0.75/12),0))</f>
        <v>18</v>
      </c>
      <c r="R34" s="13">
        <f>IF(ROUNDUP(((2*SQRT((($U$33+$V$33/12)^2)+(($W$33+$X$33/12)^2))+Y34+(Z34/12)-(0.75/12))-ROUNDDOWN((2*SQRT((($U$33+$V$33/12)^2)+(($W$33+$X$33/12)^2))+Y34+(Z34/12)-(0.75/12)),0))*12,0)=12,0,ROUNDUP(((2*SQRT((($U$33+$V$33/12)^2)+(($W$33+$X$33/12)^2))+Y34+(Z34/12)-(0.75/12))-ROUNDDOWN((2*SQRT((($U$33+$V$33/12)^2)+(($W$33+$X$33/12)^2))+Y34+(Z34/12)-(0.75/12)),0))*12,0))</f>
        <v>10</v>
      </c>
      <c r="S34" s="14"/>
      <c r="T34" s="11"/>
      <c r="U34" s="18"/>
      <c r="V34" s="22"/>
      <c r="W34" s="18"/>
      <c r="X34" s="22"/>
      <c r="Y34" s="12">
        <f>IF(CEILING(($B$5+2*(IF(C8&gt;0,C8,B8)/12)+2*TAN(RADIANS(22.5))*($F$5-$B$18-2/12)+2/12-ROUNDDOWN($B$5+2*(IF(C8&gt;0,C8,B8)/12)+2*TAN(RADIANS(22.5))*($F$5-$B$18-2/12)+2/12,0))*12,0.25)=12,ROUNDDOWN($B$5+2*(IF(C8&gt;0,C8,B8)/12)+2*TAN(RADIANS(22.5))*($F$5-$B$18-2/12)+2/12,0)+1,ROUNDDOWN($B$5+2*(IF(C8&gt;0,C8,B8)/12)+2*TAN(RADIANS(22.5))*($F$5-$B$18-2/12)+2/12,0))</f>
        <v>12</v>
      </c>
      <c r="Z34" s="31">
        <f>IF(CEILING(($B$5+2*(IF(C8&gt;0,C8,B8)/12)+2*TAN(RADIANS(22.5))*($F$5-$B$18-2/12)+2/12-ROUNDDOWN($B$5+2*(IF(C8&gt;0,C8,B8)/12)+2*TAN(RADIANS(22.5))*($F$5-$B$18-2/12)+2/12,0))*12,0.25)=12,0,CEILING(($B$5+2*(IF(C8&gt;0,C8,B8)/12)+2*TAN(RADIANS(22.5))*($F$5-$B$18-2/12)+2/12-ROUNDDOWN($B$5+2*(IF(C8&gt;0,C8,B8)/12)+2*TAN(RADIANS(22.5))*($F$5-$B$18-2/12)+2/12,0))*12,0.25))</f>
        <v>11.5</v>
      </c>
      <c r="AA34" s="18"/>
      <c r="AB34" s="22"/>
      <c r="AC34" s="18"/>
      <c r="AD34" s="19"/>
    </row>
    <row r="35" spans="15:30" ht="12.75" customHeight="1" x14ac:dyDescent="0.2">
      <c r="O35" s="10"/>
      <c r="P35" s="11">
        <v>4</v>
      </c>
      <c r="Q35" s="12">
        <f>IF(ROUNDUP(($B$16-$B$18*TAN(RADIANS(22.5))-(2/12)-ROUNDDOWN($B$16-$B$18*TAN(RADIANS(22.5))-(2/12),0))*12,0)=12,ROUNDDOWN($B$16-$B$18*TAN(RADIANS(22.5))-(2/12),0)+1,ROUNDDOWN($B$16-$B$18*TAN(RADIANS(22.5))-(2/12),0))</f>
        <v>16</v>
      </c>
      <c r="R35" s="13">
        <f>IF(ROUNDUP(($B$16-$B$18*TAN(RADIANS(22.5))-(2/12)-ROUNDDOWN($B$16-$B$18*TAN(RADIANS(22.5))-(2/12),0))*12,0)=12,0,ROUNDUP(($B$16-$B$18*TAN(RADIANS(22.5))-(2/12)-ROUNDDOWN($B$16-$B$18*TAN(RADIANS(22.5))-(2/12),0))*12,0))</f>
        <v>4</v>
      </c>
      <c r="S35" s="14"/>
      <c r="T35" s="11"/>
      <c r="U35" s="18"/>
      <c r="V35" s="22"/>
      <c r="W35" s="18"/>
      <c r="X35" s="22"/>
      <c r="Y35" s="18"/>
      <c r="Z35" s="22"/>
      <c r="AA35" s="18"/>
      <c r="AB35" s="22"/>
      <c r="AC35" s="18"/>
      <c r="AD35" s="19"/>
    </row>
    <row r="36" spans="15:30" ht="12.75" customHeight="1" x14ac:dyDescent="0.2">
      <c r="O36" s="10" t="s">
        <v>82</v>
      </c>
      <c r="P36" s="11" t="s">
        <v>38</v>
      </c>
      <c r="Q36" s="56" t="s">
        <v>45</v>
      </c>
      <c r="R36" s="57"/>
      <c r="S36" s="14">
        <f>ROUNDUP(0.5*(Q35+R35/12+Q37+R37/12)*P35*P37*1.502,0)</f>
        <v>754</v>
      </c>
      <c r="T36" s="11" t="s">
        <v>46</v>
      </c>
      <c r="U36" s="18"/>
      <c r="V36" s="22"/>
      <c r="W36" s="18"/>
      <c r="X36" s="22"/>
      <c r="Y36" s="18"/>
      <c r="Z36" s="22"/>
      <c r="AA36" s="18"/>
      <c r="AB36" s="22"/>
      <c r="AC36" s="12">
        <f>IF((Q37+R37/12-Q35-R35/12)/(P37-1)=1,1,IF(CEILING(((Q37+(R37/12)-Q35-(R35/12))/(P37-1)-ROUNDDOWN((Q37+(R37/12)-Q35-(R35/12))/(P37-1),0))*12,0.125)=12,ROUNDDOWN(((Q37+(R37/12)-Q35-(R35/12))/(P37-1)),0)+1,ROUNDDOWN(((Q37+(R37/12)-Q35-(R35/12))/(P37-1)),0)))</f>
        <v>0</v>
      </c>
      <c r="AD36" s="23">
        <f>IF((Q37+R37/12-Q35-R35/12)/(P37-1)=1,0,IF(CEILING(((Q37+(R37/12)-Q35-(R35/12))/(P37-1)-ROUNDDOWN((Q37+(R37/12)-Q35-(R35/12))/(P37-1),0))*12,0.125)=12,0,CEILING(((Q37+(R37/12)-Q35-(R35/12))/(P37-1)-ROUNDDOWN((Q37+(R37/12)-Q35-(R35/12))/(P37-1),0))*12,0.125)))</f>
        <v>6.375</v>
      </c>
    </row>
    <row r="37" spans="15:30" ht="12.75" customHeight="1" x14ac:dyDescent="0.2">
      <c r="O37" s="10"/>
      <c r="P37" s="25">
        <f>P34</f>
        <v>7</v>
      </c>
      <c r="Q37" s="12">
        <f>IF(ROUNDUP(($B$16-$B$18*TAN(RADIANS(22.5))+$F$5*TAN(RADIANS(22.5))-(4/12)-ROUNDDOWN($B$16-$B$18*TAN(RADIANS(22.5))+$F$5*TAN(RADIANS(22.5))-(4/12),0))*12,0)=12,ROUNDDOWN($B$16-$B$18*TAN(RADIANS(22.5))+$F$5*TAN(RADIANS(22.5))-(4/12),0)+1,ROUNDDOWN($B$16-$B$18*TAN(RADIANS(22.5))+$F$5*TAN(RADIANS(22.5))-(4/12),0))</f>
        <v>19</v>
      </c>
      <c r="R37" s="13">
        <f>IF(ROUNDUP(($B$16-$B$18*TAN(RADIANS(22.5))+$F$5*TAN(RADIANS(22.5))-(4/12)-ROUNDDOWN($B$16-$B$18*TAN(RADIANS(22.5))+$F$5*TAN(RADIANS(22.5))-(4/12),0))*12,0)=12,0,ROUNDUP(($B$16-$B$18*TAN(RADIANS(22.5))+$F$5*TAN(RADIANS(22.5))-(4/12)-ROUNDDOWN($B$16-$B$18*TAN(RADIANS(22.5))+$F$5*TAN(RADIANS(22.5))-(4/12),0))*12,0))</f>
        <v>6</v>
      </c>
      <c r="S37" s="14"/>
      <c r="T37" s="11"/>
      <c r="U37" s="18"/>
      <c r="V37" s="22"/>
      <c r="W37" s="18"/>
      <c r="X37" s="22"/>
      <c r="Y37" s="18"/>
      <c r="Z37" s="22"/>
      <c r="AA37" s="18"/>
      <c r="AB37" s="22"/>
      <c r="AC37" s="18"/>
      <c r="AD37" s="19"/>
    </row>
    <row r="38" spans="15:30" ht="12.75" customHeight="1" x14ac:dyDescent="0.2">
      <c r="O38" s="10"/>
      <c r="P38" s="11">
        <v>1</v>
      </c>
      <c r="Q38" s="12">
        <f>IF(ROUNDUP(((2*SQRT((($U$39+$V$39/12)^2)+(($W$39+$X$39/12)^2))+Y38+(Z38/12)-(0.75/12))-ROUNDDOWN((2*SQRT((($U$39+$V$39/12)^2)+(($W$39+$X$39/12)^2))+Y38+(Z38/12)-(0.75/12)),0))*12,0)=12,ROUNDDOWN(2*SQRT((($U$39+$V$39/12)^2)+(($W$39+$X$39/12)^2))+Y38+(Z38/12)-(0.75/12),0)+1,ROUNDDOWN(2*SQRT((($U$39+$V$39/12)^2)+(($W$39+$X$39/12)^2))+Y38+(Z38/12)-(0.75/12),0))</f>
        <v>12</v>
      </c>
      <c r="R38" s="13">
        <f>IF(ROUNDUP(((2*SQRT((($U$39+$V$39/12)^2)+(($W$39+$X$39/12)^2))+Y38+(Z38/12)-(0.75/12))-ROUNDDOWN((2*SQRT((($U$39+$V$39/12)^2)+(($W$39+$X$39/12)^2))+Y38+(Z38/12)-(0.75/12)),0))*12,0)=12,0,ROUNDUP(((2*SQRT((($U$39+$V$39/12)^2)+(($W$39+$X$39/12)^2))+Y38+(Z38/12)-(0.75/12))-ROUNDDOWN((2*SQRT((($U$39+$V$39/12)^2)+(($W$39+$X$39/12)^2))+Y38+(Z38/12)-(0.75/12)),0))*12,0))</f>
        <v>6</v>
      </c>
      <c r="S38" s="14"/>
      <c r="T38" s="11"/>
      <c r="U38" s="18"/>
      <c r="V38" s="22"/>
      <c r="W38" s="18"/>
      <c r="X38" s="22"/>
      <c r="Y38" s="12">
        <f>Y32</f>
        <v>6</v>
      </c>
      <c r="Z38" s="31">
        <f>Z32</f>
        <v>7.25</v>
      </c>
      <c r="AA38" s="18"/>
      <c r="AB38" s="22"/>
      <c r="AC38" s="18"/>
      <c r="AD38" s="19"/>
    </row>
    <row r="39" spans="15:30" ht="12.75" customHeight="1" x14ac:dyDescent="0.2">
      <c r="O39" s="10" t="s">
        <v>83</v>
      </c>
      <c r="P39" s="11" t="s">
        <v>38</v>
      </c>
      <c r="Q39" s="56" t="s">
        <v>45</v>
      </c>
      <c r="R39" s="57"/>
      <c r="S39" s="14">
        <f>ROUNDUP(0.5*(Q38+R38/12+Q40+R40/12)*P38*P40*1.502,0)</f>
        <v>39</v>
      </c>
      <c r="T39" s="11">
        <v>6</v>
      </c>
      <c r="U39" s="12">
        <v>2</v>
      </c>
      <c r="V39" s="13">
        <v>1</v>
      </c>
      <c r="W39" s="12">
        <v>2</v>
      </c>
      <c r="X39" s="13">
        <v>1</v>
      </c>
      <c r="Y39" s="56" t="s">
        <v>45</v>
      </c>
      <c r="Z39" s="57"/>
      <c r="AA39" s="18"/>
      <c r="AB39" s="22"/>
      <c r="AC39" s="12">
        <f>IF((Y40+Z40/12-Y38-Z38/12)/(P40-1)=1,1,IF(CEILING(((Y40+(Z40/12)-Y38-(Z38/12))/(P40-1)-ROUNDDOWN((Y40+(Z40/12)-Y38-(Z38/12))/(P40-1),0))*12,0.125)=12,ROUNDDOWN((Y40+(Z40/12)-Y38-(Z38/12))/(P40-1),0)+1,ROUNDDOWN((Y40+(Z40/12)-Y38-(Z38/12))/(P40-1),0)))</f>
        <v>0</v>
      </c>
      <c r="AD39" s="23">
        <f>IF((Y40+Z40/12-Y38-Z38/12)/(P40-1)=1,0,IF(CEILING(((Y40+(Z40/12)-Y38-(Z38/12))/(P40-1)-ROUNDDOWN((Y40+(Z40/12)-Y38-(Z38/12))/(P40-1),0))*12,0.125)=12,0,CEILING(((Y40+(Z40/12)-Y38-(Z38/12))/(P40-1)-ROUNDDOWN((Y40+(Z40/12)-Y38-(Z38/12))/(P40-1),0))*12,0.125)))</f>
        <v>11.75</v>
      </c>
    </row>
    <row r="40" spans="15:30" ht="12.75" customHeight="1" x14ac:dyDescent="0.2">
      <c r="O40" s="10"/>
      <c r="P40" s="11">
        <v>2</v>
      </c>
      <c r="Q40" s="12">
        <f>IF(ROUNDUP(((2*SQRT((($U$39+$V$39/12)^2)+(($W$39+$X$39/12)^2))+Y40+(Z40/12)-(0.75/12))-ROUNDDOWN((2*SQRT((($U$39+$V$39/12)^2)+(($W$39+$X$39/12)^2))+Y40+(Z40/12)-(0.75/12)),0))*12,0)=12,ROUNDDOWN(2*SQRT((($U$39+$V$39/12)^2)+(($W$39+$X$39/12)^2))+Y40+(Z40/12)-(0.75/12),0)+1,ROUNDDOWN(2*SQRT((($U$39+$V$39/12)^2)+(($W$39+$X$39/12)^2))+Y40+(Z40/12)-(0.75/12),0))</f>
        <v>13</v>
      </c>
      <c r="R40" s="13">
        <f>IF(ROUNDUP(((2*SQRT((($U$39+$V$39/12)^2)+(($W$39+$X$39/12)^2))+Y40+(Z40/12)-(0.75/12))-ROUNDDOWN((2*SQRT((($U$39+$V$39/12)^2)+(($W$39+$X$39/12)^2))+Y40+(Z40/12)-(0.75/12)),0))*12,0)=12,0,ROUNDUP(((2*SQRT((($U$39+$V$39/12)^2)+(($W$39+$X$39/12)^2))+Y40+(Z40/12)-(0.75/12))-ROUNDDOWN((2*SQRT((($U$39+$V$39/12)^2)+(($W$39+$X$39/12)^2))+Y40+(Z40/12)-(0.75/12)),0))*12,0))</f>
        <v>5</v>
      </c>
      <c r="S40" s="14"/>
      <c r="T40" s="11"/>
      <c r="U40" s="18"/>
      <c r="V40" s="22"/>
      <c r="W40" s="18"/>
      <c r="X40" s="22"/>
      <c r="Y40" s="12">
        <f>IF(CEILING(($B$5+2*(IF(C8&gt;0,C8,B8)/12)-2*$B$18*TAN(RADIANS(22.5))+(2+8/12)*TAN(RADIANS(22.5))+2/12-ROUNDDOWN($B$5+2*(IF(C8&gt;0,C8,B8)/12)-2*$B$18*TAN(RADIANS(22.5))+(2+8/12)*TAN(RADIANS(22.5))+2/12,0))*12,0.25)=12,ROUNDDOWN($B$5+2*(IF(C8&gt;0,C8,B8)/12)-2*$B$18*TAN(RADIANS(22.5))+(2+8/12)*TAN(RADIANS(22.5))+2/12,0)+1,ROUNDDOWN($B$5+2*(IF(C8&gt;0,C8,B8)/12)-2*$B$18*TAN(RADIANS(22.5))+(2+8/12)*TAN(RADIANS(22.5))+2/12,0))</f>
        <v>7</v>
      </c>
      <c r="Z40" s="31">
        <f>IF(CEILING(($B$5+2*(IF(C8&gt;0,C8,B8)/12)-2*$B$18*TAN(RADIANS(22.5))+(2+8/12)*TAN(RADIANS(22.5))+2/12-ROUNDDOWN($B$5+2*(IF(C8&gt;0,C8,B8)/12)-2*$B$18*TAN(RADIANS(22.5))+(2+8/12)*TAN(RADIANS(22.5))+2/12,0))*12,0.25)=12,0,CEILING(($B$5+2*(IF(C8&gt;0,C8,B8)/12)-2*$B$18*TAN(RADIANS(22.5))+(2+8/12)*TAN(RADIANS(22.5))+2/12-ROUNDDOWN($B$5+2*(IF(C8&gt;0,C8,B8)/12)-2*$B$18*TAN(RADIANS(22.5))+(2+8/12)*TAN(RADIANS(22.5))+2/12,0))*12,0.25))</f>
        <v>7</v>
      </c>
      <c r="AA40" s="18"/>
      <c r="AB40" s="22"/>
      <c r="AC40" s="18"/>
      <c r="AD40" s="19"/>
    </row>
    <row r="41" spans="15:30" ht="12.75" customHeight="1" x14ac:dyDescent="0.2">
      <c r="O41" s="10"/>
      <c r="P41" s="11">
        <v>2</v>
      </c>
      <c r="Q41" s="12">
        <f>Q35</f>
        <v>16</v>
      </c>
      <c r="R41" s="13">
        <f>R35</f>
        <v>4</v>
      </c>
      <c r="S41" s="14"/>
      <c r="T41" s="11"/>
      <c r="U41" s="18"/>
      <c r="V41" s="22"/>
      <c r="W41" s="18"/>
      <c r="X41" s="22"/>
      <c r="Y41" s="18"/>
      <c r="Z41" s="22"/>
      <c r="AA41" s="18"/>
      <c r="AB41" s="22"/>
      <c r="AC41" s="18"/>
      <c r="AD41" s="19"/>
    </row>
    <row r="42" spans="15:30" ht="12.75" customHeight="1" x14ac:dyDescent="0.2">
      <c r="O42" s="10" t="s">
        <v>84</v>
      </c>
      <c r="P42" s="11" t="s">
        <v>38</v>
      </c>
      <c r="Q42" s="56" t="s">
        <v>45</v>
      </c>
      <c r="R42" s="57"/>
      <c r="S42" s="14">
        <f>ROUNDUP(0.5*(Q41+R41/12+Q43+R43/12)*P41*P43*1.502,0)</f>
        <v>100</v>
      </c>
      <c r="T42" s="11" t="s">
        <v>46</v>
      </c>
      <c r="U42" s="18"/>
      <c r="V42" s="22"/>
      <c r="W42" s="18"/>
      <c r="X42" s="22"/>
      <c r="Y42" s="18"/>
      <c r="Z42" s="22"/>
      <c r="AA42" s="18"/>
      <c r="AB42" s="22"/>
      <c r="AC42" s="12">
        <f>IF((Q43+R43/12-Q41-R41/12)/(P43-1)=1,1,IF(CEILING(((Q43+(R43/12)-Q41-(R41/12))/(P43-1)-ROUNDDOWN((Q43+(R43/12)-Q41-(R41/12))/(P43-1),0))*12,0.125)=12,ROUNDDOWN(((Q43+(R43/12)-Q41-(R41/12))/(P43-1)),0)+1,ROUNDDOWN(((Q43+(R43/12)-Q41-(R41/12))/(P43-1)),0)))</f>
        <v>0</v>
      </c>
      <c r="AD42" s="23">
        <f>IF((Q43+R43/12-Q41-R41/12)/(P43-1)=1,0,IF(CEILING(((Q43+(R43/12)-Q41-(R41/12))/(P43-1)-ROUNDDOWN((Q43+(R43/12)-Q41-(R41/12))/(P43-1),0))*12,0.125)=12,0,CEILING(((Q43+(R43/12)-Q41-(R41/12))/(P43-1)-ROUNDDOWN((Q43+(R43/12)-Q41-(R41/12))/(P43-1),0))*12,0.125)))</f>
        <v>6</v>
      </c>
    </row>
    <row r="43" spans="15:30" ht="12.75" customHeight="1" x14ac:dyDescent="0.2">
      <c r="O43" s="10"/>
      <c r="P43" s="11">
        <v>2</v>
      </c>
      <c r="Q43" s="12">
        <f>IF(ROUNDUP(($B$16-$B$18*TAN(RADIANS(22.5))+1.5*TAN(RADIANS(22.5))-(4/12)-ROUNDDOWN($B$16-$B$18*TAN(RADIANS(22.5))+1.5*TAN(RADIANS(22.5))-(4/12),0))*12,0)=12,ROUNDDOWN($B$16-$B$18*TAN(RADIANS(22.5))+1.5*TAN(RADIANS(22.5))-(4/12),0)+1,ROUNDDOWN($B$16-$B$18*TAN(RADIANS(22.5))+1.5*TAN(RADIANS(22.5))-(4/12),0))</f>
        <v>16</v>
      </c>
      <c r="R43" s="13">
        <f>IF(ROUNDUP(($B$16-$B$18*TAN(RADIANS(22.5))+1.5*TAN(RADIANS(22.5))-(4/12)-ROUNDDOWN($B$16-$B$18*TAN(RADIANS(22.5))+1.5*TAN(RADIANS(22.5))-(4/12),0))*12,0)=12,0,ROUNDUP(($B$16-$B$18*TAN(RADIANS(22.5))+1.5*TAN(RADIANS(22.5))-(4/12)-ROUNDDOWN($B$16-$B$18*TAN(RADIANS(22.5))+1.5*TAN(RADIANS(22.5))-(4/12),0))*12,0))</f>
        <v>10</v>
      </c>
      <c r="S43" s="14"/>
      <c r="T43" s="11"/>
      <c r="U43" s="18"/>
      <c r="V43" s="22"/>
      <c r="W43" s="18"/>
      <c r="X43" s="22"/>
      <c r="Y43" s="18"/>
      <c r="Z43" s="22"/>
      <c r="AA43" s="18"/>
      <c r="AB43" s="22"/>
      <c r="AC43" s="18"/>
      <c r="AD43" s="19"/>
    </row>
    <row r="44" spans="15:30" ht="12.75" customHeight="1" x14ac:dyDescent="0.2">
      <c r="O44" s="10"/>
      <c r="P44" s="11"/>
      <c r="Q44" s="18"/>
      <c r="R44" s="22"/>
      <c r="S44" s="14"/>
      <c r="T44" s="11"/>
      <c r="U44" s="18"/>
      <c r="V44" s="22"/>
      <c r="W44" s="18"/>
      <c r="X44" s="22"/>
      <c r="Y44" s="18"/>
      <c r="Z44" s="22"/>
      <c r="AA44" s="18"/>
      <c r="AB44" s="22"/>
      <c r="AC44" s="18"/>
      <c r="AD44" s="19"/>
    </row>
    <row r="45" spans="15:30" ht="12.75" customHeight="1" x14ac:dyDescent="0.2">
      <c r="O45" s="58" t="s">
        <v>50</v>
      </c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60"/>
    </row>
    <row r="46" spans="15:30" ht="12.75" customHeight="1" x14ac:dyDescent="0.2">
      <c r="O46" s="10" t="s">
        <v>35</v>
      </c>
      <c r="P46" s="11">
        <f>ROUNDUP(((B13-B6-(IF(C9&gt;0,C9,B9)/12)-(IF(C10&gt;0,C10,B10)/12)-(4/12))/(18/12))+1,0)*2</f>
        <v>6</v>
      </c>
      <c r="Q46" s="12">
        <f>Q31</f>
        <v>9</v>
      </c>
      <c r="R46" s="13">
        <f>R31</f>
        <v>0</v>
      </c>
      <c r="S46" s="14">
        <f>ROUNDUP((Q46+R46/12)*P46*1.043,0)</f>
        <v>57</v>
      </c>
      <c r="T46" s="11" t="s">
        <v>46</v>
      </c>
      <c r="U46" s="18"/>
      <c r="V46" s="22"/>
      <c r="W46" s="18"/>
      <c r="X46" s="22"/>
      <c r="Y46" s="18"/>
      <c r="Z46" s="22"/>
      <c r="AA46" s="18"/>
      <c r="AB46" s="22"/>
      <c r="AC46" s="18"/>
      <c r="AD46" s="19"/>
    </row>
    <row r="47" spans="15:30" ht="12.75" customHeight="1" x14ac:dyDescent="0.2">
      <c r="O47" s="10" t="s">
        <v>36</v>
      </c>
      <c r="P47" s="11">
        <f>ROUNDUP((B5+2*(IF($C$8&gt;0,$C$8,$B$8)/12)-(4/12))+1,0)</f>
        <v>10</v>
      </c>
      <c r="Q47" s="12">
        <f>IF(ROUNDUP((2*(U47+(V47/12))+W47+(X47/12)-(3/12)-ROUNDDOWN(2*(U47+(V47/12))+W47+(X47/12)-(3/12),0))*12,0)=12,ROUNDDOWN(2*(U47+(V47/12))+W47+(X47/12)-(3/12),0)+1,ROUNDDOWN(2*(U47+(V47/12))+W47+(X47/12)-(3/12),0))</f>
        <v>4</v>
      </c>
      <c r="R47" s="13">
        <f>IF(ROUNDUP((2*(U47+(V47/12))+W47+(X47/12)-(3/12)-ROUNDDOWN(2*(U47+(V47/12))+W47+(X47/12)-(3/12),0))*12,0)=12,0,ROUNDUP((2*(U47+(V47/12))+W47+(X47/12)-(3/12)-ROUNDDOWN(2*(U47+(V47/12))+W47+(X47/12)-(3/12),0))*12,0))</f>
        <v>5</v>
      </c>
      <c r="S47" s="14">
        <f>ROUNDUP((Q47+R47/12)*P47*1.043,0)</f>
        <v>47</v>
      </c>
      <c r="T47" s="11">
        <v>5</v>
      </c>
      <c r="U47" s="12">
        <f>IF(ROUNDUP(((B13-B6-(IF(C9&gt;0,C9,B9)/12)-(IF(C10&gt;0,C10,B10)/12)-(4/12))-ROUNDDOWN((B13-B6-(IF(C9&gt;0,C9,B9)/12)-(IF(C10&gt;0,C10,B10)/12)-(4/12)),0))*12,0)=12,ROUNDDOWN((B13-B6-(IF(C9&gt;0,C9,B9)/12)-(IF(C10&gt;0,C10,B10)/12)-(4/12)),0)+1,ROUNDDOWN((B13-B6-(IF(C9&gt;0,C9,B9)/12)-(IF(C10&gt;0,C10,B10)/12)-(4/12)),0))</f>
        <v>1</v>
      </c>
      <c r="V47" s="13">
        <f>IF(ROUNDUP(((B13-B6-(IF(C9&gt;0,C9,B9)/12)-(IF(C10&gt;0,C10,B10)/12)-(4/12))-ROUNDDOWN((B13-B6-(IF(C9&gt;0,C9,B9)/12)-(IF(C10&gt;0,C10,B10)/12)-(4/12)),0))*12,0)=12,0,ROUNDUP(((B13-B6-(IF(C9&gt;0,C9,B9)/12)-(IF(C10&gt;0,C10,B10)/12)-(4/12))-ROUNDDOWN((B13-B6-(IF(C9&gt;0,C9,B9)/12)-(IF(C10&gt;0,C10,B10)/12)-(4/12)),0))*12,0))</f>
        <v>10</v>
      </c>
      <c r="W47" s="12">
        <f>IF(ROUNDUP((B19-(4/12)-ROUNDDOWN(B19-(4/12),0))*12,0)=12,ROUNDDOWN(B19-(4/12),0)+1,ROUNDDOWN(B19-(4/12),0))</f>
        <v>1</v>
      </c>
      <c r="X47" s="13">
        <f>IF(ROUNDUP((B19-(4/12)-ROUNDDOWN(B19-(4/12),0))*12,0)=12,0,ROUNDUP((B19-(4/12)-ROUNDDOWN(B19-(4/12),0))*12,0))</f>
        <v>0</v>
      </c>
      <c r="Y47" s="18"/>
      <c r="Z47" s="22"/>
      <c r="AA47" s="18"/>
      <c r="AB47" s="22"/>
      <c r="AC47" s="18"/>
      <c r="AD47" s="19"/>
    </row>
    <row r="48" spans="15:30" ht="12.75" customHeight="1" x14ac:dyDescent="0.2">
      <c r="O48" s="10" t="s">
        <v>37</v>
      </c>
      <c r="P48" s="11">
        <f>P47</f>
        <v>10</v>
      </c>
      <c r="Q48" s="12">
        <f>IF(ROUNDUP((U48+(V48/12)+W48+(X48/12)+Y48+(Z48/12)-(3/12)-ROUNDDOWN(U48+(V48/12)+W48+(X48/12)+Y48+(Z48/12)-(3/12),0))*12,0)=12,ROUNDDOWN(U48+(V48/12)+W48+(X48/12)+Y48+(Z48/12)-(3/12),0)+1,ROUNDDOWN(U48+(V48/12)+W48+(X48/12)+Y48+(Z48/12)-(3/12),0))</f>
        <v>5</v>
      </c>
      <c r="R48" s="13">
        <f>IF(ROUNDUP((U48+(V48/12)+W48+(X48/12)+Y48+(Z48/12)-(3/12)-ROUNDDOWN(U48+(V48/12)+W48+(X48/12)+Y48+(Z48/12)-(3/12),0))*12,0)=12,0,ROUNDUP((U48+(V48/12)+W48+(X48/12)+Y48+(Z48/12)-(3/12)-ROUNDDOWN(U48+(V48/12)+W48+(X48/12)+Y48+(Z48/12)-(3/12),0))*12,0))</f>
        <v>1</v>
      </c>
      <c r="S48" s="14">
        <f>ROUNDUP((Q48+R48/12)*P48*1.043,0)</f>
        <v>54</v>
      </c>
      <c r="T48" s="11">
        <v>7</v>
      </c>
      <c r="U48" s="12">
        <f>U47</f>
        <v>1</v>
      </c>
      <c r="V48" s="13">
        <f>V47</f>
        <v>10</v>
      </c>
      <c r="W48" s="12">
        <f>W47</f>
        <v>1</v>
      </c>
      <c r="X48" s="13">
        <f>X47</f>
        <v>0</v>
      </c>
      <c r="Y48" s="12">
        <f>IF(ROUNDUP(((B13-B6-(IF(C10&gt;0,C10,B10)/12)-(5/12))-ROUNDDOWN((B13-B6-(IF(C10&gt;0,C10,B10)/12)-(5/12)),0))*12,0)=12,ROUNDDOWN((B13-B6-(IF(C10&gt;0,C10,B10)/12)-(5/12)),0)+1,ROUNDDOWN((B13-B6-(IF(C10&gt;0,C10,B10)/12)-(5/12)),0))</f>
        <v>2</v>
      </c>
      <c r="Z48" s="13">
        <f>IF(ROUNDUP(((B13-B6-(IF(C10&gt;0,C10,B10)/12)-(5/12))-ROUNDDOWN((B13-B6-(IF(C10&gt;0,C10,B10)/12)-(5/12)),0))*12,0)=12,0,ROUNDUP(((B13-B6-(IF(C10&gt;0,C10,B10)/12)-(5/12))-ROUNDDOWN((B13-B6-(IF(C10&gt;0,C10,B10)/12)-(5/12)),0))*12,0))</f>
        <v>5</v>
      </c>
      <c r="AA48" s="18"/>
      <c r="AB48" s="22"/>
      <c r="AC48" s="18"/>
      <c r="AD48" s="19"/>
    </row>
    <row r="49" spans="15:30" ht="12.75" customHeight="1" x14ac:dyDescent="0.2">
      <c r="O49" s="10"/>
      <c r="P49" s="11"/>
      <c r="Q49" s="18"/>
      <c r="R49" s="22"/>
      <c r="S49" s="14"/>
      <c r="T49" s="11"/>
      <c r="U49" s="18"/>
      <c r="V49" s="22"/>
      <c r="W49" s="18"/>
      <c r="X49" s="22"/>
      <c r="Y49" s="18"/>
      <c r="Z49" s="22"/>
      <c r="AA49" s="18"/>
      <c r="AB49" s="22"/>
      <c r="AC49" s="18"/>
      <c r="AD49" s="19"/>
    </row>
    <row r="50" spans="15:30" ht="12.75" customHeight="1" thickBot="1" x14ac:dyDescent="0.25">
      <c r="O50" s="32"/>
      <c r="P50" s="33"/>
      <c r="Q50" s="61" t="s">
        <v>51</v>
      </c>
      <c r="R50" s="62"/>
      <c r="S50" s="34">
        <f>SUM(S6:S22)+SUM(S24:S44)+SUM(S46:S49)</f>
        <v>3988.4430000000002</v>
      </c>
      <c r="T50" s="33"/>
      <c r="U50" s="7"/>
      <c r="V50" s="8"/>
      <c r="W50" s="7"/>
      <c r="X50" s="8"/>
      <c r="Y50" s="7"/>
      <c r="Z50" s="8"/>
      <c r="AA50" s="7"/>
      <c r="AB50" s="8"/>
      <c r="AC50" s="7"/>
      <c r="AD50" s="35"/>
    </row>
  </sheetData>
  <mergeCells count="26">
    <mergeCell ref="A21:D23"/>
    <mergeCell ref="Q50:R50"/>
    <mergeCell ref="Q39:R39"/>
    <mergeCell ref="O2:O4"/>
    <mergeCell ref="P2:P4"/>
    <mergeCell ref="Q2:R4"/>
    <mergeCell ref="Q13:R13"/>
    <mergeCell ref="Q17:R17"/>
    <mergeCell ref="Q33:R33"/>
    <mergeCell ref="Q36:R36"/>
    <mergeCell ref="O45:AD45"/>
    <mergeCell ref="U2:AB3"/>
    <mergeCell ref="AC2:AD4"/>
    <mergeCell ref="S2:S4"/>
    <mergeCell ref="O5:AD5"/>
    <mergeCell ref="T2:T4"/>
    <mergeCell ref="O1:AD1"/>
    <mergeCell ref="Q42:R42"/>
    <mergeCell ref="O23:AD23"/>
    <mergeCell ref="Q7:R7"/>
    <mergeCell ref="Y33:Z33"/>
    <mergeCell ref="Y39:Z39"/>
    <mergeCell ref="U4:V4"/>
    <mergeCell ref="W4:X4"/>
    <mergeCell ref="Y4:Z4"/>
    <mergeCell ref="AA4:AB4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9119-3CDC-4274-B5C8-62E8BF67DF3F}">
  <dimension ref="A1:AD61"/>
  <sheetViews>
    <sheetView topLeftCell="A10" workbookViewId="0">
      <selection activeCell="X50" sqref="X50"/>
    </sheetView>
  </sheetViews>
  <sheetFormatPr defaultColWidth="9.140625" defaultRowHeight="12.75" customHeight="1" x14ac:dyDescent="0.2"/>
  <cols>
    <col min="1" max="1" width="9.140625" style="1"/>
    <col min="2" max="2" width="9.7109375" style="1" bestFit="1" customWidth="1"/>
    <col min="3" max="13" width="9.140625" style="1"/>
    <col min="14" max="14" width="4.140625" style="1" customWidth="1"/>
    <col min="15" max="15" width="7.42578125" style="36" customWidth="1"/>
    <col min="16" max="16" width="9.28515625" style="36" customWidth="1"/>
    <col min="17" max="17" width="6.7109375" style="36" customWidth="1"/>
    <col min="18" max="18" width="8.7109375" style="36" customWidth="1"/>
    <col min="19" max="19" width="9.28515625" style="36" customWidth="1"/>
    <col min="20" max="20" width="5" style="36" customWidth="1"/>
    <col min="21" max="21" width="6.7109375" style="36" customWidth="1"/>
    <col min="22" max="22" width="8.7109375" style="36" customWidth="1"/>
    <col min="23" max="23" width="6.7109375" style="36" customWidth="1"/>
    <col min="24" max="24" width="8.7109375" style="36" customWidth="1"/>
    <col min="25" max="25" width="6.7109375" style="36" customWidth="1"/>
    <col min="26" max="26" width="8.7109375" style="36" customWidth="1"/>
    <col min="27" max="27" width="6.7109375" style="36" customWidth="1"/>
    <col min="28" max="28" width="8.7109375" style="36" customWidth="1"/>
    <col min="29" max="29" width="6.7109375" style="36" customWidth="1"/>
    <col min="30" max="30" width="8.7109375" style="1" customWidth="1"/>
    <col min="31" max="16384" width="9.140625" style="1"/>
  </cols>
  <sheetData>
    <row r="1" spans="1:30" ht="12.75" customHeight="1" thickBot="1" x14ac:dyDescent="0.25">
      <c r="A1" s="4" t="s">
        <v>53</v>
      </c>
      <c r="M1" s="2" t="s">
        <v>69</v>
      </c>
      <c r="O1" s="53" t="s">
        <v>54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5"/>
    </row>
    <row r="2" spans="1:30" ht="12.75" customHeight="1" x14ac:dyDescent="0.2">
      <c r="A2" s="3" t="s">
        <v>52</v>
      </c>
      <c r="O2" s="100" t="s">
        <v>16</v>
      </c>
      <c r="P2" s="103" t="s">
        <v>8</v>
      </c>
      <c r="Q2" s="103" t="s">
        <v>9</v>
      </c>
      <c r="R2" s="103"/>
      <c r="S2" s="104" t="s">
        <v>49</v>
      </c>
      <c r="T2" s="107" t="s">
        <v>10</v>
      </c>
      <c r="U2" s="70" t="s">
        <v>66</v>
      </c>
      <c r="V2" s="76"/>
      <c r="W2" s="76"/>
      <c r="X2" s="76"/>
      <c r="Y2" s="76"/>
      <c r="Z2" s="76"/>
      <c r="AA2" s="76"/>
      <c r="AB2" s="71"/>
      <c r="AC2" s="103" t="s">
        <v>15</v>
      </c>
      <c r="AD2" s="110"/>
    </row>
    <row r="3" spans="1:30" ht="12.75" customHeight="1" x14ac:dyDescent="0.2">
      <c r="O3" s="101"/>
      <c r="P3" s="96"/>
      <c r="Q3" s="96"/>
      <c r="R3" s="96"/>
      <c r="S3" s="105"/>
      <c r="T3" s="108"/>
      <c r="U3" s="77"/>
      <c r="V3" s="78"/>
      <c r="W3" s="78"/>
      <c r="X3" s="78"/>
      <c r="Y3" s="78"/>
      <c r="Z3" s="78"/>
      <c r="AA3" s="78"/>
      <c r="AB3" s="79"/>
      <c r="AC3" s="96"/>
      <c r="AD3" s="97"/>
    </row>
    <row r="4" spans="1:30" ht="12.75" customHeight="1" thickBot="1" x14ac:dyDescent="0.25">
      <c r="A4" s="4" t="s">
        <v>2</v>
      </c>
      <c r="E4" s="4" t="s">
        <v>1</v>
      </c>
      <c r="O4" s="102"/>
      <c r="P4" s="94"/>
      <c r="Q4" s="94"/>
      <c r="R4" s="94"/>
      <c r="S4" s="106"/>
      <c r="T4" s="109"/>
      <c r="U4" s="94" t="s">
        <v>11</v>
      </c>
      <c r="V4" s="94"/>
      <c r="W4" s="94" t="s">
        <v>12</v>
      </c>
      <c r="X4" s="94"/>
      <c r="Y4" s="94" t="s">
        <v>13</v>
      </c>
      <c r="Z4" s="94"/>
      <c r="AA4" s="94" t="s">
        <v>14</v>
      </c>
      <c r="AB4" s="94"/>
      <c r="AC4" s="94"/>
      <c r="AD4" s="111"/>
    </row>
    <row r="5" spans="1:30" ht="12.75" customHeight="1" x14ac:dyDescent="0.2">
      <c r="A5" s="5" t="s">
        <v>3</v>
      </c>
      <c r="B5" s="6">
        <v>10</v>
      </c>
      <c r="E5" s="5" t="s">
        <v>70</v>
      </c>
      <c r="F5" s="6">
        <v>4.75</v>
      </c>
      <c r="O5" s="91" t="s">
        <v>29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3"/>
    </row>
    <row r="6" spans="1:30" ht="12.75" customHeight="1" x14ac:dyDescent="0.2">
      <c r="A6" s="5" t="s">
        <v>4</v>
      </c>
      <c r="B6" s="6">
        <v>4</v>
      </c>
      <c r="E6" s="5" t="s">
        <v>71</v>
      </c>
      <c r="F6" s="6">
        <v>1.5</v>
      </c>
      <c r="O6" s="37"/>
      <c r="P6" s="38">
        <v>1</v>
      </c>
      <c r="Q6" s="12">
        <f>IF((B14-(2/12)-ROUNDDOWN(B14-(2/12),0))*12=12,ROUNDDOWN(B14-(2/12),0)+1,ROUNDDOWN(B14-(2/12),0))</f>
        <v>3</v>
      </c>
      <c r="R6" s="13">
        <f>IF((B14-(2/12)-ROUNDDOWN(B14-(2/12),0))*12=12,0,(B14-(2/12)-ROUNDDOWN(B14-(2/12),0))*12)</f>
        <v>10.000000000000002</v>
      </c>
      <c r="S6" s="14"/>
      <c r="T6" s="11"/>
      <c r="U6" s="18"/>
      <c r="V6" s="22"/>
      <c r="W6" s="16"/>
      <c r="X6" s="17"/>
      <c r="Y6" s="16"/>
      <c r="Z6" s="17"/>
      <c r="AA6" s="16"/>
      <c r="AB6" s="17"/>
      <c r="AC6" s="18"/>
      <c r="AD6" s="19"/>
    </row>
    <row r="7" spans="1:30" ht="12.75" customHeight="1" x14ac:dyDescent="0.2">
      <c r="B7" s="9" t="s">
        <v>67</v>
      </c>
      <c r="C7" s="9" t="s">
        <v>68</v>
      </c>
      <c r="E7" s="5" t="s">
        <v>72</v>
      </c>
      <c r="F7" s="6">
        <v>2.5</v>
      </c>
      <c r="O7" s="10" t="str">
        <f>IF(F12=5,"X501","X601")</f>
        <v>X501</v>
      </c>
      <c r="P7" s="11" t="s">
        <v>38</v>
      </c>
      <c r="Q7" s="56" t="s">
        <v>45</v>
      </c>
      <c r="R7" s="57"/>
      <c r="S7" s="14">
        <f>ROUNDUP(IF(F12=5,0.5*(Q8+R8/12+Q6+R6/12)*P6*P8*1.043,0.5*(Q8+R8/12+Q6+R6/12)*P6*P8*1.502),0)</f>
        <v>43</v>
      </c>
      <c r="T7" s="11" t="s">
        <v>46</v>
      </c>
      <c r="U7" s="16"/>
      <c r="V7" s="17"/>
      <c r="W7" s="16"/>
      <c r="X7" s="17"/>
      <c r="Y7" s="16"/>
      <c r="Z7" s="17"/>
      <c r="AA7" s="16"/>
      <c r="AB7" s="17"/>
      <c r="AC7" s="12">
        <f>IF((Q8+R8/12-Q6-R6/12)/(P8-1)=1,1,IF(CEILING(((Q8+(R8/12)-Q6-(R6/12))/(P8-1)-ROUNDDOWN((Q8+(R8/12)-Q6-(R6/12))/(P8-1),0))*12,0.125)=12,ROUNDDOWN(((Q8+(R8/12)-Q6-(R6/12))/(P8-1)),0)+1,ROUNDDOWN(((Q8+(R8/12)-Q6-(R6/12))/(P8-1)),0)))</f>
        <v>0</v>
      </c>
      <c r="AD7" s="23">
        <f>IF((Q8+R8/12-Q6-R6/12)/(P8-1)=1,0,IF(CEILING(((Q8+(R8/12)-Q6-(R6/12))/(P8-1)-ROUNDDOWN((Q8+(R8/12)-Q6-(R6/12))/(P8-1),0))*12,0.125)=12,0,CEILING(((Q8+(R8/12)-Q6-(R6/12))/(P8-1)-ROUNDDOWN((Q8+(R8/12)-Q6-(R6/12))/(P8-1),0))*12,0.125)))</f>
        <v>4.375</v>
      </c>
    </row>
    <row r="8" spans="1:30" ht="12.75" customHeight="1" x14ac:dyDescent="0.2">
      <c r="A8" s="5" t="s">
        <v>73</v>
      </c>
      <c r="B8" s="20">
        <f>IF($B$5=8,8,IF($B$5=10,10,IF($B$5&gt;=12,12,"Error")))</f>
        <v>10</v>
      </c>
      <c r="C8" s="21"/>
      <c r="O8" s="10"/>
      <c r="P8" s="25">
        <f>ROUNDUP(((B16-(4/12))/(F19/12))+1,0)</f>
        <v>8</v>
      </c>
      <c r="Q8" s="12">
        <f>IF((B13-(2/12)-ROUNDDOWN(B13-(2/12),0))*12=12,ROUNDDOWN(B13-(2/12),0)+1,ROUNDDOWN(B13-(2/12),0))</f>
        <v>6</v>
      </c>
      <c r="R8" s="13">
        <f>IF((B13-(2/12)-ROUNDDOWN(B13-(2/12),0))*12=12,0,(B13-(2/12)-ROUNDDOWN(B13-(2/12),0))*12)</f>
        <v>3.9999999999999964</v>
      </c>
      <c r="S8" s="14"/>
      <c r="T8" s="11"/>
      <c r="U8" s="16"/>
      <c r="V8" s="17"/>
      <c r="W8" s="16"/>
      <c r="X8" s="17"/>
      <c r="Y8" s="16"/>
      <c r="Z8" s="17"/>
      <c r="AA8" s="16"/>
      <c r="AB8" s="17"/>
      <c r="AC8" s="18"/>
      <c r="AD8" s="26"/>
    </row>
    <row r="9" spans="1:30" ht="12.75" customHeight="1" x14ac:dyDescent="0.2">
      <c r="A9" s="5" t="s">
        <v>74</v>
      </c>
      <c r="B9" s="20">
        <f>IF($B$5=8,8,IF($B$5=10,10,IF($B$5&gt;=12,12,"Error")))</f>
        <v>10</v>
      </c>
      <c r="C9" s="21"/>
      <c r="E9" s="4" t="s">
        <v>17</v>
      </c>
      <c r="O9" s="10" t="str">
        <f>IF(F12=5,"X502","X602")</f>
        <v>X502</v>
      </c>
      <c r="P9" s="11">
        <v>2</v>
      </c>
      <c r="Q9" s="12">
        <f>Q8</f>
        <v>6</v>
      </c>
      <c r="R9" s="13">
        <f>R8</f>
        <v>3.9999999999999964</v>
      </c>
      <c r="S9" s="14">
        <f>ROUNDUP(IF(F12=5,(Q9+R9/12)*P9*1.043,(Q9+R9/12)*P9*1.502),0)</f>
        <v>14</v>
      </c>
      <c r="T9" s="11" t="s">
        <v>46</v>
      </c>
      <c r="U9" s="16"/>
      <c r="V9" s="17"/>
      <c r="W9" s="16"/>
      <c r="X9" s="17"/>
      <c r="Y9" s="16"/>
      <c r="Z9" s="17"/>
      <c r="AA9" s="16"/>
      <c r="AB9" s="17"/>
      <c r="AC9" s="18"/>
      <c r="AD9" s="26"/>
    </row>
    <row r="10" spans="1:30" ht="12.75" customHeight="1" x14ac:dyDescent="0.2">
      <c r="A10" s="5" t="s">
        <v>75</v>
      </c>
      <c r="B10" s="20">
        <f>IF($B$5=8,8,IF($B$5=10,10,IF($B$5&gt;=12,12,"Error")))</f>
        <v>10</v>
      </c>
      <c r="C10" s="21"/>
      <c r="E10" s="5" t="s">
        <v>18</v>
      </c>
      <c r="F10" s="24">
        <v>5</v>
      </c>
      <c r="O10" s="10"/>
      <c r="P10" s="11">
        <v>1</v>
      </c>
      <c r="Q10" s="12">
        <f>IF((B15-(2/12)-ROUNDDOWN(B15-(2/12),0))*12=12,ROUNDDOWN(B15-(2/12),0)+1,ROUNDDOWN(B15-(2/12),0))</f>
        <v>3</v>
      </c>
      <c r="R10" s="13">
        <f>IF((B15-(2/12)-ROUNDDOWN(B15-(2/12),0))*12=12,0,(B15-(2/12)-ROUNDDOWN(B15-(2/12),0))*12)</f>
        <v>4.0000000000000018</v>
      </c>
      <c r="S10" s="11"/>
      <c r="T10" s="11"/>
      <c r="U10" s="18"/>
      <c r="V10" s="22"/>
      <c r="W10" s="18"/>
      <c r="X10" s="22"/>
      <c r="Y10" s="18"/>
      <c r="Z10" s="22"/>
      <c r="AA10" s="18"/>
      <c r="AB10" s="22"/>
      <c r="AC10" s="18"/>
      <c r="AD10" s="19"/>
    </row>
    <row r="11" spans="1:30" ht="12.75" customHeight="1" x14ac:dyDescent="0.2">
      <c r="E11" s="5" t="s">
        <v>19</v>
      </c>
      <c r="F11" s="24">
        <v>5</v>
      </c>
      <c r="O11" s="10" t="str">
        <f>IF(F12=5,"X503","X603")</f>
        <v>X503</v>
      </c>
      <c r="P11" s="11" t="s">
        <v>38</v>
      </c>
      <c r="Q11" s="56" t="s">
        <v>45</v>
      </c>
      <c r="R11" s="57"/>
      <c r="S11" s="14">
        <f>ROUNDUP(IF(F12=5,0.5*(Q12+R12/12+Q10+R10/12)*P10*P12*1.043,0.5*(Q12+R12/12+Q10+R10/12)*P10*P12*1.502),0)</f>
        <v>21</v>
      </c>
      <c r="T11" s="11" t="s">
        <v>46</v>
      </c>
      <c r="U11" s="18"/>
      <c r="V11" s="22"/>
      <c r="W11" s="18"/>
      <c r="X11" s="22"/>
      <c r="Y11" s="18"/>
      <c r="Z11" s="22"/>
      <c r="AA11" s="18"/>
      <c r="AB11" s="22"/>
      <c r="AC11" s="12">
        <f>IF((Q12+R12/12-Q10-R10/12)/(P12-1)=1,1,IF(CEILING(((Q12+(R12/12)-Q10-(R10/12))/(P12-1)-ROUNDDOWN((Q12+(R12/12)-Q10-(R10/12))/(P12-1),0))*12,0.125)=12,ROUNDDOWN(((Q12+(R12/12)-Q10-(R10/12))/(P12-1)),0)+1,ROUNDDOWN(((Q12+(R12/12)-Q10-(R10/12))/(P12-1)),0)))</f>
        <v>1</v>
      </c>
      <c r="AD11" s="23">
        <f>IF((Q12+R12/12-Q10-R10/12)/(P12-1)=1,0,IF(CEILING(((Q12+(R12/12)-Q10-(R10/12))/(P12-1)-ROUNDDOWN((Q12+(R12/12)-Q10-(R10/12))/(P12-1),0))*12,0.125)=12,0,CEILING(((Q12+(R12/12)-Q10-(R10/12))/(P12-1)-ROUNDDOWN((Q12+(R12/12)-Q10-(R10/12))/(P12-1),0))*12,0.125)))</f>
        <v>0</v>
      </c>
    </row>
    <row r="12" spans="1:30" ht="12.75" customHeight="1" x14ac:dyDescent="0.2">
      <c r="A12" s="4" t="s">
        <v>0</v>
      </c>
      <c r="E12" s="5" t="s">
        <v>20</v>
      </c>
      <c r="F12" s="24">
        <v>5</v>
      </c>
      <c r="O12" s="10"/>
      <c r="P12" s="25">
        <f>ROUNDUP(((B17-(4/12))/(F19/12))+1,0)</f>
        <v>4</v>
      </c>
      <c r="Q12" s="12">
        <f>Q8</f>
        <v>6</v>
      </c>
      <c r="R12" s="13">
        <f>R8</f>
        <v>3.9999999999999964</v>
      </c>
      <c r="S12" s="11"/>
      <c r="T12" s="11"/>
      <c r="U12" s="18"/>
      <c r="V12" s="22"/>
      <c r="W12" s="18"/>
      <c r="X12" s="22"/>
      <c r="Y12" s="18"/>
      <c r="Z12" s="22"/>
      <c r="AA12" s="18"/>
      <c r="AB12" s="22"/>
      <c r="AC12" s="18"/>
      <c r="AD12" s="19"/>
    </row>
    <row r="13" spans="1:30" ht="12.75" customHeight="1" x14ac:dyDescent="0.2">
      <c r="A13" s="5" t="s">
        <v>5</v>
      </c>
      <c r="B13" s="6">
        <v>6.5</v>
      </c>
      <c r="C13" s="3"/>
      <c r="E13" s="5" t="s">
        <v>21</v>
      </c>
      <c r="F13" s="24">
        <v>6</v>
      </c>
      <c r="O13" s="10" t="str">
        <f>VLOOKUP(F13,'Rebar Data'!A2:D12,4)</f>
        <v>Y601</v>
      </c>
      <c r="P13" s="11">
        <f>ROUNDUP((B16-(4/12))/(F20/12),0)+ROUNDUP((B17-(4/12))/(F20/12),0)+4</f>
        <v>14</v>
      </c>
      <c r="Q13" s="12">
        <f>IF((U13+V13/12+W13+X13/12-(VLOOKUP(F13,'Rebar Data'!A2:C12,3)/12)-ROUNDDOWN(U13+V13/12+W13+X13/12-(VLOOKUP(F13,'Rebar Data'!A2:C12,3)/12),0))*12=12,ROUNDDOWN(U13+V13/12+W13+X13/12-(VLOOKUP(F13,'Rebar Data'!A2:C12,3)/12),0)+1,ROUNDDOWN(U13+V13/12+W13+X13/12-(VLOOKUP(F13,'Rebar Data'!A2:C12,3)/12),0))</f>
        <v>4</v>
      </c>
      <c r="R13" s="13">
        <f>ROUNDDOWN((U13+V13/12+W13+X13/12-(VLOOKUP(F13,'Rebar Data'!A2:C12,3)/12)-ROUNDDOWN(U13+V13/12+W13+X13/12-(VLOOKUP(F13,'Rebar Data'!A2:C12,3)/12),0))*12,0)</f>
        <v>10</v>
      </c>
      <c r="S13" s="14">
        <f>(Q13+(R13/12))*P13*VLOOKUP(F13,'Rebar Data'!A2:E12,5)</f>
        <v>101.63533333333332</v>
      </c>
      <c r="T13" s="11">
        <v>1</v>
      </c>
      <c r="U13" s="12">
        <f>IF(VLOOKUP(F13,'Rebar Data'!A2:B12,2)&gt;=36,3,IF(VLOOKUP(F13,'Rebar Data'!A2:B12,2)&gt;=24,2,IF(VLOOKUP(F13,'Rebar Data'!A2:B12,2)&gt;=12,1,0)))</f>
        <v>1</v>
      </c>
      <c r="V13" s="13">
        <f>IF(VLOOKUP(F13,'Rebar Data'!A2:B12,2)&gt;=36,VLOOKUP(F13,'Rebar Data'!A2:B12,2)-36,IF(VLOOKUP(F13,'Rebar Data'!A2:B12,2)&gt;=24,VLOOKUP(F13,'Rebar Data'!A2:B12,2)-24,IF(VLOOKUP(F13,'Rebar Data'!A2:B12,2)&gt;=12,VLOOKUP(F13,'Rebar Data'!A2:B12,2)-12,VLOOKUP(F13,'Rebar Data'!A2:B12,2))))</f>
        <v>0</v>
      </c>
      <c r="W13" s="12">
        <f>IF((F6+B20-(3/12)-ROUNDDOWN(F6+B20-(3/12),0))*12=12,ROUNDDOWN(F6+B20-(3/12),0)+1,ROUNDDOWN(F6+B20-(3/12),0))</f>
        <v>4</v>
      </c>
      <c r="X13" s="13">
        <f>IF((F6+B20-(3/12)-ROUNDDOWN(F6+B20-(3/12),0))*12=12,0,(F6+B20-(3/12)-ROUNDDOWN(F6+B20-(3/12),0))*12)</f>
        <v>0</v>
      </c>
      <c r="Y13" s="12"/>
      <c r="Z13" s="13"/>
      <c r="AA13" s="12"/>
      <c r="AB13" s="13"/>
      <c r="AC13" s="18"/>
      <c r="AD13" s="26"/>
    </row>
    <row r="14" spans="1:30" ht="12.75" customHeight="1" x14ac:dyDescent="0.2">
      <c r="A14" s="5" t="s">
        <v>76</v>
      </c>
      <c r="B14" s="6">
        <v>4</v>
      </c>
      <c r="E14" s="5" t="s">
        <v>22</v>
      </c>
      <c r="F14" s="27">
        <f>F11</f>
        <v>5</v>
      </c>
      <c r="O14" s="10"/>
      <c r="P14" s="11"/>
      <c r="Q14" s="18"/>
      <c r="R14" s="22"/>
      <c r="S14" s="14"/>
      <c r="T14" s="11"/>
      <c r="U14" s="16"/>
      <c r="V14" s="17"/>
      <c r="W14" s="16"/>
      <c r="X14" s="17"/>
      <c r="Y14" s="16"/>
      <c r="Z14" s="17"/>
      <c r="AA14" s="16"/>
      <c r="AB14" s="17"/>
      <c r="AC14" s="18"/>
      <c r="AD14" s="26"/>
    </row>
    <row r="15" spans="1:30" ht="12.75" customHeight="1" x14ac:dyDescent="0.2">
      <c r="A15" s="5" t="s">
        <v>77</v>
      </c>
      <c r="B15" s="6">
        <v>3.5</v>
      </c>
      <c r="C15" s="3"/>
      <c r="O15" s="10"/>
      <c r="P15" s="11">
        <v>1</v>
      </c>
      <c r="Q15" s="12">
        <f>Q6</f>
        <v>3</v>
      </c>
      <c r="R15" s="13">
        <f>R6</f>
        <v>10.000000000000002</v>
      </c>
      <c r="S15" s="14"/>
      <c r="T15" s="11"/>
      <c r="U15" s="18"/>
      <c r="V15" s="22"/>
      <c r="W15" s="16"/>
      <c r="X15" s="17"/>
      <c r="Y15" s="16"/>
      <c r="Z15" s="17"/>
      <c r="AA15" s="16"/>
      <c r="AB15" s="17"/>
      <c r="AC15" s="18"/>
      <c r="AD15" s="26"/>
    </row>
    <row r="16" spans="1:30" ht="12.75" customHeight="1" x14ac:dyDescent="0.2">
      <c r="A16" s="5" t="s">
        <v>78</v>
      </c>
      <c r="B16" s="6">
        <v>10</v>
      </c>
      <c r="E16" s="4" t="s">
        <v>39</v>
      </c>
      <c r="O16" s="10" t="s">
        <v>23</v>
      </c>
      <c r="P16" s="11" t="s">
        <v>38</v>
      </c>
      <c r="Q16" s="56" t="s">
        <v>45</v>
      </c>
      <c r="R16" s="57"/>
      <c r="S16" s="14">
        <f>ROUNDUP(0.5*(Q17+R17/12+Q15+R15/12)*P15*P17*1.043,0)</f>
        <v>43</v>
      </c>
      <c r="T16" s="11" t="s">
        <v>46</v>
      </c>
      <c r="U16" s="16"/>
      <c r="V16" s="17"/>
      <c r="W16" s="16"/>
      <c r="X16" s="17"/>
      <c r="Y16" s="16"/>
      <c r="Z16" s="17"/>
      <c r="AA16" s="16"/>
      <c r="AB16" s="17"/>
      <c r="AC16" s="12">
        <f>IF((Q17+R17/12-Q15-R15/12)/(P17-1)=1,1,IF(CEILING(((Q17+(R17/12)-Q15-(R15/12))/(P17-1)-ROUNDDOWN((Q17+(R17/12)-Q15-(R15/12))/(P17-1),0))*12,0.125)=12,ROUNDDOWN(((Q17+(R17/12)-Q15-(R15/12))/(P17-1)),0)+1,ROUNDDOWN(((Q17+(R17/12)-Q15-(R15/12))/(P17-1)),0)))</f>
        <v>0</v>
      </c>
      <c r="AD16" s="23">
        <f>IF((Q17+R17/12-Q15-R15/12)/(P17-1)=1,0,IF(CEILING(((Q17+(R17/12)-Q15-(R15/12))/(P17-1)-ROUNDDOWN((Q17+(R17/12)-Q15-(R15/12))/(P17-1),0))*12,0.125)=12,0,CEILING(((Q17+(R17/12)-Q15-(R15/12))/(P17-1)-ROUNDDOWN((Q17+(R17/12)-Q15-(R15/12))/(P17-1),0))*12,0.125)))</f>
        <v>4.375</v>
      </c>
    </row>
    <row r="17" spans="1:30" ht="12.75" customHeight="1" x14ac:dyDescent="0.2">
      <c r="A17" s="5" t="s">
        <v>79</v>
      </c>
      <c r="B17" s="6">
        <v>4</v>
      </c>
      <c r="E17" s="5" t="s">
        <v>40</v>
      </c>
      <c r="F17" s="29">
        <v>18</v>
      </c>
      <c r="O17" s="10"/>
      <c r="P17" s="25">
        <f>ROUNDUP(((B16-(4/12))/(18/12))+1,0)</f>
        <v>8</v>
      </c>
      <c r="Q17" s="12">
        <f>Q8</f>
        <v>6</v>
      </c>
      <c r="R17" s="13">
        <f>R8</f>
        <v>3.9999999999999964</v>
      </c>
      <c r="S17" s="14"/>
      <c r="T17" s="11"/>
      <c r="U17" s="16"/>
      <c r="V17" s="17"/>
      <c r="W17" s="16"/>
      <c r="X17" s="17"/>
      <c r="Y17" s="16"/>
      <c r="Z17" s="17"/>
      <c r="AA17" s="16"/>
      <c r="AB17" s="17"/>
      <c r="AC17" s="18"/>
      <c r="AD17" s="26"/>
    </row>
    <row r="18" spans="1:30" ht="12.75" customHeight="1" x14ac:dyDescent="0.2">
      <c r="A18" s="5" t="s">
        <v>62</v>
      </c>
      <c r="B18" s="6">
        <f>1+8/12</f>
        <v>1.6666666666666665</v>
      </c>
      <c r="E18" s="5" t="s">
        <v>41</v>
      </c>
      <c r="F18" s="29">
        <v>18</v>
      </c>
      <c r="O18" s="10" t="s">
        <v>24</v>
      </c>
      <c r="P18" s="11">
        <f>ROUNDUP((((B14-(4/12))/(18/12))),0)*2</f>
        <v>6</v>
      </c>
      <c r="Q18" s="12">
        <f>IF((B16-(4/12)-ROUNDDOWN(B16-(4/12),0))*12=12,ROUNDDOWN(B16-(4/12),0)+1,ROUNDDOWN(B16-(4/12),0))</f>
        <v>9</v>
      </c>
      <c r="R18" s="13">
        <f>IF((B16-(4/12)-ROUNDDOWN(B16-(4/12),0))*12=12,0,(B16-(4/12)-ROUNDDOWN(B16-(4/12),0))*12)</f>
        <v>7.9999999999999929</v>
      </c>
      <c r="S18" s="14">
        <f>ROUNDUP((Q18+R18/12)*P18*1.043,0)</f>
        <v>61</v>
      </c>
      <c r="T18" s="11" t="s">
        <v>46</v>
      </c>
      <c r="U18" s="16"/>
      <c r="V18" s="17"/>
      <c r="W18" s="16"/>
      <c r="X18" s="17"/>
      <c r="Y18" s="16"/>
      <c r="Z18" s="17"/>
      <c r="AA18" s="16"/>
      <c r="AB18" s="17"/>
      <c r="AC18" s="18"/>
      <c r="AD18" s="26"/>
    </row>
    <row r="19" spans="1:30" ht="12.75" customHeight="1" x14ac:dyDescent="0.2">
      <c r="A19" s="5" t="s">
        <v>63</v>
      </c>
      <c r="B19" s="6">
        <v>1</v>
      </c>
      <c r="C19" s="50" t="str">
        <f>IF(B19&lt;=0.9,"NG, see note below"," ")</f>
        <v xml:space="preserve"> </v>
      </c>
      <c r="E19" s="5" t="s">
        <v>42</v>
      </c>
      <c r="F19" s="29">
        <v>18</v>
      </c>
      <c r="O19" s="10"/>
      <c r="P19" s="11">
        <v>2</v>
      </c>
      <c r="Q19" s="12">
        <f>IF(ROUNDUP((((B16-(4/12))/P21)-ROUNDDOWN(($B$16-(4/12))/$P$21,0))*12,0)=12,ROUNDDOWN(($B$16-(4/12))/$P$21,0)+1,ROUNDDOWN(($B$16-(4/12))/$P$21,0))</f>
        <v>4</v>
      </c>
      <c r="R19" s="13">
        <f>IF(ROUNDUP((((B16-(4/12))/P21)-ROUNDDOWN(($B$16-(4/12))/$P$21,0))*12,0)=12,0,ROUNDUP((((B16-(4/12))/P21)-ROUNDDOWN(($B$16-(4/12))/$P$21,0))*12,0))</f>
        <v>10</v>
      </c>
      <c r="S19" s="14"/>
      <c r="T19" s="11"/>
      <c r="U19" s="16"/>
      <c r="V19" s="17"/>
      <c r="W19" s="16"/>
      <c r="X19" s="17"/>
      <c r="Y19" s="16"/>
      <c r="Z19" s="17"/>
      <c r="AA19" s="16"/>
      <c r="AB19" s="17"/>
      <c r="AC19" s="18"/>
      <c r="AD19" s="26"/>
    </row>
    <row r="20" spans="1:30" ht="12.75" customHeight="1" x14ac:dyDescent="0.2">
      <c r="A20" s="5" t="s">
        <v>64</v>
      </c>
      <c r="B20" s="6">
        <v>2.75</v>
      </c>
      <c r="E20" s="5" t="s">
        <v>43</v>
      </c>
      <c r="F20" s="29">
        <v>18</v>
      </c>
      <c r="O20" s="10" t="s">
        <v>25</v>
      </c>
      <c r="P20" s="11" t="s">
        <v>38</v>
      </c>
      <c r="Q20" s="56" t="s">
        <v>45</v>
      </c>
      <c r="R20" s="57"/>
      <c r="S20" s="14">
        <f>ROUNDUP(0.5*(Q19+R19/12+Q21+R21/12)*P19*P21*1.043,0)</f>
        <v>31</v>
      </c>
      <c r="T20" s="11" t="s">
        <v>46</v>
      </c>
      <c r="U20" s="16"/>
      <c r="V20" s="17"/>
      <c r="W20" s="16"/>
      <c r="X20" s="17"/>
      <c r="Y20" s="16"/>
      <c r="Z20" s="17"/>
      <c r="AA20" s="16"/>
      <c r="AB20" s="17"/>
      <c r="AC20" s="12">
        <f>IF((Q21+R21/12-Q19-R19/12)/(P21-1)=1,1,IF(CEILING(((Q21+(R21/12)-Q19-(R19/12))/(P21-1)-ROUNDDOWN((Q21+(R21/12)-Q19-(R19/12))/(P21-1),0))*12,0.125)=12,ROUNDDOWN(((Q21+(R21/12)-Q19-(R19/12))/(P21-1)),0)+1,ROUNDDOWN(((Q21+(R21/12)-Q19-(R19/12))/(P21-1)),0)))</f>
        <v>4</v>
      </c>
      <c r="AD20" s="23">
        <f>IF((Q21+R21/12-Q19-R19/12)/(P21-1)=1,0,IF(CEILING(((Q21+(R21/12)-Q19-(R19/12))/(P21-1)-ROUNDDOWN((Q21+(R21/12)-Q19-(R19/12))/(P21-1),0))*12,0.125)=12,0,CEILING(((Q21+(R21/12)-Q19-(R19/12))/(P21-1)-ROUNDDOWN((Q21+(R21/12)-Q19-(R19/12))/(P21-1),0))*12,0.125)))</f>
        <v>10</v>
      </c>
    </row>
    <row r="21" spans="1:30" ht="12.75" customHeight="1" x14ac:dyDescent="0.2">
      <c r="A21" s="5" t="s">
        <v>80</v>
      </c>
      <c r="B21" s="39">
        <v>30</v>
      </c>
      <c r="E21" s="5" t="s">
        <v>44</v>
      </c>
      <c r="F21" s="30">
        <f>F18</f>
        <v>18</v>
      </c>
      <c r="G21" s="1" t="s">
        <v>61</v>
      </c>
      <c r="O21" s="10"/>
      <c r="P21" s="25">
        <f>ROUNDUP((B13-B14-(2/12))/(18/12),0)</f>
        <v>2</v>
      </c>
      <c r="Q21" s="12">
        <f>Q18</f>
        <v>9</v>
      </c>
      <c r="R21" s="13">
        <f>R18</f>
        <v>7.9999999999999929</v>
      </c>
      <c r="S21" s="14"/>
      <c r="T21" s="11"/>
      <c r="U21" s="16"/>
      <c r="V21" s="17"/>
      <c r="W21" s="16"/>
      <c r="X21" s="17"/>
      <c r="Y21" s="16"/>
      <c r="Z21" s="17"/>
      <c r="AA21" s="16"/>
      <c r="AB21" s="17"/>
      <c r="AC21" s="18"/>
      <c r="AD21" s="19"/>
    </row>
    <row r="22" spans="1:30" ht="12.75" customHeight="1" x14ac:dyDescent="0.2">
      <c r="A22" s="63" t="str">
        <f>IF(B19&lt;=0.9,"The rebar shown cannot be fabricated with this wall thickness. Change dimension or investigate alternative reinfocing shapes."," ")</f>
        <v xml:space="preserve"> </v>
      </c>
      <c r="B22" s="63"/>
      <c r="C22" s="63"/>
      <c r="D22" s="63"/>
      <c r="O22" s="10" t="s">
        <v>26</v>
      </c>
      <c r="P22" s="11">
        <f>0.5*(P18+P19*P21)</f>
        <v>5</v>
      </c>
      <c r="Q22" s="12">
        <f>IF(ROUNDUP(((U22*12+V22+W22*12+X22+AA22*12+AB22-1.875)/12-ROUNDDOWN((U22*12+V22+W22*12+X22+AA22*12+AB22-1.875)/12,0))*12,0)=12,ROUNDDOWN((U22*12+V22+W22*12+X22+AA22*12+AB22-1.875)/12,0)+1,ROUNDDOWN((U22*12+V22+W22*12+X22+AA22*12+AB22-1.875)/12,0))</f>
        <v>3</v>
      </c>
      <c r="R22" s="13">
        <f>IF(ROUNDUP(((U22*12+V22+W22*12+X22+AA22*12+AB22-1.875)/12-ROUNDDOWN((U22*12+V22+W22*12+X22+AA22*12+AB22-1.875)/12,0))*12,0)=12,0,ROUNDUP(((U22*12+V22+W22*12+X22+AA22*12+AB22-1.875)/12-ROUNDDOWN((U22*12+V22+W22*12+X22+AA22*12+AB22-1.875)/12,0))*12,0))</f>
        <v>10</v>
      </c>
      <c r="S22" s="14">
        <f>ROUNDUP((Q22+R22/12)*P22*1.043,0)</f>
        <v>20</v>
      </c>
      <c r="T22" s="11">
        <v>2</v>
      </c>
      <c r="U22" s="12">
        <f>IF((B19-(5/12)-ROUNDDOWN(B19-(5/12),0))*12=12,ROUNDDOWN(B19-(5/12),0)+1,ROUNDDOWN(B19-(5/12),0))</f>
        <v>0</v>
      </c>
      <c r="V22" s="13">
        <f>IF((B19-(5/12)-ROUNDDOWN(B19-(5/12),0))*12=12,0,(B19-(5/12)-ROUNDDOWN(B19-(5/12),0))*12)</f>
        <v>6.9999999999999991</v>
      </c>
      <c r="W22" s="12">
        <f>IF(CEILING(($B$19*TAN(RADIANS(22.5+B21/4))-(3/12)-ROUNDDOWN($B$19*TAN(RADIANS(22.5+B21/4))-(3/12),0))*12,0.25)=12,ROUNDDOWN($B$19*TAN(RADIANS(22.5+B21/4))-(3/12),0)+1,ROUNDDOWN($B$19*TAN(RADIANS(22.5+B21/4))-(3/12),0))</f>
        <v>0</v>
      </c>
      <c r="X22" s="31">
        <f>IF(CEILING(($B$19*TAN(RADIANS(22.5+B21/4))-(3/12)-ROUNDDOWN($B$19*TAN(RADIANS(22.5+B21/4))-(3/12),0))*12,0.25)=12,0,CEILING(($B$19*TAN(RADIANS(22.5+B21/4))-(3/12)-ROUNDDOWN($B$19*TAN(RADIANS(22.5+B21/4))-(3/12),0))*12,0.25))</f>
        <v>4</v>
      </c>
      <c r="Y22" s="12">
        <f>IF(CEILING(((AA22+(AB22/12))*SIN(RADIANS(45+B21/2))-ROUNDDOWN((AA22+(AB22/12))*SIN(RADIANS(45+B21/2)),0))*12,0.25)=12,ROUNDDOWN((AA22+(AB22/12))*SIN(RADIANS(45+B21/2)),0)+1,ROUNDDOWN((AA22+(AB22/12))*SIN(RADIANS(45+B21/2)),0))</f>
        <v>2</v>
      </c>
      <c r="Z22" s="31">
        <f>IF(CEILING(((AA22+(AB22/12))*SIN(RADIANS(45+B21/2))-ROUNDDOWN((AA22+(AB22/12))*SIN(RADIANS(45+B21/2)),0))*12,0.25)=12,0,CEILING(((AA22+(AB22/12))*SIN(RADIANS(45+B21/2))-ROUNDDOWN((AA22+(AB22/12))*SIN(RADIANS(45+B21/2)),0))*12,0.25))</f>
        <v>7.25</v>
      </c>
      <c r="AA22" s="12">
        <f>IF(CEILING(($B$19*TAN(RADIANS(22.5+B21/4))+(29/12)-ROUNDDOWN($B$19*TAN(RADIANS(22.5+B21/4))+(29/12),0))*12,0.25)=12,ROUNDDOWN($B$19*TAN(RADIANS(22.5+B21/4))+(29/12),0)+1,ROUNDDOWN($B$19*TAN(RADIANS(22.5+B21/4))+(29/12),0))</f>
        <v>3</v>
      </c>
      <c r="AB22" s="31">
        <f>IF(CEILING(($B$19*TAN(RADIANS(22.5+B21/4))+(29/12)-ROUNDDOWN($B$19*TAN(RADIANS(22.5+B21/4))+(29/12),0))*12,0.25)=12,0,CEILING(($B$19*TAN(RADIANS(22.5+B21/4))+(29/12)-ROUNDDOWN($B$19*TAN(RADIANS(22.5+B21/4))+(29/12),0))*12,0.25))</f>
        <v>0</v>
      </c>
      <c r="AC22" s="18"/>
      <c r="AD22" s="19"/>
    </row>
    <row r="23" spans="1:30" ht="12.75" customHeight="1" x14ac:dyDescent="0.2">
      <c r="A23" s="63"/>
      <c r="B23" s="63"/>
      <c r="C23" s="63"/>
      <c r="D23" s="63"/>
      <c r="E23" s="51"/>
      <c r="O23" s="10" t="s">
        <v>27</v>
      </c>
      <c r="P23" s="11">
        <v>2</v>
      </c>
      <c r="Q23" s="12">
        <f>IF(ROUNDUP((($U$23*12+$V$23+SQRT(($W$23*12+$X$23)^2+($Y$23*12+$Z$23)^2)-0.375)/12-ROUNDDOWN(($U$23*12+$V$23+SQRT(($W$23*12+$X$23)^2+($Y$23*12+$Z$23)^2)-0.375)/12,0))*12,0)=12,ROUNDDOWN(($U$23*12+$V$23+SQRT(($W$23*12+$X$23)^2+($Y$23*12+$Z$23)^2)-0.375)/12,0)+1,ROUNDDOWN(($U$23*12+$V$23+SQRT(($W$23*12+$X$23)^2+($Y$23*12+$Z$23)^2)-0.375)/12,0))</f>
        <v>12</v>
      </c>
      <c r="R23" s="13">
        <f>IF(ROUNDUP((($U$23*12+$V$23+SQRT(($W$23*12+$X$23)^2+($Y$23*12+$Z$23)^2)-0.375)/12-ROUNDDOWN(($U$23*12+$V$23+SQRT(($W$23*12+$X$23)^2+($Y$23*12+$Z$23)^2)-0.375)/12,0))*12,0)=12,0,ROUNDUP((($U$23*12+$V$23+SQRT(($W$23*12+$X$23)^2+($Y$23*12+$Z$23)^2)-0.375)/12-ROUNDDOWN(($U$23*12+$V$23+SQRT(($W$23*12+$X$23)^2+($Y$23*12+$Z$23)^2)-0.375)/12,0))*12,0))</f>
        <v>4</v>
      </c>
      <c r="S23" s="14">
        <f>ROUNDUP((Q23+R23/12)*P23*1.043,0)</f>
        <v>26</v>
      </c>
      <c r="T23" s="11">
        <v>3</v>
      </c>
      <c r="U23" s="12">
        <v>2</v>
      </c>
      <c r="V23" s="13">
        <v>5</v>
      </c>
      <c r="W23" s="12">
        <f>IF((B13-B14-(2/12)-ROUNDDOWN(B13-B14-(2/12),0))*12=12,ROUNDDOWN(B13-B14-(2/12),0)+1,ROUNDDOWN(B13-B14-(2/12),0))</f>
        <v>2</v>
      </c>
      <c r="X23" s="13">
        <f>IF((B13-B14-(2/12)-ROUNDDOWN(B13-B14-(2/12),0))*12=12,0,(B13-B14-(2/12)-ROUNDDOWN(B13-B14-(2/12),0))*12)</f>
        <v>4.0000000000000018</v>
      </c>
      <c r="Y23" s="12">
        <f>Q18</f>
        <v>9</v>
      </c>
      <c r="Z23" s="13">
        <f>R18</f>
        <v>7.9999999999999929</v>
      </c>
      <c r="AA23" s="12"/>
      <c r="AB23" s="13"/>
      <c r="AC23" s="18"/>
      <c r="AD23" s="19"/>
    </row>
    <row r="24" spans="1:30" ht="12.75" customHeight="1" x14ac:dyDescent="0.2">
      <c r="A24" s="63"/>
      <c r="B24" s="63"/>
      <c r="C24" s="63"/>
      <c r="D24" s="63"/>
      <c r="E24" s="51"/>
      <c r="O24" s="10" t="s">
        <v>28</v>
      </c>
      <c r="P24" s="11">
        <v>1</v>
      </c>
      <c r="Q24" s="12">
        <f>IF(ROUNDUP((($U$24*12+$V$24+2*($W$24*12+$X$24)+3-1.875)/12-ROUNDDOWN(($U$24*12+$V$24+2*($W$24*12+$X$24)+3-1.875)/12,0))*12,0)=12,ROUNDDOWN(($U$24*12+$V$24+2*($W$24*12+$X$24)+3-1.875)/12,0)+1,ROUNDDOWN(($U$24*12+$V$24+2*($W$24*12+$X$24)+3-1.875)/12,0))</f>
        <v>1</v>
      </c>
      <c r="R24" s="13">
        <f>IF(ROUNDUP((($U$24*12+$V$24+2*($W$24*12+$X$24)+3-1.875)/12-ROUNDDOWN(($U$24*12+$V$24+2*($W$24*12+$X$24)+3-1.875)/12,0))*12,0)=12,0,ROUNDUP((($U$24*12+$V$24+2*($W$24*12+$X$24)+3-1.875)/12-ROUNDDOWN(($U$24*12+$V$24+2*($W$24*12+$X$24)+3-1.875)/12,0))*12,0))</f>
        <v>5</v>
      </c>
      <c r="S24" s="14">
        <f>ROUNDUP((Q24+R24/12)*P24*1.043,0)</f>
        <v>2</v>
      </c>
      <c r="T24" s="11">
        <v>8</v>
      </c>
      <c r="U24" s="12">
        <f>U22</f>
        <v>0</v>
      </c>
      <c r="V24" s="13">
        <f>V22</f>
        <v>6.9999999999999991</v>
      </c>
      <c r="W24" s="12">
        <f>W22</f>
        <v>0</v>
      </c>
      <c r="X24" s="31">
        <f>X22</f>
        <v>4</v>
      </c>
      <c r="Y24" s="12"/>
      <c r="Z24" s="31"/>
      <c r="AA24" s="12"/>
      <c r="AB24" s="31"/>
      <c r="AC24" s="18"/>
      <c r="AD24" s="19"/>
    </row>
    <row r="25" spans="1:30" ht="12.75" customHeight="1" x14ac:dyDescent="0.2">
      <c r="A25" s="51"/>
      <c r="B25" s="51"/>
      <c r="C25" s="51"/>
      <c r="D25" s="51"/>
      <c r="E25" s="51"/>
      <c r="O25" s="10"/>
      <c r="P25" s="11">
        <v>1</v>
      </c>
      <c r="Q25" s="12">
        <f>IF((B15-(2/12)-ROUNDDOWN(B15-(2/12),0))*12=12,ROUNDDOWN(B15-(2/12),0)+1,ROUNDDOWN(B15-(2/12),0))</f>
        <v>3</v>
      </c>
      <c r="R25" s="13">
        <f>IF((B15-(2/12)-ROUNDDOWN(B15-(2/12),0))*12=12,0,(B15-(2/12)-ROUNDDOWN(B15-(2/12),0))*12)</f>
        <v>4.0000000000000018</v>
      </c>
      <c r="S25" s="11"/>
      <c r="T25" s="11"/>
      <c r="U25" s="18"/>
      <c r="V25" s="22"/>
      <c r="W25" s="18"/>
      <c r="X25" s="22"/>
      <c r="Y25" s="18"/>
      <c r="Z25" s="22"/>
      <c r="AA25" s="18"/>
      <c r="AB25" s="22"/>
      <c r="AC25" s="18"/>
      <c r="AD25" s="19"/>
    </row>
    <row r="26" spans="1:30" ht="12.75" customHeight="1" x14ac:dyDescent="0.2">
      <c r="O26" s="10" t="s">
        <v>55</v>
      </c>
      <c r="P26" s="11" t="s">
        <v>38</v>
      </c>
      <c r="Q26" s="56" t="s">
        <v>45</v>
      </c>
      <c r="R26" s="57"/>
      <c r="S26" s="14">
        <f>ROUNDUP(0.5*(Q25+R25/12+Q27+R27/12)*P25*P27*1.043,0)</f>
        <v>21</v>
      </c>
      <c r="T26" s="11" t="s">
        <v>46</v>
      </c>
      <c r="U26" s="18"/>
      <c r="V26" s="22"/>
      <c r="W26" s="18"/>
      <c r="X26" s="22"/>
      <c r="Y26" s="18"/>
      <c r="Z26" s="22"/>
      <c r="AA26" s="18"/>
      <c r="AB26" s="22"/>
      <c r="AC26" s="12">
        <f>IF((Q27+R27/12-Q25-R25/12)/(P27-1)=1,1,IF(CEILING(((Q27+(R27/12)-Q25-(R25/12))/(P27-1)-ROUNDDOWN((Q27+(R27/12)-Q25-(R25/12))/(P27-1),0))*12,0.125)=12,ROUNDDOWN(((Q27+(R27/12)-Q25-(R25/12))/(P27-1)),0)+1,ROUNDDOWN(((Q27+(R27/12)-Q25-(R25/12))/(P27-1)),0)))</f>
        <v>1</v>
      </c>
      <c r="AD26" s="23">
        <f>IF((Q27+R27/12-Q25-R25/12)/(P27-1)=1,0,IF(CEILING(((Q27+(R27/12)-Q25-(R25/12))/(P27-1)-ROUNDDOWN((Q27+(R27/12)-Q25-(R25/12))/(P27-1),0))*12,0.125)=12,0,CEILING(((Q27+(R27/12)-Q25-(R25/12))/(P27-1)-ROUNDDOWN((Q27+(R27/12)-Q25-(R25/12))/(P27-1),0))*12,0.125)))</f>
        <v>0</v>
      </c>
    </row>
    <row r="27" spans="1:30" ht="12.75" customHeight="1" x14ac:dyDescent="0.2">
      <c r="O27" s="10"/>
      <c r="P27" s="25">
        <f>ROUNDUP(((B17-(4/12))/(18/12))+1,0)</f>
        <v>4</v>
      </c>
      <c r="Q27" s="12">
        <f>Q8</f>
        <v>6</v>
      </c>
      <c r="R27" s="13">
        <f>R8</f>
        <v>3.9999999999999964</v>
      </c>
      <c r="S27" s="11"/>
      <c r="T27" s="11"/>
      <c r="U27" s="18"/>
      <c r="V27" s="22"/>
      <c r="W27" s="18"/>
      <c r="X27" s="22"/>
      <c r="Y27" s="18"/>
      <c r="Z27" s="22"/>
      <c r="AA27" s="18"/>
      <c r="AB27" s="22"/>
      <c r="AC27" s="18"/>
      <c r="AD27" s="26"/>
    </row>
    <row r="28" spans="1:30" ht="12.75" customHeight="1" x14ac:dyDescent="0.2">
      <c r="O28" s="10" t="s">
        <v>56</v>
      </c>
      <c r="P28" s="11">
        <f>ROUNDUP((((B15-(4/12))/(18/12))),0)*2</f>
        <v>6</v>
      </c>
      <c r="Q28" s="12">
        <f>IF((B17-(4/12)-ROUNDDOWN(B17-(4/12),0))*12=12,ROUNDDOWN(B17-(4/12),0)+1,ROUNDDOWN(B17-(4/12),0))</f>
        <v>3</v>
      </c>
      <c r="R28" s="13">
        <f>IF((B17-(4/12)-ROUNDDOWN(B17-(4/12),0))*12=12,0,(B17-(4/12)-ROUNDDOWN(B17-(4/12),0))*12)</f>
        <v>7.9999999999999982</v>
      </c>
      <c r="S28" s="14">
        <f>ROUNDUP((Q28+R28/12)*P28*1.043,0)</f>
        <v>23</v>
      </c>
      <c r="T28" s="11" t="s">
        <v>46</v>
      </c>
      <c r="U28" s="18"/>
      <c r="V28" s="22"/>
      <c r="W28" s="18"/>
      <c r="X28" s="22"/>
      <c r="Y28" s="18"/>
      <c r="Z28" s="22"/>
      <c r="AA28" s="18"/>
      <c r="AB28" s="22"/>
      <c r="AC28" s="18"/>
      <c r="AD28" s="26"/>
    </row>
    <row r="29" spans="1:30" ht="12.75" customHeight="1" x14ac:dyDescent="0.2">
      <c r="O29" s="10"/>
      <c r="P29" s="11">
        <f>IF(P31=0,0,2)</f>
        <v>2</v>
      </c>
      <c r="Q29" s="12">
        <f>IF(P31=0,0,IF(ROUNDUP((((B17-(4/12))/P31)-ROUNDDOWN((B17-(4/12))/$P$31,0))*12,0)=12,ROUNDDOWN((B17-(4/12))/$P$31,0)+1,ROUNDDOWN((B17-(4/12))/$P$31,0)))</f>
        <v>1</v>
      </c>
      <c r="R29" s="13">
        <f>IF(P31=0,0,IF(ROUNDUP((((B17-(4/12))/P31)-ROUNDDOWN(($B$17-(4/12))/$P$31,0))*12,0)=12,0,ROUNDUP((((B17-(4/12))/P31)-ROUNDDOWN(($B$17-(4/12))/$P$31,0))*12,0)))</f>
        <v>10</v>
      </c>
      <c r="S29" s="11"/>
      <c r="T29" s="11"/>
      <c r="U29" s="18"/>
      <c r="V29" s="22"/>
      <c r="W29" s="18"/>
      <c r="X29" s="22"/>
      <c r="Y29" s="18"/>
      <c r="Z29" s="22"/>
      <c r="AA29" s="18"/>
      <c r="AB29" s="22"/>
      <c r="AC29" s="18"/>
      <c r="AD29" s="26"/>
    </row>
    <row r="30" spans="1:30" ht="12.75" customHeight="1" x14ac:dyDescent="0.2">
      <c r="O30" s="10" t="s">
        <v>57</v>
      </c>
      <c r="P30" s="11" t="s">
        <v>38</v>
      </c>
      <c r="Q30" s="56" t="s">
        <v>45</v>
      </c>
      <c r="R30" s="57"/>
      <c r="S30" s="14">
        <f>IF(P31=0,0,ROUNDUP(0.5*(Q29+R29/12+Q31+R31/12)*P29*P31*1.043,0))</f>
        <v>12</v>
      </c>
      <c r="T30" s="11" t="s">
        <v>46</v>
      </c>
      <c r="U30" s="18"/>
      <c r="V30" s="22"/>
      <c r="W30" s="18"/>
      <c r="X30" s="22"/>
      <c r="Y30" s="18"/>
      <c r="Z30" s="22"/>
      <c r="AA30" s="18"/>
      <c r="AB30" s="22"/>
      <c r="AC30" s="12">
        <f>IF((Q31+R31/12-Q29-R29/12)/(P31-1)=1,1,IF(CEILING(((Q31+(R31/12)-Q29-(R29/12))/(P31-1)-ROUNDDOWN((Q31+(R31/12)-Q29-(R29/12))/(P31-1),0))*12,0.125)=12,ROUNDDOWN(((Q31+(R31/12)-Q29-(R29/12))/(P31-1)),0)+1,ROUNDDOWN(((Q31+(R31/12)-Q29-(R29/12))/(P31-1)),0)))</f>
        <v>1</v>
      </c>
      <c r="AD30" s="23">
        <f>IF((Q31+R31/12-Q29-R29/12)/(P31-1)=1,0,IF(CEILING(((Q31+(R31/12)-Q29-(R29/12))/(P31-1)-ROUNDDOWN((Q31+(R31/12)-Q29-(R29/12))/(P31-1),0))*12,0.125)=12,0,CEILING(((Q31+(R31/12)-Q29-(R29/12))/(P31-1)-ROUNDDOWN((Q31+(R31/12)-Q29-(R29/12))/(P31-1),0))*12,0.125)))</f>
        <v>10</v>
      </c>
    </row>
    <row r="31" spans="1:30" ht="12.75" customHeight="1" x14ac:dyDescent="0.2">
      <c r="O31" s="10"/>
      <c r="P31" s="25">
        <f>IF(B13=B15,0,ROUNDUP((B13-B15-(2/12))/(18/12),0))</f>
        <v>2</v>
      </c>
      <c r="Q31" s="12">
        <f>IF(P31=0,0,Q28)</f>
        <v>3</v>
      </c>
      <c r="R31" s="13">
        <f>IF(P31=0,0,R28)</f>
        <v>7.9999999999999982</v>
      </c>
      <c r="S31" s="11"/>
      <c r="T31" s="11"/>
      <c r="U31" s="18"/>
      <c r="V31" s="22"/>
      <c r="W31" s="18"/>
      <c r="X31" s="22"/>
      <c r="Y31" s="18"/>
      <c r="Z31" s="22"/>
      <c r="AA31" s="18"/>
      <c r="AB31" s="22"/>
      <c r="AC31" s="18"/>
      <c r="AD31" s="26"/>
    </row>
    <row r="32" spans="1:30" ht="12.75" customHeight="1" x14ac:dyDescent="0.2">
      <c r="O32" s="10" t="s">
        <v>58</v>
      </c>
      <c r="P32" s="11">
        <v>2</v>
      </c>
      <c r="Q32" s="12">
        <f>IF(ROUNDUP((($U$32*12+$V$32+SQRT(($W$32*12+$X$32)^2+($Y$32*12+$Z$32)^2)-0.375)/12-ROUNDDOWN(($U$32*12+$V$32+SQRT(($W$32*12+$X$32)^2+($Y$32*12+$Z$32)^2)-0.375)/12,0))*12,0)=12,ROUNDDOWN(($U$32*12+$V$32+SQRT(($W$32*12+$X$32)^2+($Y$32*12+$Z$32)^2)-0.375)/12,0)+1,ROUNDDOWN(($U$32*12+$V$32+SQRT(($W$32*12+$X$32)^2+($Y$32*12+$Z$32)^2)-0.375)/12,0))</f>
        <v>7</v>
      </c>
      <c r="R32" s="13">
        <f>IF(ROUNDUP((($U$32*12+$V$32+SQRT(($W$32*12+$X$32)^2+($Y$32*12+$Z$32)^2)-0.375)/12-ROUNDDOWN(($U$32*12+$V$32+SQRT(($W$32*12+$X$32)^2+($Y$32*12+$Z$32)^2)-0.375)/12,0))*12,0)=12,0,ROUNDUP((($U$32*12+$V$32+SQRT(($W$32*12+$X$32)^2+($Y$32*12+$Z$32)^2)-0.375)/12-ROUNDDOWN(($U$32*12+$V$32+SQRT(($W$32*12+$X$32)^2+($Y$32*12+$Z$32)^2)-0.375)/12,0))*12,0))</f>
        <v>1</v>
      </c>
      <c r="S32" s="14">
        <f>ROUNDUP((Q32+R32/12)*P32*1.043,0)</f>
        <v>15</v>
      </c>
      <c r="T32" s="11">
        <v>3</v>
      </c>
      <c r="U32" s="12">
        <f>IF(P31=0,Q28,2)</f>
        <v>2</v>
      </c>
      <c r="V32" s="13">
        <f>IF(P31=0,R28,5)</f>
        <v>5</v>
      </c>
      <c r="W32" s="12">
        <f>IF(B13=B15,0,IF((B13-B15-(2/12)-ROUNDDOWN(B13-B15-(2/12),0))*12=12,ROUNDDOWN(B13-B15-(2/12),0)+1,ROUNDDOWN(B13-B15-(2/12),0)))</f>
        <v>2</v>
      </c>
      <c r="X32" s="13">
        <f>IF(W32=0,0,IF((B13-B15-(2/12)-ROUNDDOWN(B13-B15-(2/12),0))*12=12,0,(B13-B15-(2/12)-ROUNDDOWN(B13-B15-(2/12),0))*12))</f>
        <v>10.000000000000002</v>
      </c>
      <c r="Y32" s="12">
        <f>Q31</f>
        <v>3</v>
      </c>
      <c r="Z32" s="13">
        <f>R31</f>
        <v>7.9999999999999982</v>
      </c>
      <c r="AA32" s="18"/>
      <c r="AB32" s="22"/>
      <c r="AC32" s="18"/>
      <c r="AD32" s="26"/>
    </row>
    <row r="33" spans="15:30" ht="12.75" customHeight="1" x14ac:dyDescent="0.2">
      <c r="O33" s="40"/>
      <c r="P33" s="41"/>
      <c r="Q33" s="18"/>
      <c r="R33" s="22"/>
      <c r="S33" s="11"/>
      <c r="T33" s="11"/>
      <c r="U33" s="18"/>
      <c r="V33" s="22"/>
      <c r="W33" s="18"/>
      <c r="X33" s="22"/>
      <c r="Y33" s="18"/>
      <c r="Z33" s="22"/>
      <c r="AA33" s="18"/>
      <c r="AB33" s="22"/>
      <c r="AC33" s="18"/>
      <c r="AD33" s="19"/>
    </row>
    <row r="34" spans="15:30" ht="12.75" customHeight="1" x14ac:dyDescent="0.2">
      <c r="O34" s="95" t="s">
        <v>30</v>
      </c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7"/>
    </row>
    <row r="35" spans="15:30" ht="12.75" customHeight="1" x14ac:dyDescent="0.2">
      <c r="O35" s="10" t="str">
        <f>IF(F10=5,"V501",IF(F10=6, "V601", "V701"))</f>
        <v>V501</v>
      </c>
      <c r="P35" s="11">
        <f>ROUNDUP(((($B$16-$B$18*TAN(RADIANS(22.5+B21/4))-(2/12))/(F17/12))+1),0)+ROUNDUP((($B$5+2*(IF(C8&gt;0,C8,B8)/12)+B17-B18*TAN(RADIANS(22.5+B21/4))-(2/12))/(F17/12))+1,0)</f>
        <v>18</v>
      </c>
      <c r="Q35" s="12">
        <f>IF((F5-(4/12)-ROUNDDOWN(F5-(4/12),0))*12=12,ROUNDDOWN(F5-(4/12),0)+1,ROUNDDOWN(F5-(4/12),0))</f>
        <v>4</v>
      </c>
      <c r="R35" s="13">
        <f>ROUNDUP(IF((F5-(4/12)-ROUNDDOWN(F5-(4/12),0))*12=12,0,(F5-(4/12)-ROUNDDOWN(F5-(4/12),0))*12),0)</f>
        <v>5</v>
      </c>
      <c r="S35" s="14">
        <f>ROUNDUP(IF(F10=5,(Q35+R35/12)*P35*1.043, IF(F10=6, (Q35+R35/12)*P35*1.502, (Q35+R35/12)*P35*2.044)),0)</f>
        <v>83</v>
      </c>
      <c r="T35" s="11" t="s">
        <v>46</v>
      </c>
      <c r="U35" s="18"/>
      <c r="V35" s="22"/>
      <c r="W35" s="18"/>
      <c r="X35" s="22"/>
      <c r="Y35" s="18"/>
      <c r="Z35" s="22"/>
      <c r="AA35" s="18"/>
      <c r="AB35" s="22"/>
      <c r="AC35" s="18"/>
      <c r="AD35" s="19"/>
    </row>
    <row r="36" spans="15:30" ht="12.75" customHeight="1" x14ac:dyDescent="0.2">
      <c r="O36" s="10" t="str">
        <f>IF(F11=5,"W501",IF(F11=6, "W601", "W701"))</f>
        <v>W501</v>
      </c>
      <c r="P36" s="11">
        <f>ROUNDUP(((($B$16-$B$18*TAN(RADIANS(22.5+B21/4))-(2/12))/(F18/12))+1),0)+ROUNDUP((($B$5+2*(IF(C8&gt;0,C8,B8)/12)+B17-B18*TAN(RADIANS(22.5+B21/4))-(2/12))/(F18/12))+1,0)</f>
        <v>18</v>
      </c>
      <c r="Q36" s="12">
        <f>Q35</f>
        <v>4</v>
      </c>
      <c r="R36" s="13">
        <f>R35</f>
        <v>5</v>
      </c>
      <c r="S36" s="14">
        <f>ROUNDUP(IF(F11=5,(Q36+R36/12)*P36*1.043, IF(F11=6, (Q36+R36/12)*P36*1.502, (Q36+R36/12)*P36*2.044)),0)</f>
        <v>83</v>
      </c>
      <c r="T36" s="11" t="s">
        <v>46</v>
      </c>
      <c r="U36" s="18"/>
      <c r="V36" s="22"/>
      <c r="W36" s="18"/>
      <c r="X36" s="22"/>
      <c r="Y36" s="18"/>
      <c r="Z36" s="22"/>
      <c r="AA36" s="18"/>
      <c r="AB36" s="22"/>
      <c r="AC36" s="18"/>
      <c r="AD36" s="19"/>
    </row>
    <row r="37" spans="15:30" ht="12.75" customHeight="1" x14ac:dyDescent="0.2">
      <c r="O37" s="10" t="str">
        <f>IF(F14=5,"Z501",IF(F14=6, "Z601", "Z701"))</f>
        <v>Z501</v>
      </c>
      <c r="P37" s="11">
        <f>P36+2</f>
        <v>20</v>
      </c>
      <c r="Q37" s="12">
        <f>IF(F14=5,IF(ROUNDUP((2*($U$37+$V$37/12)+$W$37+$X$37/12-(3/12)-ROUNDDOWN(2*($U$37+$V$37/12)+$W$37+$X$37/12-(3/12),0))*12,0)=12,ROUNDDOWN(2*($U$37+$V$37/12)+$W$37+$X$37/12-(3/12),0)+1,ROUNDDOWN(2*($U$37+$V$37/12)+$W$37+$X$37/12-(3/12),0)),IF(ROUNDUP((2*($U$37+$V$37/12)+$W$37+$X$37/12-(4/12)-ROUNDDOWN(2*($U$37+$V$37/12)+$W$37+$X$37/12-(4/12),0))*12,0)=12,ROUNDDOWN(2*($U$37+$V$37/12)+$W$37+$X$37/12-(4/12),0)+1,ROUNDDOWN(2*($U$37+$V$37/12)+$W$37+$X$37/12-(4/12),0)))</f>
        <v>8</v>
      </c>
      <c r="R37" s="13">
        <f>IF(F14=5,IF(ROUNDUP((2*($U$37+$V$37/12)+$W$37+$X$37/12-(3/12)-ROUNDDOWN(2*($U$37+$V$37/12)+$W$37+$X$37/12-(3/12),0))*12,0)=12,0,ROUNDUP((2*($U$37+$V$37/12)+$W$37+$X$37/12-(3/12)-ROUNDDOWN(2*($U$37+$V$37/12)+$W$37+$X$37/12-(3/12),0))*12,0)),IF(ROUNDUP((2*($U$37+$V$37/12)+$W$37+$X$37/12-(4/12)-ROUNDDOWN(2*($U$37+$V$37/12)+$W$37+$X$37/12-(4/12),0))*12,0)=12,0,ROUNDUP((2*($U$37+$V$37/12)+$W$37+$X$37/12-(4/12)-ROUNDDOWN(2*($U$37+$V$37/12)+$W$37+$X$37/12-(4/12),0))*12,0)))</f>
        <v>2</v>
      </c>
      <c r="S37" s="14">
        <f>ROUNDUP(IF(F14=5,(Q37+R37/12)*P37*1.043, IF(F14=6, (Q37+R37/12)*P37*1.502, (Q37+R37/12)*P37*2.044)),0)</f>
        <v>171</v>
      </c>
      <c r="T37" s="11">
        <v>5</v>
      </c>
      <c r="U37" s="12">
        <f>IF(($F$6+$F$7-(5/12)-ROUNDDOWN($F$6+$F$7-(5/12),0))*12=12,ROUNDDOWN($F$6+$F$7-(5/12),0)+1,ROUNDDOWN($F$6+$F$7-(5/12),0))</f>
        <v>3</v>
      </c>
      <c r="V37" s="13">
        <f>IF(($F$6+$F$7-(5/12)-ROUNDDOWN($F$6+$F$7-(5/12),0))*12=12,0,($F$6+$F$7-(5/12)-ROUNDDOWN($F$6+$F$7-(5/12),0))*12)</f>
        <v>7.0000000000000018</v>
      </c>
      <c r="W37" s="12">
        <v>1</v>
      </c>
      <c r="X37" s="13">
        <v>2</v>
      </c>
      <c r="Y37" s="18"/>
      <c r="Z37" s="22"/>
      <c r="AA37" s="18"/>
      <c r="AB37" s="22"/>
      <c r="AC37" s="18"/>
      <c r="AD37" s="19"/>
    </row>
    <row r="38" spans="15:30" ht="12.75" customHeight="1" x14ac:dyDescent="0.2">
      <c r="O38" s="10"/>
      <c r="P38" s="11"/>
      <c r="Q38" s="18"/>
      <c r="R38" s="22"/>
      <c r="S38" s="14"/>
      <c r="T38" s="11"/>
      <c r="U38" s="18"/>
      <c r="V38" s="22"/>
      <c r="W38" s="18"/>
      <c r="X38" s="22"/>
      <c r="Y38" s="18"/>
      <c r="Z38" s="22"/>
      <c r="AA38" s="18"/>
      <c r="AB38" s="22"/>
      <c r="AC38" s="18"/>
      <c r="AD38" s="19"/>
    </row>
    <row r="39" spans="15:30" ht="12.75" customHeight="1" x14ac:dyDescent="0.2">
      <c r="O39" s="10" t="s">
        <v>31</v>
      </c>
      <c r="P39" s="11">
        <v>6</v>
      </c>
      <c r="Q39" s="12">
        <f>IF(ROUNDUP((0.9*($Q$35+$R$35/12)-ROUNDDOWN(0.9*($Q$35+$R$35/12),0))*12,0)=12,ROUNDDOWN(0.9*($Q$35+$R$35/12),0)+1,ROUNDDOWN(0.9*($Q$35+$R$35/12),0))</f>
        <v>4</v>
      </c>
      <c r="R39" s="13">
        <f>IF(ROUNDUP((0.9*($Q$35+$R$35/12)-ROUNDDOWN(0.9*($Q$35+$R$35/12),0))*12,0)=12,0,ROUNDUP((0.9*($Q$35+$R$35/12)-ROUNDDOWN(0.9*($Q$35+$R$35/12),0))*12,0))</f>
        <v>0</v>
      </c>
      <c r="S39" s="14">
        <f>ROUNDUP((Q39+R39/12)*P39*1.043,0)</f>
        <v>26</v>
      </c>
      <c r="T39" s="11" t="s">
        <v>46</v>
      </c>
      <c r="U39" s="18"/>
      <c r="V39" s="22"/>
      <c r="W39" s="18"/>
      <c r="X39" s="22"/>
      <c r="Y39" s="18"/>
      <c r="Z39" s="22"/>
      <c r="AA39" s="18"/>
      <c r="AB39" s="22"/>
      <c r="AC39" s="18"/>
      <c r="AD39" s="19"/>
    </row>
    <row r="40" spans="15:30" ht="12.75" customHeight="1" x14ac:dyDescent="0.2">
      <c r="O40" s="10" t="s">
        <v>32</v>
      </c>
      <c r="P40" s="11">
        <v>8</v>
      </c>
      <c r="Q40" s="12">
        <f>IF(ROUNDUP((0.7*($Q$35+$R$35/12)-ROUNDDOWN(0.7*($Q$35+$R$35/12),0))*12,0)=12,ROUNDDOWN(0.7*($Q$35+$R$35/12),0)+1,ROUNDDOWN(0.7*($Q$35+$R$35/12),0))</f>
        <v>3</v>
      </c>
      <c r="R40" s="13">
        <f>IF(ROUNDUP((0.7*($Q$35+$R$35/12)-ROUNDDOWN(0.7*($Q$35+$R$35/12),0))*12,0)=12,0,ROUNDUP((0.7*($Q$35+$R$35/12)-ROUNDDOWN(0.7*($Q$35+$R$35/12),0))*12,0))</f>
        <v>2</v>
      </c>
      <c r="S40" s="14">
        <f>ROUNDUP((Q40+R40/12)*P40*1.043,0)</f>
        <v>27</v>
      </c>
      <c r="T40" s="11" t="s">
        <v>46</v>
      </c>
      <c r="U40" s="18"/>
      <c r="V40" s="22"/>
      <c r="W40" s="18"/>
      <c r="X40" s="22"/>
      <c r="Y40" s="18"/>
      <c r="Z40" s="22"/>
      <c r="AA40" s="18"/>
      <c r="AB40" s="22"/>
      <c r="AC40" s="18"/>
      <c r="AD40" s="19"/>
    </row>
    <row r="41" spans="15:30" ht="12.75" customHeight="1" x14ac:dyDescent="0.2">
      <c r="O41" s="10" t="s">
        <v>33</v>
      </c>
      <c r="P41" s="11">
        <f>ROUNDUP((B5+2*(IF(C8&gt;0,C8,B8)/12)-(4/12))/(18/12)+1,0)</f>
        <v>9</v>
      </c>
      <c r="Q41" s="12">
        <f>IF(ROUNDUP(($U$41+($V$41/12)+$W$41+($X$41/12)-(1.5/12)-ROUNDDOWN($U$41+($V$41/12)+$W$41+($X$41/12)-(1.5/12),0))*12,0)=12,ROUNDDOWN($U$41+($V$41/12)+$W$41+($X$41/12)-(1.5/12),0)+1,ROUNDDOWN($U$41+($V$41/12)+$W$41+($X$41/12)-(1.5/12),0))</f>
        <v>3</v>
      </c>
      <c r="R41" s="13">
        <f>IF(ROUNDUP(($U$41+($V$41/12)+$W$41+($X$41/12)-(1.5/12)-ROUNDDOWN($U$41+($V$41/12)+$W$41+($X$41/12)-(1.5/12),0))*12,0)=12,0,ROUNDUP(($U$41+($V$41/12)+$W$41+($X$41/12)-(1.5/12)-ROUNDDOWN($U$41+($V$41/12)+$W$41+($X$41/12)-(1.5/12),0))*12,0))</f>
        <v>7</v>
      </c>
      <c r="S41" s="14">
        <f>ROUNDUP((Q41+R41/12)*P41*1.043,0)</f>
        <v>34</v>
      </c>
      <c r="T41" s="11">
        <v>1</v>
      </c>
      <c r="U41" s="12">
        <f>IF(ROUNDUP((B18-ROUNDDOWN(B18,0))*12,0)=12,ROUNDDOWN(B18,0)+1,ROUNDDOWN(B18,0))</f>
        <v>1</v>
      </c>
      <c r="V41" s="13">
        <f>IF(ROUNDUP((B18-ROUNDDOWN(B18,0))*12,0)=12,0,ROUNDUP((B18-ROUNDDOWN(B18,0))*12,0))</f>
        <v>8</v>
      </c>
      <c r="W41" s="12">
        <f>IF(ROUNDUP(((IF(C10&gt;0,C10,B10)/12)+$F$6-(4/12)-ROUNDDOWN((IF(C10&gt;0,C10,B10)/12)+$F$6-(4/12),0))*12,0)=12,ROUNDDOWN((IF(C10&gt;0,C10,B10)/12)+$F$6-(4/12),0)+1,ROUNDDOWN((IF(C10&gt;0,C10,B10)/12)+$F$6-(4/12),0))</f>
        <v>2</v>
      </c>
      <c r="X41" s="13">
        <f>IF(ROUNDUP(((IF(C10&gt;0,C10,B10)/12)+$F$6-(4/12)-ROUNDDOWN((IF(C10&gt;0,C10,B10)/12)+$F$6-(4/12),0))*12,0)=12,0,ROUNDUP(((IF(C10&gt;0,C10,B10)/12)+$F$6-(4/12)-ROUNDDOWN((IF(C10&gt;0,C10,B10)/12)+$F$6-(4/12),0))*12,0))</f>
        <v>0</v>
      </c>
      <c r="Y41" s="18"/>
      <c r="Z41" s="22"/>
      <c r="AA41" s="18"/>
      <c r="AB41" s="22"/>
      <c r="AC41" s="18"/>
      <c r="AD41" s="19"/>
    </row>
    <row r="42" spans="15:30" ht="12.75" customHeight="1" x14ac:dyDescent="0.2">
      <c r="O42" s="10" t="s">
        <v>34</v>
      </c>
      <c r="P42" s="11">
        <v>2</v>
      </c>
      <c r="Q42" s="12">
        <f>IF(ROUNDUP(($B$5+2*(IF(C8&gt;0,C8,B8)/12)-(4/12)-ROUNDDOWN($B$5+2*(IF(C8&gt;0,C8,B8)/12)-(4/12),0))*12,0)=12,ROUNDDOWN($B$5+2*(IF(C8&gt;0,C8,B8)/12)-(4/12),0)+1,ROUNDDOWN($B$5+2*(IF(C8&gt;0,C8,B8)/12)-(4/12),0))</f>
        <v>11</v>
      </c>
      <c r="R42" s="13">
        <f>IF(ROUNDUP(($B$5+2*(IF(C8&gt;0,C8,B8)/12)-(4/12)-ROUNDDOWN($B$5+2*(IF(C8&gt;0,C8,B8)/12)-(4/12),0))*12,0)=12,0,ROUNDUP(($B$5+2*(IF(C8&gt;0,C8,B8)/12)-(4/12)-ROUNDDOWN($B$5+2*(IF(C8&gt;0,C8,B8)/12)-(4/12),0))*12,0))</f>
        <v>4</v>
      </c>
      <c r="S42" s="14">
        <f>ROUNDUP((Q42+R42/12)*P42*1.043,0)</f>
        <v>24</v>
      </c>
      <c r="T42" s="11" t="s">
        <v>46</v>
      </c>
      <c r="U42" s="18"/>
      <c r="V42" s="22"/>
      <c r="W42" s="18"/>
      <c r="X42" s="22"/>
      <c r="Y42" s="18"/>
      <c r="Z42" s="22"/>
      <c r="AA42" s="18"/>
      <c r="AB42" s="22"/>
      <c r="AC42" s="18"/>
      <c r="AD42" s="19"/>
    </row>
    <row r="43" spans="15:30" ht="12.75" customHeight="1" x14ac:dyDescent="0.2">
      <c r="O43" s="10"/>
      <c r="P43" s="11">
        <v>2</v>
      </c>
      <c r="Q43" s="12">
        <f>IF(ROUNDUP(((U43+V43/12)+SQRT(($W$44+$X$44/12)^2+($Y$44+$Z$44/12)^2)-(0.375/12)-ROUNDDOWN((U43+V43/12)+SQRT(($W$44+$X$44/12)^2+($Y$44+$Z$44/12)^2)-(0.375/12),0))*12,0)=12,ROUNDDOWN((U43+V43/12)+SQRT(($W$44+$X$44/12)^2+($Y$44+$Z$44/12)^2)-(0.375/12),0)+1,ROUNDDOWN((U43+V43/12)+SQRT(($W$44+$X$44/12)^2+($Y$44+$Z$44/12)^2)-(0.375/12),0))</f>
        <v>17</v>
      </c>
      <c r="R43" s="13">
        <f>IF(ROUNDUP(((U43+V43/12)+SQRT(($W$44+$X$44/12)^2+($Y$44+$Z$44/12)^2)-(0.375/12)-ROUNDDOWN((U43+V43/12)+SQRT(($W$44+$X$44/12)^2+($Y$44+$Z$44/12)^2)-(0.375/12),0))*12,0)=12,0,ROUNDUP(((U43+V43/12)+SQRT(($W$44+$X$44/12)^2+($Y$44+$Z$44/12)^2)-(0.375/12)-ROUNDDOWN((U43+V43/12)+SQRT(($W$44+$X$44/12)^2+($Y$44+$Z$44/12)^2)-(0.375/12),0))*12,0))</f>
        <v>7</v>
      </c>
      <c r="S43" s="14"/>
      <c r="T43" s="11"/>
      <c r="U43" s="12">
        <f>IF(CEILING((B5+2*(IF(C8&gt;0,C8,B8)/12)+B17-(B18-(2/12))*TAN(RADIANS(22.5+B21/4))-(2/12)-ROUNDDOWN(B5+2*(IF(C8&gt;0,C8,B8)/12)+B17-(B18-(2/12))*TAN(RADIANS(22.5+B21/4))-(2/12),0))*12,0.25)=12,ROUNDDOWN(B5+2*(IF(C8&gt;0,C8,B8)/12)+B17-(B18-(2/12))*TAN(RADIANS(22.5+B21/4))-(2/12),0)+1,ROUNDDOWN(B5+2*(IF(C8&gt;0,C8,B8)/12)+B17-(B18-(2/12))*TAN(RADIANS(22.5+B21/4))-(2/12),0))</f>
        <v>14</v>
      </c>
      <c r="V43" s="31">
        <f>IF(CEILING((B5+2*(IF(C8&gt;0,C8,B8)/12)+B17-(B18-(2/12))*TAN(RADIANS(22.5+B21/4))-(2/12)-ROUNDDOWN(B5+2*(IF(C8&gt;0,C8,B8)/12)+B17-(B18-(2/12))*TAN(RADIANS(22.5+B21/4))-(2/12),0))*12,0.25)=12,0,CEILING((B5+2*(IF(C8&gt;0,C8,B8)/12)+B17-(B18-(2/12))*TAN(RADIANS(22.5+B21/4))-(2/12)-ROUNDDOWN(B5+2*(IF(C8&gt;0,C8,B8)/12)+B17-(B18-(2/12))*TAN(RADIANS(22.5+B21/4))-(2/12),0))*12,0.25))</f>
        <v>7.75</v>
      </c>
      <c r="W43" s="18"/>
      <c r="X43" s="22"/>
      <c r="Y43" s="16"/>
      <c r="Z43" s="17"/>
      <c r="AA43" s="18"/>
      <c r="AB43" s="22"/>
      <c r="AC43" s="18"/>
      <c r="AD43" s="19"/>
    </row>
    <row r="44" spans="15:30" ht="12.75" customHeight="1" x14ac:dyDescent="0.2">
      <c r="O44" s="10" t="s">
        <v>81</v>
      </c>
      <c r="P44" s="11" t="s">
        <v>38</v>
      </c>
      <c r="Q44" s="56" t="s">
        <v>45</v>
      </c>
      <c r="R44" s="57"/>
      <c r="S44" s="14">
        <f>ROUNDUP(0.5*(Q43+R43/12+Q45+R45/12)*P43*P45*1.502,0)</f>
        <v>227</v>
      </c>
      <c r="T44" s="11">
        <v>3</v>
      </c>
      <c r="U44" s="98" t="s">
        <v>45</v>
      </c>
      <c r="V44" s="99"/>
      <c r="W44" s="12">
        <f>IF(CEILING(((2+(11/12))*SIN(RADIANS(45-$B$21/2))-ROUNDDOWN((2+(11/12))*SIN(RADIANS(45-$B$21/2)),0))*12,0.25)=12,ROUNDDOWN((2+(11/12))*SIN(RADIANS(45-$B$21/2)),0)+1,ROUNDDOWN((2+(11/12))*SIN(RADIANS(45-$B$21/2)),0))</f>
        <v>1</v>
      </c>
      <c r="X44" s="31">
        <f>IF(CEILING(((2+(11/12))*SIN(RADIANS(45-$B$21/2))-ROUNDDOWN((2+(11/12))*SIN(RADIANS(45-$B$21/2)),0))*12,0.25)=12,0,CEILING(((2+(11/12))*SIN(RADIANS(45-$B$21/2))-ROUNDDOWN((2+(11/12))*SIN(RADIANS(45-$B$21/2)),0))*12,0.25))</f>
        <v>5.5</v>
      </c>
      <c r="Y44" s="12">
        <f>IF(CEILING(((2+(11/12))*COS(RADIANS(45-$B$21/2))-ROUNDDOWN((2+(11/12))*COS(RADIANS(45-$B$21/2)),0))*12,0.25)=12,ROUNDDOWN((2+(11/12))*COS(RADIANS(45-$B$21/2)),0)+1,ROUNDDOWN((2+(11/12))*COS(RADIANS(45-$B$21/2)),0))</f>
        <v>2</v>
      </c>
      <c r="Z44" s="31">
        <f>IF(CEILING(((2+(11/12))*COS(RADIANS(45-$B$21/2))-ROUNDDOWN((2+(11/12))*COS(RADIANS(45-$B$21/2)),0))*12,0.25)=12,0,CEILING(((2+(11/12))*COS(RADIANS(45-$B$21/2))-ROUNDDOWN((2+(11/12))*COS(RADIANS(45-$B$21/2)),0))*12,0.25))</f>
        <v>6.5</v>
      </c>
      <c r="AA44" s="18"/>
      <c r="AB44" s="22"/>
      <c r="AC44" s="12">
        <f>IF((Q45+R45/12-Q43-R43/12)/(P45-1)=1,1,IF(CEILING(((Q45+(R45/12)-Q43-(R43/12))/(P45-1)-ROUNDDOWN((Q45+(R45/12)-Q43-(R43/12))/(P45-1),0))*12,0.125)=12,ROUNDDOWN(((Q45+(R45/12)-Q43-(R43/12))/(P45-1)),0)+1,ROUNDDOWN(((Q45+(R45/12)-Q43-(R43/12))/(P45-1)),0)))</f>
        <v>0</v>
      </c>
      <c r="AD44" s="23">
        <f>IF((Q45+R45/12-Q43-R43/12)/(P45-1)=1,0,IF(CEILING(((Q45+(R45/12)-Q43-(R43/12))/(P45-1)-ROUNDDOWN((Q45+(R45/12)-Q43-(R43/12))/(P45-1),0))*12,0.125)=12,0,CEILING(((Q45+(R45/12)-Q43-(R43/12))/(P45-1)-ROUNDDOWN((Q45+(R45/12)-Q43-(R43/12))/(P45-1),0))*12,0.125)))</f>
        <v>10.375</v>
      </c>
    </row>
    <row r="45" spans="15:30" ht="12.75" customHeight="1" x14ac:dyDescent="0.2">
      <c r="O45" s="10"/>
      <c r="P45" s="25">
        <f>ROUNDUP((F5-4/12)/(18/12)+1,0)</f>
        <v>4</v>
      </c>
      <c r="Q45" s="12">
        <f>IF(ROUNDUP(((U45+V45/12)+SQRT(($W$44+$X$44/12)^2+($Y$44+$Z$44/12)^2)-(0.375/12)-ROUNDDOWN((U45+V45/12)+SQRT(($W$44+$X$44/12)^2+($Y$44+$Z$44/12)^2)-(0.375/12),0))*12,0)=12,ROUNDDOWN((U45+V45/12)+SQRT(($W$44+$X$44/12)^2+($Y$44+$Z$44/12)^2)-(0.375/12),0)+1,ROUNDDOWN((U45+V45/12)+SQRT(($W$44+$X$44/12)^2+($Y$44+$Z$44/12)^2)-(0.375/12),0))</f>
        <v>20</v>
      </c>
      <c r="R45" s="13">
        <f>IF(ROUNDUP(((U45+V45/12)+SQRT(($W$44+$X$44/12)^2+($Y$44+$Z$44/12)^2)-(0.375/12)-ROUNDDOWN((U45+V45/12)+SQRT(($W$44+$X$44/12)^2+($Y$44+$Z$44/12)^2)-(0.375/12),0))*12,0)=12,0,ROUNDUP(((U45+V45/12)+SQRT(($W$44+$X$44/12)^2+($Y$44+$Z$44/12)^2)-(0.375/12)-ROUNDDOWN((U45+V45/12)+SQRT(($W$44+$X$44/12)^2+($Y$44+$Z$44/12)^2)-(0.375/12),0))*12,0))</f>
        <v>2</v>
      </c>
      <c r="S45" s="14"/>
      <c r="T45" s="11"/>
      <c r="U45" s="12">
        <f>IF(CEILING((B5+2*(IF(C8&gt;0,C8,B8)/12)+B17+(F5-B18-(2/12))*TAN(RADIANS(22.5+B21/4))-(2/12)-ROUNDDOWN(B5+2*(IF(C8&gt;0,C8,B8)/12)+B17+(F5-B18-(2/12))*TAN(RADIANS(22.5+B21/4))-(2/12),0))*12,0.25)=12,ROUNDDOWN(B5+2*(IF(C8&gt;0,C8,B8)/12)+B17+(F5-B18-(2/12))*TAN(RADIANS(22.5+B21/4))-(2/12),0)+1,ROUNDDOWN(B5+2*(IF(C8&gt;0,C8,B8)/12)+B17+(F5-B18-(2/12))*TAN(RADIANS(22.5+B21/4))-(2/12),0))</f>
        <v>17</v>
      </c>
      <c r="V45" s="31">
        <f>IF(CEILING((B5+2*(IF(C8&gt;0,C8,B8)/12)+B17+(F5-B18-(2/12))*TAN(RADIANS(22.5+B21/4))-(2/12)-ROUNDDOWN(B5+2*(IF(C8&gt;0,C8,B8)/12)+B17+(F5-B18-(2/12))*TAN(RADIANS(22.5+B21/4))-(2/12),0))*12,0.25)=12,0,CEILING((B5+2*(IF(C8&gt;0,C8,B8)/12)+B17+(F5-B18-(2/12))*TAN(RADIANS(22.5+B21/4))-(2/12)-ROUNDDOWN(B5+2*(IF(C8&gt;0,C8,B8)/12)+B17+(F5-B18-(2/12))*TAN(RADIANS(22.5+B21/4))-(2/12),0))*12,0.25))</f>
        <v>2.25</v>
      </c>
      <c r="W45" s="18"/>
      <c r="X45" s="22"/>
      <c r="Y45" s="16"/>
      <c r="Z45" s="17"/>
      <c r="AA45" s="18"/>
      <c r="AB45" s="22"/>
      <c r="AC45" s="18"/>
      <c r="AD45" s="19"/>
    </row>
    <row r="46" spans="15:30" ht="12.75" customHeight="1" x14ac:dyDescent="0.2">
      <c r="O46" s="10"/>
      <c r="P46" s="11">
        <v>2</v>
      </c>
      <c r="Q46" s="12">
        <f>IF(ROUNDUP(($B$16-$B$18*TAN(RADIANS(22.5+B21/4))-(2/12)-ROUNDDOWN($B$16-$B$18*TAN(RADIANS(22.5+B21/4))-(2/12),0))*12,0)=12,ROUNDDOWN($B$16-$B$18*TAN(RADIANS(22.5+B21/4))-(2/12),0)+1,ROUNDDOWN($B$16-$B$18*TAN(RADIANS(22.5+B21/4))-(2/12),0))</f>
        <v>8</v>
      </c>
      <c r="R46" s="13">
        <f>IF(ROUNDUP(($B$16-$B$18*TAN(RADIANS(22.5+B21/4))-(2/12)-ROUNDDOWN($B$16-$B$18*TAN(RADIANS(22.5+B21/4))-(2/12),0))*12,0)=12,0,ROUNDUP(($B$16-$B$18*TAN(RADIANS(22.5+B21/4))-(2/12)-ROUNDDOWN($B$16-$B$18*TAN(RADIANS(22.5+B21/4))-(2/12),0))*12,0))</f>
        <v>11</v>
      </c>
      <c r="S46" s="14"/>
      <c r="T46" s="11"/>
      <c r="U46" s="18"/>
      <c r="V46" s="22"/>
      <c r="W46" s="18"/>
      <c r="X46" s="22"/>
      <c r="Y46" s="18"/>
      <c r="Z46" s="22"/>
      <c r="AA46" s="18"/>
      <c r="AB46" s="22"/>
      <c r="AC46" s="18"/>
      <c r="AD46" s="19"/>
    </row>
    <row r="47" spans="15:30" ht="12.75" customHeight="1" x14ac:dyDescent="0.2">
      <c r="O47" s="10" t="s">
        <v>82</v>
      </c>
      <c r="P47" s="11" t="s">
        <v>38</v>
      </c>
      <c r="Q47" s="56" t="s">
        <v>45</v>
      </c>
      <c r="R47" s="57"/>
      <c r="S47" s="14">
        <f>ROUNDUP(0.5*(Q46+R46/12+Q48+R48/12)*P46*P48*1.502,0)</f>
        <v>123</v>
      </c>
      <c r="T47" s="11" t="s">
        <v>46</v>
      </c>
      <c r="U47" s="18"/>
      <c r="V47" s="22"/>
      <c r="W47" s="18"/>
      <c r="X47" s="22"/>
      <c r="Y47" s="18"/>
      <c r="Z47" s="22"/>
      <c r="AA47" s="18"/>
      <c r="AB47" s="22"/>
      <c r="AC47" s="12">
        <f>IF((Q48+R48/12-Q46-R46/12)/(P48-1)=1,1,IF(CEILING(((Q48+(R48/12)-Q46-(R46/12))/(P48-1)-ROUNDDOWN((Q48+(R48/12)-Q46-(R46/12))/(P48-1),0))*12,0.125)=12,ROUNDDOWN(((Q48+(R48/12)-Q46-(R46/12))/(P48-1)),0)+1,ROUNDDOWN(((Q48+(R48/12)-Q46-(R46/12))/(P48-1)),0)))</f>
        <v>0</v>
      </c>
      <c r="AD47" s="23">
        <f>IF((Q48+R48/12-Q46-R46/12)/(P48-1)=1,0,IF(CEILING(((Q48+(R48/12)-Q46-(R46/12))/(P48-1)-ROUNDDOWN((Q48+(R48/12)-Q46-(R46/12))/(P48-1),0))*12,0.125)=12,0,CEILING(((Q48+(R48/12)-Q46-(R46/12))/(P48-1)-ROUNDDOWN((Q48+(R48/12)-Q46-(R46/12))/(P48-1),0))*12,0.125)))</f>
        <v>10.375</v>
      </c>
    </row>
    <row r="48" spans="15:30" ht="12.75" customHeight="1" x14ac:dyDescent="0.2">
      <c r="O48" s="10"/>
      <c r="P48" s="25">
        <f>P45</f>
        <v>4</v>
      </c>
      <c r="Q48" s="12">
        <f>IF(ROUNDUP(($B$16-$B$18*TAN(RADIANS(22.5+B21/4))+$F$5*TAN(RADIANS(22.5+B21/4))-(4/12)-ROUNDDOWN($B$16-$B$18*TAN(RADIANS(22.5+B21/4))+$F$5*TAN(RADIANS(22.5+B21/4))-(4/12),0))*12,0)=12,ROUNDDOWN($B$16-$B$18*TAN(RADIANS(22.5+B21/4))+$F$5*TAN(RADIANS(22.5+B21/4))-(4/12),0)+1,ROUNDDOWN($B$16-$B$18*TAN(RADIANS(22.5+B21/4))+$F$5*TAN(RADIANS(22.5+B21/4))-(4/12),0))</f>
        <v>11</v>
      </c>
      <c r="R48" s="13">
        <f>IF(ROUNDUP(($B$16-$B$18*TAN(RADIANS(22.5+B21/4))+$F$5*TAN(RADIANS(22.5+B21/4))-(4/12)-ROUNDDOWN($B$16-$B$18*TAN(RADIANS(22.5+B21/4))+$F$5*TAN(RADIANS(22.5+B21/4))-(4/12),0))*12,0)=12,0,ROUNDUP(($B$16-$B$18*TAN(RADIANS(22.5+B21/4))+$F$5*TAN(RADIANS(22.5+B21/4))-(4/12)-ROUNDDOWN($B$16-$B$18*TAN(RADIANS(22.5+B21/4))+$F$5*TAN(RADIANS(22.5+B21/4))-(4/12),0))*12,0))</f>
        <v>6</v>
      </c>
      <c r="S48" s="14"/>
      <c r="T48" s="11"/>
      <c r="U48" s="18"/>
      <c r="V48" s="22"/>
      <c r="W48" s="18"/>
      <c r="X48" s="22"/>
      <c r="Y48" s="18"/>
      <c r="Z48" s="22"/>
      <c r="AA48" s="18"/>
      <c r="AB48" s="22"/>
      <c r="AC48" s="18"/>
      <c r="AD48" s="19"/>
    </row>
    <row r="49" spans="15:30" ht="12.75" customHeight="1" x14ac:dyDescent="0.2">
      <c r="O49" s="10"/>
      <c r="P49" s="11">
        <v>1</v>
      </c>
      <c r="Q49" s="12">
        <f>IF(ROUNDUP(((U49+V49/12)+SQRT(($W$50+$X$50/12)^2+($Y$50+$Z$50/12)^2)-(0.375/12)-ROUNDDOWN((U49+V49/12)+SQRT(($W$50+$X$50/12)^2+($Y$50+$Z$50/12)^2)-(0.375/12),0))*12,0)=12,ROUNDDOWN((U49+V49/12)+SQRT(($W$50+$X$50/12)^2+($Y$50+$Z$50/12)^2)-(0.375/12),0)+1,ROUNDDOWN((U49+V49/12)+SQRT(($W$50+$X$50/12)^2+($Y$50+$Z$50/12)^2)-(0.375/12),0))</f>
        <v>17</v>
      </c>
      <c r="R49" s="13">
        <f>IF(ROUNDUP(((U49+V49/12)+SQRT(($W$44+$X$44/12)^2+($Y$44+$Z$44/12)^2)-(0.375/12)-ROUNDDOWN((U49+V49/12)+SQRT(($W$44+$X$44/12)^2+($Y$44+$Z$44/12)^2)-(0.375/12),0))*12,0)=12,0,ROUNDUP(((U49+V49/12)+SQRT(($W$44+$X$44/12)^2+($Y$44+$Z$44/12)^2)-(0.375/12)-ROUNDDOWN((U49+V49/12)+SQRT(($W$44+$X$44/12)^2+($Y$44+$Z$44/12)^2)-(0.375/12),0))*12,0))</f>
        <v>7</v>
      </c>
      <c r="S49" s="14"/>
      <c r="T49" s="11"/>
      <c r="U49" s="12">
        <f>U43</f>
        <v>14</v>
      </c>
      <c r="V49" s="31">
        <f>V43</f>
        <v>7.75</v>
      </c>
      <c r="W49" s="18"/>
      <c r="X49" s="22"/>
      <c r="Y49" s="12"/>
      <c r="Z49" s="31"/>
      <c r="AA49" s="18"/>
      <c r="AB49" s="22"/>
      <c r="AC49" s="18"/>
      <c r="AD49" s="19"/>
    </row>
    <row r="50" spans="15:30" ht="12.75" customHeight="1" x14ac:dyDescent="0.2">
      <c r="O50" s="10" t="s">
        <v>83</v>
      </c>
      <c r="P50" s="11" t="s">
        <v>38</v>
      </c>
      <c r="Q50" s="56" t="s">
        <v>45</v>
      </c>
      <c r="R50" s="57"/>
      <c r="S50" s="14">
        <f>ROUNDUP(0.5*(Q49+R49/12+Q51+R51/12)*P49*P51*1.502,0)</f>
        <v>54</v>
      </c>
      <c r="T50" s="11">
        <v>3</v>
      </c>
      <c r="U50" s="98" t="s">
        <v>45</v>
      </c>
      <c r="V50" s="99"/>
      <c r="W50" s="12">
        <f>W44</f>
        <v>1</v>
      </c>
      <c r="X50" s="31">
        <f>X44</f>
        <v>5.5</v>
      </c>
      <c r="Y50" s="12">
        <f>Y44</f>
        <v>2</v>
      </c>
      <c r="Z50" s="31">
        <f>Z44</f>
        <v>6.5</v>
      </c>
      <c r="AA50" s="18"/>
      <c r="AB50" s="22"/>
      <c r="AC50" s="12">
        <f>IF((Q51+R51/12-Q49-R49/12)/(P51-1)=1,1,IF(CEILING(((Q51+(R51/12)-Q49-(R49/12))/(P51-1)-ROUNDDOWN((Q51+(R51/12)-Q49-(R49/12))/(P51-1),0))*12,0.125)=12,ROUNDDOWN(((Q51+(R51/12)-Q49-(R49/12))/(P51-1)),0)+1,ROUNDDOWN(((Q51+(R51/12)-Q49-(R49/12))/(P51-1)),0)))</f>
        <v>0</v>
      </c>
      <c r="AD50" s="23">
        <f>IF((Q51+R51/12-Q49-R49/12)/(P51-1)=1,0,IF(CEILING(((Q51+(R51/12)-Q49-(R49/12))/(P51-1)-ROUNDDOWN((Q51+(R51/12)-Q49-(R49/12))/(P51-1),0))*12,0.125)=12,0,CEILING(((Q51+(R51/12)-Q49-(R49/12))/(P51-1)-ROUNDDOWN((Q51+(R51/12)-Q49-(R49/12))/(P51-1),0))*12,0.125)))</f>
        <v>8</v>
      </c>
    </row>
    <row r="51" spans="15:30" ht="12.75" customHeight="1" x14ac:dyDescent="0.2">
      <c r="O51" s="10"/>
      <c r="P51" s="11">
        <v>2</v>
      </c>
      <c r="Q51" s="12">
        <f>IF(ROUNDUP(((U51+V51/12)+SQRT(($W$50+$X$50/12)^2+($Y$50+$Z$50/12)^2)-(0.375/12)-ROUNDDOWN((U51+V51/12)+SQRT(($W$50+$X$50/12)^2+($Y$50+$Z$50/12)^2)-(0.375/12),0))*12,0)=12,ROUNDDOWN((U51+V51/12)+SQRT(($W$50+$X$50/12)^2+($Y$50+$Z$50/12)^2)-(0.375/12),0)+1,ROUNDDOWN((U51+V51/12)+SQRT(($W$50+$X$50/12)^2+($Y$50+$Z$50/12)^2)-(0.375/12),0))</f>
        <v>18</v>
      </c>
      <c r="R51" s="13">
        <f>IF(ROUNDUP(((U51+V51/12)+SQRT(($W$44+$X$44/12)^2+($Y$44+$Z$44/12)^2)-(0.375/12)-ROUNDDOWN((U51+V51/12)+SQRT(($W$44+$X$44/12)^2+($Y$44+$Z$44/12)^2)-(0.375/12),0))*12,0)=12,0,ROUNDUP(((U51+V51/12)+SQRT(($W$44+$X$44/12)^2+($Y$44+$Z$44/12)^2)-(0.375/12)-ROUNDDOWN((U51+V51/12)+SQRT(($W$44+$X$44/12)^2+($Y$44+$Z$44/12)^2)-(0.375/12),0))*12,0))</f>
        <v>3</v>
      </c>
      <c r="S51" s="14"/>
      <c r="T51" s="11"/>
      <c r="U51" s="12">
        <f>IF(CEILING((B5+2*(IF(C8&gt;0,C8,B8)/12)+B17-B18*TAN(RADIANS(22.5+B21/4))-(2/12)+(1+(4/12))*TAN(RADIANS(22.5+B21/4))-ROUNDDOWN(B5+2*(IF(C8&gt;0,C8,B8)/12)+B17-B18*TAN(RADIANS(22.5+B21/4))-(2/12)+(1+(4/12))*TAN(RADIANS(22.5+B21/4)),0))*12,0.25)=12,ROUNDDOWN(B5+2*(IF(C8&gt;0,C8,B8)/12)+B17-B18*TAN(RADIANS(22.5+B21/4))-(2/12)+(1+(4/12))*TAN(RADIANS(22.5+B21/4)),0)+1,ROUNDDOWN(B5+2*(IF(C8&gt;0,C8,B8)/12)+B17-B18*TAN(RADIANS(22.5+B21/4))-(2/12)+(1+(4/12))*TAN(RADIANS(22.5+B21/4)),0))</f>
        <v>15</v>
      </c>
      <c r="V51" s="31">
        <f>IF(CEILING((B5+2*(IF(C8&gt;0,C8,B8)/12)+B17-B18*TAN(RADIANS(22.5+B21/4))-(2/12)+(1+(4/12))*TAN(RADIANS(22.5+B21/4))-ROUNDDOWN(B5+2*(IF(C8&gt;0,C8,B8)/12)+B17-B18*TAN(RADIANS(22.5+B21/4))-(2/12)+(1+(4/12))*TAN(RADIANS(22.5+B21/4)),0))*12,0.25)=12,0,CEILING((B5+2*(IF(C8&gt;0,C8,B8)/12)+B17-B18*TAN(RADIANS(22.5+B21/4))-(2/12)+(1+(4/12))*TAN(RADIANS(22.5+B21/4))-ROUNDDOWN(B5+2*(IF(C8&gt;0,C8,B8)/12)+B17-B18*TAN(RADIANS(22.5+B21/4))-(2/12)+(1+(4/12))*TAN(RADIANS(22.5+B21/4)),0))*12,0.25))</f>
        <v>3.75</v>
      </c>
      <c r="W51" s="18"/>
      <c r="X51" s="22"/>
      <c r="Y51" s="12"/>
      <c r="Z51" s="31"/>
      <c r="AA51" s="18"/>
      <c r="AB51" s="22"/>
      <c r="AC51" s="18"/>
      <c r="AD51" s="19"/>
    </row>
    <row r="52" spans="15:30" ht="12.75" customHeight="1" x14ac:dyDescent="0.2">
      <c r="O52" s="10"/>
      <c r="P52" s="11">
        <v>1</v>
      </c>
      <c r="Q52" s="12">
        <f>Q46</f>
        <v>8</v>
      </c>
      <c r="R52" s="13">
        <f>R46</f>
        <v>11</v>
      </c>
      <c r="S52" s="14"/>
      <c r="T52" s="11"/>
      <c r="U52" s="18"/>
      <c r="V52" s="22"/>
      <c r="W52" s="18"/>
      <c r="X52" s="22"/>
      <c r="Y52" s="18"/>
      <c r="Z52" s="22"/>
      <c r="AA52" s="18"/>
      <c r="AB52" s="22"/>
      <c r="AC52" s="18"/>
      <c r="AD52" s="19"/>
    </row>
    <row r="53" spans="15:30" ht="12.75" customHeight="1" x14ac:dyDescent="0.2">
      <c r="O53" s="10" t="s">
        <v>84</v>
      </c>
      <c r="P53" s="11" t="s">
        <v>38</v>
      </c>
      <c r="Q53" s="56" t="s">
        <v>45</v>
      </c>
      <c r="R53" s="57"/>
      <c r="S53" s="14">
        <f>ROUNDUP(0.5*(Q52+R52/12+Q54+R54/12)*P52*P54*1.502,0)</f>
        <v>28</v>
      </c>
      <c r="T53" s="11" t="s">
        <v>46</v>
      </c>
      <c r="U53" s="18"/>
      <c r="V53" s="22"/>
      <c r="W53" s="18"/>
      <c r="X53" s="22"/>
      <c r="Y53" s="18"/>
      <c r="Z53" s="22"/>
      <c r="AA53" s="18"/>
      <c r="AB53" s="22"/>
      <c r="AC53" s="12">
        <f>IF((Q54+R54/12-Q52-R52/12)/(P54-1)=1,1,IF(CEILING(((Q54+(R54/12)-Q52-(R52/12))/(P54-1)-ROUNDDOWN((Q54+(R54/12)-Q52-(R52/12))/(P54-1),0))*12,0.125)=12,ROUNDDOWN(((Q54+(R54/12)-Q52-(R52/12))/(P54-1)),0)+1,ROUNDDOWN(((Q54+(R54/12)-Q52-(R52/12))/(P54-1)),0)))</f>
        <v>0</v>
      </c>
      <c r="AD53" s="23">
        <f>IF((Q54+R54/12-Q52-R52/12)/(P54-1)=1,0,IF(CEILING(((Q54+(R54/12)-Q52-(R52/12))/(P54-1)-ROUNDDOWN((Q54+(R54/12)-Q52-(R52/12))/(P54-1),0))*12,0.125)=12,0,CEILING(((Q54+(R54/12)-Q52-(R52/12))/(P54-1)-ROUNDDOWN((Q54+(R54/12)-Q52-(R52/12))/(P54-1),0))*12,0.125)))</f>
        <v>8.125</v>
      </c>
    </row>
    <row r="54" spans="15:30" ht="12.75" customHeight="1" x14ac:dyDescent="0.2">
      <c r="O54" s="10"/>
      <c r="P54" s="11">
        <v>2</v>
      </c>
      <c r="Q54" s="12">
        <f>IF(ROUNDUP(($B$16-$B$18*TAN(RADIANS(22.5+B21/4))+1.5*TAN(RADIANS(22.5+B21/4))-(4/12)-ROUNDDOWN($B$16-$B$18*TAN(RADIANS(22.5+B21/4))+1.5*TAN(RADIANS(22.5+B21/4))-(4/12),0))*12,0)=12,ROUNDDOWN($B$16-$B$18*TAN(RADIANS(22.5+B21/4))+1.5*TAN(RADIANS(22.5+B21/4))-(4/12),0)+1,ROUNDDOWN($B$16-$B$18*TAN(RADIANS(22.5+B21/4))+1.5*TAN(RADIANS(22.5+B21/4))-(4/12),0))</f>
        <v>9</v>
      </c>
      <c r="R54" s="13">
        <f>IF(ROUNDUP(($B$16-$B$18*TAN(RADIANS(22.5+B21/4))+1.5*TAN(RADIANS(22.5+B21/4))-(4/12)-ROUNDDOWN($B$16-$B$18*TAN(RADIANS(22.5+B21/4))+1.5*TAN(RADIANS(22.5+B21/4))-(4/12),0))*12,0)=12,0,ROUNDUP(($B$16-$B$18*TAN(RADIANS(22.5+B21/4))+1.5*TAN(RADIANS(22.5+B21/4))-(4/12)-ROUNDDOWN($B$16-$B$18*TAN(RADIANS(22.5+B21/4))+1.5*TAN(RADIANS(22.5+B21/4))-(4/12),0))*12,0))</f>
        <v>7</v>
      </c>
      <c r="S54" s="14"/>
      <c r="T54" s="11"/>
      <c r="U54" s="18"/>
      <c r="V54" s="22"/>
      <c r="W54" s="18"/>
      <c r="X54" s="22"/>
      <c r="Y54" s="18"/>
      <c r="Z54" s="22"/>
      <c r="AA54" s="18"/>
      <c r="AB54" s="22"/>
      <c r="AC54" s="18"/>
      <c r="AD54" s="19"/>
    </row>
    <row r="55" spans="15:30" ht="12.75" customHeight="1" x14ac:dyDescent="0.2">
      <c r="O55" s="10"/>
      <c r="P55" s="11"/>
      <c r="Q55" s="18"/>
      <c r="R55" s="22"/>
      <c r="S55" s="14"/>
      <c r="T55" s="11"/>
      <c r="U55" s="18"/>
      <c r="V55" s="22"/>
      <c r="W55" s="18"/>
      <c r="X55" s="22"/>
      <c r="Y55" s="18"/>
      <c r="Z55" s="22"/>
      <c r="AA55" s="18"/>
      <c r="AB55" s="22"/>
      <c r="AC55" s="18"/>
      <c r="AD55" s="19"/>
    </row>
    <row r="56" spans="15:30" ht="12.75" customHeight="1" x14ac:dyDescent="0.2">
      <c r="O56" s="95" t="s">
        <v>50</v>
      </c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7"/>
    </row>
    <row r="57" spans="15:30" ht="12.75" customHeight="1" x14ac:dyDescent="0.2">
      <c r="O57" s="10" t="s">
        <v>35</v>
      </c>
      <c r="P57" s="11">
        <f>ROUNDUP(((B13-B6-(IF(C9&gt;0,C9,B9)/12)-(IF(C10&gt;0,C10,B10)/12)-(4/12))/(18/12))+1,0)*2</f>
        <v>4</v>
      </c>
      <c r="Q57" s="12">
        <f>Q42</f>
        <v>11</v>
      </c>
      <c r="R57" s="13">
        <f>R42</f>
        <v>4</v>
      </c>
      <c r="S57" s="14">
        <f>ROUNDUP((Q57+R57/12)*P57*1.043,0)</f>
        <v>48</v>
      </c>
      <c r="T57" s="11" t="s">
        <v>46</v>
      </c>
      <c r="U57" s="18"/>
      <c r="V57" s="22"/>
      <c r="W57" s="18"/>
      <c r="X57" s="22"/>
      <c r="Y57" s="18"/>
      <c r="Z57" s="22"/>
      <c r="AA57" s="18"/>
      <c r="AB57" s="22"/>
      <c r="AC57" s="18"/>
      <c r="AD57" s="19"/>
    </row>
    <row r="58" spans="15:30" ht="12.75" customHeight="1" x14ac:dyDescent="0.2">
      <c r="O58" s="10" t="s">
        <v>36</v>
      </c>
      <c r="P58" s="11">
        <f>ROUNDUP((B5+2*(IF(C8&gt;0,C8,B8)/12)-(4/12))+1,0)</f>
        <v>13</v>
      </c>
      <c r="Q58" s="12">
        <f>IF(ROUNDUP((2*(U58+(V58/12))+W58+(X58/12)-(3/12)-ROUNDDOWN(2*(U58+(V58/12))+W58+(X58/12)-(3/12),0))*12,0)=12,ROUNDDOWN(2*(U58+(V58/12))+W58+(X58/12)-(3/12),0)+1,ROUNDDOWN(2*(U58+(V58/12))+W58+(X58/12)-(3/12),0))</f>
        <v>1</v>
      </c>
      <c r="R58" s="13">
        <f>IF(ROUNDUP((2*(U58+(V58/12))+W58+(X58/12)-(3/12)-ROUNDDOWN(2*(U58+(V58/12))+W58+(X58/12)-(3/12),0))*12,0)=12,0,ROUNDUP((2*(U58+(V58/12))+W58+(X58/12)-(3/12)-ROUNDDOWN(2*(U58+(V58/12))+W58+(X58/12)-(3/12),0))*12,0))</f>
        <v>5</v>
      </c>
      <c r="S58" s="14">
        <f>ROUNDUP((Q58+R58/12)*P58*1.043,0)</f>
        <v>20</v>
      </c>
      <c r="T58" s="11">
        <v>5</v>
      </c>
      <c r="U58" s="12">
        <f>IF(ROUNDUP(((B13-B6-(IF(C9&gt;0,C9,B9)/12)-(IF(C10&gt;0,C10,B10)/12)-(4/12))-ROUNDDOWN((B13-B6-(IF(C9&gt;0,C9,B9)/12)-(IF(C10&gt;0,C10,B10)/12)-(4/12)),0))*12,0)=12,ROUNDDOWN((B13-B6-(IF(C9&gt;0,C9,B9)/12)-(IF(C10&gt;0,C10,B10)/12)-(4/12)),0)+1,ROUNDDOWN((B13-B6-(IF(C9&gt;0,C9,B9)/12)-(IF(C10&gt;0,C10,B10)/12)-(4/12)),0))</f>
        <v>0</v>
      </c>
      <c r="V58" s="13">
        <f>IF(ROUNDUP(((B13-B6-(IF(C9&gt;0,C9,B9)/12)-(IF(C10&gt;0,C10,B10)/12)-(4/12))-ROUNDDOWN((B13-B6-(IF(C9&gt;0,C9,B9)/12)-(IF(C10&gt;0,C10,B10)/12)-(4/12)),0))*12,0)=12,0,ROUNDUP(((B13-B6-(IF(C9&gt;0,C9,B9)/12)-(IF(C10&gt;0,C10,B10)/12)-(4/12))-ROUNDDOWN((B13-B6-(IF(C9&gt;0,C9,B9)/12)-(IF(C10&gt;0,C10,B10)/12)-(4/12)),0))*12,0))</f>
        <v>6</v>
      </c>
      <c r="W58" s="12">
        <f>IF(ROUNDUP((B19-(4/12)-ROUNDDOWN(B19-(4/12),0))*12,0)=12,ROUNDDOWN(B19-(4/12),0)+1,ROUNDDOWN(B19-(4/12),0))</f>
        <v>0</v>
      </c>
      <c r="X58" s="13">
        <f>IF(ROUNDUP((B19-(4/12)-ROUNDDOWN(B19-(4/12),0))*12,0)=12,0,ROUNDUP((B19-(4/12)-ROUNDDOWN(B19-(4/12),0))*12,0))</f>
        <v>8</v>
      </c>
      <c r="Y58" s="18"/>
      <c r="Z58" s="22"/>
      <c r="AA58" s="18"/>
      <c r="AB58" s="22"/>
      <c r="AC58" s="18"/>
      <c r="AD58" s="19"/>
    </row>
    <row r="59" spans="15:30" ht="12.75" customHeight="1" x14ac:dyDescent="0.2">
      <c r="O59" s="10" t="s">
        <v>37</v>
      </c>
      <c r="P59" s="11">
        <f>P58</f>
        <v>13</v>
      </c>
      <c r="Q59" s="12">
        <f>IF(ROUNDUP((U59+(V59/12)+W59+(X59/12)+Y59+(Z59/12)-(3/12)-ROUNDDOWN(U59+(V59/12)+W59+(X59/12)+Y59+(Z59/12)-(3/12),0))*12,0)=12,ROUNDDOWN(U59+(V59/12)+W59+(X59/12)+Y59+(Z59/12)-(3/12),0)+1,ROUNDDOWN(U59+(V59/12)+W59+(X59/12)+Y59+(Z59/12)-(3/12),0))</f>
        <v>2</v>
      </c>
      <c r="R59" s="13">
        <f>IF(ROUNDUP((U59+(V59/12)+W59+(X59/12)+Y59+(Z59/12)-(3/12)-ROUNDDOWN(U59+(V59/12)+W59+(X59/12)+Y59+(Z59/12)-(3/12),0))*12,0)=12,0,ROUNDUP((U59+(V59/12)+W59+(X59/12)+Y59+(Z59/12)-(3/12)-ROUNDDOWN(U59+(V59/12)+W59+(X59/12)+Y59+(Z59/12)-(3/12),0))*12,0))</f>
        <v>2</v>
      </c>
      <c r="S59" s="14">
        <f>ROUNDUP((Q59+R59/12)*P59*1.043,0)</f>
        <v>30</v>
      </c>
      <c r="T59" s="11">
        <v>7</v>
      </c>
      <c r="U59" s="12">
        <f>U58</f>
        <v>0</v>
      </c>
      <c r="V59" s="13">
        <f>V58</f>
        <v>6</v>
      </c>
      <c r="W59" s="12">
        <f>W58</f>
        <v>0</v>
      </c>
      <c r="X59" s="13">
        <f>X58</f>
        <v>8</v>
      </c>
      <c r="Y59" s="12">
        <f>IF(ROUNDUP(((B13-B6-(IF(C10&gt;0,C10,B10)/12)-(5/12))-ROUNDDOWN((B13-B6-(IF(C10&gt;0,C10,B10)/12)-(5/12)),0))*12,0)=12,ROUNDDOWN((B13-B6-(IF(C10&gt;0,C10,B10)/12)-(5/12)),0)+1,ROUNDDOWN((B13-B6-(IF(C10&gt;0,C10,B10)/12)-(5/12)),0))</f>
        <v>1</v>
      </c>
      <c r="Z59" s="13">
        <f>IF(ROUNDUP(((B13-B6-(IF(C10&gt;0,C10,B10)/12)-(5/12))-ROUNDDOWN((B13-B6-(IF(C10&gt;0,C10,B10)/12)-(5/12)),0))*12,0)=12,0,ROUNDUP(((B13-B6-(IF(C10&gt;0,C10,B10)/12)-(5/12))-ROUNDDOWN((B13-B6-(IF(C10&gt;0,C10,B10)/12)-(5/12)),0))*12,0))</f>
        <v>3</v>
      </c>
      <c r="AA59" s="18"/>
      <c r="AB59" s="22"/>
      <c r="AC59" s="18"/>
      <c r="AD59" s="19"/>
    </row>
    <row r="60" spans="15:30" ht="12.75" customHeight="1" x14ac:dyDescent="0.2">
      <c r="O60" s="10"/>
      <c r="P60" s="11"/>
      <c r="Q60" s="18"/>
      <c r="R60" s="22"/>
      <c r="S60" s="14"/>
      <c r="T60" s="11"/>
      <c r="U60" s="18"/>
      <c r="V60" s="22"/>
      <c r="W60" s="18"/>
      <c r="X60" s="22"/>
      <c r="Y60" s="18"/>
      <c r="Z60" s="22"/>
      <c r="AA60" s="18"/>
      <c r="AB60" s="22"/>
      <c r="AC60" s="18"/>
      <c r="AD60" s="19"/>
    </row>
    <row r="61" spans="15:30" ht="12.75" customHeight="1" thickBot="1" x14ac:dyDescent="0.25">
      <c r="O61" s="32"/>
      <c r="P61" s="33"/>
      <c r="Q61" s="61" t="s">
        <v>51</v>
      </c>
      <c r="R61" s="62"/>
      <c r="S61" s="34">
        <f>SUM(S6:S33)+SUM(S35:S55)+SUM(S57:S60)</f>
        <v>1411.6353333333334</v>
      </c>
      <c r="T61" s="33"/>
      <c r="U61" s="7"/>
      <c r="V61" s="8"/>
      <c r="W61" s="7"/>
      <c r="X61" s="8"/>
      <c r="Y61" s="7"/>
      <c r="Z61" s="8"/>
      <c r="AA61" s="7"/>
      <c r="AB61" s="8"/>
      <c r="AC61" s="7"/>
      <c r="AD61" s="35"/>
    </row>
  </sheetData>
  <mergeCells count="29">
    <mergeCell ref="O34:AD34"/>
    <mergeCell ref="Q26:R26"/>
    <mergeCell ref="Q30:R30"/>
    <mergeCell ref="A22:D24"/>
    <mergeCell ref="O1:AD1"/>
    <mergeCell ref="O2:O4"/>
    <mergeCell ref="P2:P4"/>
    <mergeCell ref="Q2:R4"/>
    <mergeCell ref="S2:S4"/>
    <mergeCell ref="T2:T4"/>
    <mergeCell ref="U2:AB3"/>
    <mergeCell ref="AC2:AD4"/>
    <mergeCell ref="Y4:Z4"/>
    <mergeCell ref="Q61:R61"/>
    <mergeCell ref="O5:AD5"/>
    <mergeCell ref="Q7:R7"/>
    <mergeCell ref="U4:V4"/>
    <mergeCell ref="W4:X4"/>
    <mergeCell ref="O56:AD56"/>
    <mergeCell ref="Q44:R44"/>
    <mergeCell ref="Q47:R47"/>
    <mergeCell ref="Q50:R50"/>
    <mergeCell ref="AA4:AB4"/>
    <mergeCell ref="Q53:R53"/>
    <mergeCell ref="U44:V44"/>
    <mergeCell ref="U50:V50"/>
    <mergeCell ref="Q11:R11"/>
    <mergeCell ref="Q16:R16"/>
    <mergeCell ref="Q20:R20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F3550-96E6-4319-BAE0-AEC149E52238}">
  <dimension ref="A1:AD44"/>
  <sheetViews>
    <sheetView tabSelected="1" zoomScale="110" zoomScaleNormal="110" workbookViewId="0">
      <selection activeCell="O1" sqref="O1:Z27"/>
    </sheetView>
  </sheetViews>
  <sheetFormatPr defaultColWidth="9.140625" defaultRowHeight="12.75" customHeight="1" x14ac:dyDescent="0.2"/>
  <cols>
    <col min="1" max="13" width="9.140625" style="1"/>
    <col min="14" max="14" width="4.140625" style="1" customWidth="1"/>
    <col min="15" max="15" width="7.42578125" style="36" customWidth="1"/>
    <col min="16" max="16" width="9.28515625" style="36" customWidth="1"/>
    <col min="17" max="17" width="6.7109375" style="36" customWidth="1"/>
    <col min="18" max="18" width="8.7109375" style="36" customWidth="1"/>
    <col min="19" max="19" width="9.28515625" style="36" customWidth="1"/>
    <col min="20" max="20" width="5" style="36" customWidth="1"/>
    <col min="21" max="21" width="6.7109375" style="36" customWidth="1"/>
    <col min="22" max="22" width="8.7109375" style="36" customWidth="1"/>
    <col min="23" max="23" width="6.7109375" style="36" customWidth="1"/>
    <col min="24" max="24" width="8.7109375" style="36" customWidth="1"/>
    <col min="25" max="25" width="6.7109375" style="36" customWidth="1"/>
    <col min="26" max="26" width="8.7109375" style="36" customWidth="1"/>
    <col min="27" max="27" width="5" style="36" customWidth="1"/>
    <col min="28" max="28" width="7.5703125" style="36" customWidth="1"/>
    <col min="29" max="29" width="5" style="36" customWidth="1"/>
    <col min="30" max="30" width="7.5703125" style="1" customWidth="1"/>
    <col min="31" max="16384" width="9.140625" style="1"/>
  </cols>
  <sheetData>
    <row r="1" spans="1:30" ht="12.75" customHeight="1" thickBot="1" x14ac:dyDescent="0.25">
      <c r="A1" s="4" t="s">
        <v>59</v>
      </c>
      <c r="M1" s="2" t="s">
        <v>69</v>
      </c>
      <c r="O1" s="53" t="s">
        <v>60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5"/>
      <c r="AA1" s="15"/>
      <c r="AB1" s="15"/>
      <c r="AC1" s="15"/>
      <c r="AD1" s="15"/>
    </row>
    <row r="2" spans="1:30" ht="12.75" customHeight="1" x14ac:dyDescent="0.2">
      <c r="A2" s="3" t="s">
        <v>52</v>
      </c>
      <c r="O2" s="100" t="s">
        <v>16</v>
      </c>
      <c r="P2" s="103" t="s">
        <v>8</v>
      </c>
      <c r="Q2" s="103" t="s">
        <v>9</v>
      </c>
      <c r="R2" s="103"/>
      <c r="S2" s="104" t="s">
        <v>49</v>
      </c>
      <c r="T2" s="107" t="s">
        <v>10</v>
      </c>
      <c r="U2" s="70" t="s">
        <v>66</v>
      </c>
      <c r="V2" s="76"/>
      <c r="W2" s="76"/>
      <c r="X2" s="76"/>
      <c r="Y2" s="76"/>
      <c r="Z2" s="80"/>
      <c r="AD2" s="36"/>
    </row>
    <row r="3" spans="1:30" ht="12.75" customHeight="1" x14ac:dyDescent="0.2">
      <c r="O3" s="101"/>
      <c r="P3" s="96"/>
      <c r="Q3" s="96"/>
      <c r="R3" s="96"/>
      <c r="S3" s="105"/>
      <c r="T3" s="108"/>
      <c r="U3" s="77"/>
      <c r="V3" s="78"/>
      <c r="W3" s="78"/>
      <c r="X3" s="78"/>
      <c r="Y3" s="78"/>
      <c r="Z3" s="87"/>
      <c r="AD3" s="36"/>
    </row>
    <row r="4" spans="1:30" ht="12.75" customHeight="1" thickBot="1" x14ac:dyDescent="0.25">
      <c r="A4" s="4" t="s">
        <v>2</v>
      </c>
      <c r="E4" s="4" t="s">
        <v>1</v>
      </c>
      <c r="O4" s="102"/>
      <c r="P4" s="94"/>
      <c r="Q4" s="94"/>
      <c r="R4" s="94"/>
      <c r="S4" s="106"/>
      <c r="T4" s="109"/>
      <c r="U4" s="94" t="s">
        <v>11</v>
      </c>
      <c r="V4" s="94"/>
      <c r="W4" s="94" t="s">
        <v>12</v>
      </c>
      <c r="X4" s="94"/>
      <c r="Y4" s="94" t="s">
        <v>13</v>
      </c>
      <c r="Z4" s="111"/>
      <c r="AD4" s="36"/>
    </row>
    <row r="5" spans="1:30" ht="12.75" customHeight="1" x14ac:dyDescent="0.2">
      <c r="A5" s="5" t="s">
        <v>3</v>
      </c>
      <c r="B5" s="6">
        <v>9</v>
      </c>
      <c r="E5" s="5" t="s">
        <v>70</v>
      </c>
      <c r="F5" s="6">
        <v>5.25</v>
      </c>
      <c r="O5" s="112" t="s">
        <v>29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4"/>
      <c r="AD5" s="36"/>
    </row>
    <row r="6" spans="1:30" ht="12.75" customHeight="1" x14ac:dyDescent="0.2">
      <c r="A6" s="5" t="s">
        <v>4</v>
      </c>
      <c r="B6" s="6">
        <v>4</v>
      </c>
      <c r="E6" s="5" t="s">
        <v>71</v>
      </c>
      <c r="F6" s="6">
        <v>1.5</v>
      </c>
      <c r="O6" s="10" t="str">
        <f>IF(F12=5,"X501","X601")</f>
        <v>X501</v>
      </c>
      <c r="P6" s="11">
        <f>ROUNDUP(((B16-(4/12))/(F19/12))+1,0)*4</f>
        <v>32</v>
      </c>
      <c r="Q6" s="12">
        <f>IF((B13-(2/12)-ROUNDDOWN(B13-(2/12),0))*12=12,ROUNDDOWN(B13-(2/12),0)+1,ROUNDDOWN(B13-(2/12),0))</f>
        <v>6</v>
      </c>
      <c r="R6" s="13">
        <f>IF((B13-(2/12)-ROUNDDOWN(B13-(2/12),0))*12=12,0,(B13-(2/12)-ROUNDDOWN(B13-(2/12),0))*12)</f>
        <v>3.9999999999999964</v>
      </c>
      <c r="S6" s="14">
        <f>ROUNDUP(IF(F12=5,(Q6+R6/12)*P6*1.043,(Q6+R6/12)*P6*1.502),0)</f>
        <v>212</v>
      </c>
      <c r="T6" s="11" t="s">
        <v>46</v>
      </c>
      <c r="U6" s="18"/>
      <c r="V6" s="22"/>
      <c r="W6" s="16"/>
      <c r="X6" s="17"/>
      <c r="Y6" s="16"/>
      <c r="Z6" s="52"/>
      <c r="AA6" s="5"/>
      <c r="AB6" s="42"/>
    </row>
    <row r="7" spans="1:30" ht="12.75" customHeight="1" x14ac:dyDescent="0.2">
      <c r="B7" s="9" t="s">
        <v>67</v>
      </c>
      <c r="C7" s="9" t="s">
        <v>68</v>
      </c>
      <c r="E7" s="5" t="s">
        <v>72</v>
      </c>
      <c r="F7" s="6">
        <v>2.5</v>
      </c>
      <c r="O7" s="10" t="str">
        <f>IF(F13=5,"Y501","Y601")</f>
        <v>Y501</v>
      </c>
      <c r="P7" s="11">
        <f>ROUNDUP((((B16-(4/12))/(F20/12))+1),0)*4</f>
        <v>32</v>
      </c>
      <c r="Q7" s="12">
        <f>IF(IF(F13=5,U7+(V7/12)+W7+(X7/12)-(1.5/12)-ROUNDDOWN(U7+(V7/12)+W7+(X7/12)-(1.5/12),0),U7+(V7/12)+W7+(X7/12)-(2/12)-ROUNDDOWN(U7+(V7/12)+W7+(X7/12)-(2/12),0))*12=12,IF(F13=5,ROUNDDOWN(U7+(V7/12)+W7+(X7/12)-(1.5/12),0),ROUNDDOWN(U7+(V7/12)+W7+(X7/12)-(2/12),0))+1,IF(F13=5,ROUNDDOWN(U7+(V7/12)+W7+(X7/12)-(1.5/12),0),ROUNDDOWN(U7+(V7/12)+W7+(X7/12)-(2/12),0)))</f>
        <v>4</v>
      </c>
      <c r="R7" s="13">
        <f>IF(IF(F13=5,U7+(V7/12)+W7+(X7/12)-(1.5/12)-ROUNDDOWN(U7+(V7/12)+W7+(X7/12)-(1.5/12),0),U7+(V7/12)+W7+(X7/12)-(2/12)-ROUNDDOWN(U7+(V7/12)+W7+(X7/12)-(2/12),0))*12=12,0,IF(F13=5,U7+(V7/12)+W7+(X7/12)-(1.5/12)-ROUNDDOWN(U7+(V7/12)+W7+(X7/12)-(1.5/12),0),U7+(V7/12)+W7+(X7/12)-(2/12)-ROUNDDOWN(U7+(V7/12)+W7+(X7/12)-(2/12),0))*12)</f>
        <v>4.5000400000000056</v>
      </c>
      <c r="S7" s="14">
        <f>ROUNDUP(IF(F13=5,(Q7+R7/12)*P7*1.043,(Q7+R7/12)*P7*1.502),0)</f>
        <v>147</v>
      </c>
      <c r="T7" s="11">
        <v>1</v>
      </c>
      <c r="U7" s="12">
        <f>IF(VLOOKUP(F13,'Rebar Data'!A2:B12,2)&gt;=36,3,IF(VLOOKUP(F13,'Rebar Data'!A2:B12,2)&gt;=24,2,IF(VLOOKUP(F13,'Rebar Data'!A2:B12,2)&gt;=12,1,0)))</f>
        <v>0</v>
      </c>
      <c r="V7" s="13">
        <f>IF(VLOOKUP(F13,'Rebar Data'!A2:B12,2)&gt;=36,VLOOKUP(F13,'Rebar Data'!A2:B12,2)-36,IF(VLOOKUP(F13,'Rebar Data'!A2:B12,2)&gt;=24,VLOOKUP(F13,'Rebar Data'!A2:B12,2)-24,IF(VLOOKUP(F13,'Rebar Data'!A2:B12,2)&gt;=12,VLOOKUP(F13,'Rebar Data'!A2:B12,2)-12,VLOOKUP(F13,'Rebar Data'!A2:B12,2))))</f>
        <v>10</v>
      </c>
      <c r="W7" s="12">
        <f>IF((F6+B20-(3/12)-ROUNDDOWN(F6+B20-(3/12),0))*12=12,ROUNDDOWN(F6+B20-(3/12),0)+1,ROUNDDOWN(F6+B20-(3/12),0))</f>
        <v>3</v>
      </c>
      <c r="X7" s="13">
        <f>IF((F6+B20-(3/12)-ROUNDDOWN(F6+B20-(3/12),0))*12=12,0,(F6+B20-(3/12)-ROUNDDOWN(F6+B20-(3/12),0))*12)</f>
        <v>8.0000399999999985</v>
      </c>
      <c r="Y7" s="12"/>
      <c r="Z7" s="43"/>
      <c r="AA7" s="44"/>
      <c r="AB7" s="45"/>
      <c r="AC7" s="44"/>
      <c r="AD7" s="46"/>
    </row>
    <row r="8" spans="1:30" ht="12.75" customHeight="1" x14ac:dyDescent="0.2">
      <c r="A8" s="5" t="s">
        <v>73</v>
      </c>
      <c r="B8" s="20" t="str">
        <f>IF($B$5=8,8,IF($B$5=10,10,IF($B$5&gt;=12,12,"Error")))</f>
        <v>Error</v>
      </c>
      <c r="C8" s="21">
        <v>9</v>
      </c>
      <c r="O8" s="10"/>
      <c r="P8" s="11"/>
      <c r="Q8" s="18"/>
      <c r="R8" s="22"/>
      <c r="S8" s="14"/>
      <c r="T8" s="11"/>
      <c r="U8" s="16"/>
      <c r="V8" s="17"/>
      <c r="W8" s="16"/>
      <c r="X8" s="17"/>
      <c r="Y8" s="16"/>
      <c r="Z8" s="52"/>
      <c r="AA8" s="5"/>
      <c r="AB8" s="42"/>
      <c r="AD8" s="36"/>
    </row>
    <row r="9" spans="1:30" ht="12.75" customHeight="1" x14ac:dyDescent="0.2">
      <c r="A9" s="5" t="s">
        <v>74</v>
      </c>
      <c r="B9" s="20" t="str">
        <f>IF($B$5=8,8,IF($B$5=10,10,IF($B$5&gt;=12,12,"Error")))</f>
        <v>Error</v>
      </c>
      <c r="C9" s="21">
        <v>9</v>
      </c>
      <c r="E9" s="4" t="s">
        <v>17</v>
      </c>
      <c r="O9" s="10" t="s">
        <v>23</v>
      </c>
      <c r="P9" s="11">
        <f>ROUNDUP(((B16-(4/12))/(18/12))+1,0)*4</f>
        <v>32</v>
      </c>
      <c r="Q9" s="12">
        <f>Q6</f>
        <v>6</v>
      </c>
      <c r="R9" s="13">
        <f>R6</f>
        <v>3.9999999999999964</v>
      </c>
      <c r="S9" s="14">
        <f>ROUNDUP((Q9+R9/12)*P9*1.043,0)</f>
        <v>212</v>
      </c>
      <c r="T9" s="11" t="s">
        <v>46</v>
      </c>
      <c r="U9" s="16"/>
      <c r="V9" s="17"/>
      <c r="W9" s="16"/>
      <c r="X9" s="17"/>
      <c r="Y9" s="16"/>
      <c r="Z9" s="52"/>
      <c r="AA9" s="5"/>
      <c r="AB9" s="42"/>
      <c r="AD9" s="36"/>
    </row>
    <row r="10" spans="1:30" ht="12.75" customHeight="1" x14ac:dyDescent="0.2">
      <c r="A10" s="5" t="s">
        <v>75</v>
      </c>
      <c r="B10" s="20" t="str">
        <f>IF($B$5=8,8,IF($B$5=10,10,IF($B$5&gt;=12,12,"Error")))</f>
        <v>Error</v>
      </c>
      <c r="C10" s="21">
        <v>9</v>
      </c>
      <c r="E10" s="5" t="s">
        <v>18</v>
      </c>
      <c r="F10" s="24">
        <v>5</v>
      </c>
      <c r="O10" s="10" t="s">
        <v>24</v>
      </c>
      <c r="P10" s="11">
        <f>ROUNDUP((((B13-(4/12))/(18/12))+1),0)*8</f>
        <v>48</v>
      </c>
      <c r="Q10" s="12">
        <f>IF((B16-(4/12)-ROUNDDOWN(B16-(4/12),0))*12=12,ROUNDDOWN(B16-(4/12),0)+1,ROUNDDOWN(B16-(4/12),0))</f>
        <v>9</v>
      </c>
      <c r="R10" s="13">
        <f>IF((B16-(4/12)-ROUNDDOWN(B16-(4/12),0))*12=12,0,(B16-(4/12)-ROUNDDOWN(B16-(4/12),0))*12)</f>
        <v>7.0003999999999991</v>
      </c>
      <c r="S10" s="14">
        <f>ROUNDUP((Q10+R10/12)*P10*1.043,0)</f>
        <v>480</v>
      </c>
      <c r="T10" s="11" t="s">
        <v>46</v>
      </c>
      <c r="U10" s="18"/>
      <c r="V10" s="22"/>
      <c r="W10" s="18"/>
      <c r="X10" s="22"/>
      <c r="Y10" s="18"/>
      <c r="Z10" s="26"/>
      <c r="AD10" s="36"/>
    </row>
    <row r="11" spans="1:30" ht="12.75" customHeight="1" x14ac:dyDescent="0.2">
      <c r="E11" s="5" t="s">
        <v>19</v>
      </c>
      <c r="F11" s="24">
        <v>5</v>
      </c>
      <c r="O11" s="10"/>
      <c r="P11" s="11"/>
      <c r="Q11" s="18"/>
      <c r="R11" s="22"/>
      <c r="S11" s="14"/>
      <c r="T11" s="11"/>
      <c r="U11" s="16"/>
      <c r="V11" s="17"/>
      <c r="W11" s="16"/>
      <c r="X11" s="17"/>
      <c r="Y11" s="16"/>
      <c r="Z11" s="52"/>
      <c r="AA11" s="5"/>
      <c r="AB11" s="42"/>
      <c r="AD11" s="36"/>
    </row>
    <row r="12" spans="1:30" ht="12.75" customHeight="1" x14ac:dyDescent="0.2">
      <c r="A12" s="4" t="s">
        <v>0</v>
      </c>
      <c r="E12" s="5" t="s">
        <v>20</v>
      </c>
      <c r="F12" s="24">
        <v>5</v>
      </c>
      <c r="O12" s="58" t="s">
        <v>30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0"/>
      <c r="AD12" s="36"/>
    </row>
    <row r="13" spans="1:30" ht="12.75" customHeight="1" x14ac:dyDescent="0.2">
      <c r="A13" s="5" t="s">
        <v>5</v>
      </c>
      <c r="B13" s="6">
        <v>6.5</v>
      </c>
      <c r="E13" s="5" t="s">
        <v>21</v>
      </c>
      <c r="F13" s="24">
        <v>5</v>
      </c>
      <c r="O13" s="10" t="str">
        <f>IF(F10=5,"V501", IF(F10=6, "V601", "V701"))</f>
        <v>V501</v>
      </c>
      <c r="P13" s="11">
        <f>ROUNDUP(((B16+B17+B5+2*(IF(C8&gt;0,C8,B8)/12)-(4/12))/(F17/12))+1,0)*2</f>
        <v>44</v>
      </c>
      <c r="Q13" s="12">
        <f>IF((F5-(4/12)-ROUNDDOWN(F5-(4/12),0))*12=12,ROUNDDOWN(F5-(4/12),0)+1,ROUNDDOWN(F5-(4/12),0))</f>
        <v>4</v>
      </c>
      <c r="R13" s="13">
        <f>ROUNDUP(IF((F5-(4/12)-ROUNDDOWN(F5-(4/12),0))*12=12,0,(F5-(4/12)-ROUNDDOWN(F5-(4/12),0))*12),0)</f>
        <v>11</v>
      </c>
      <c r="S13" s="14">
        <f>ROUNDUP(IF(F10=5,(Q13+R13/12)*P13*1.043,IF(F10=6,(Q13+R13/12)*P13*1.502,(Q13+R13/12)*P13*2.044)),0)</f>
        <v>226</v>
      </c>
      <c r="T13" s="11" t="s">
        <v>46</v>
      </c>
      <c r="U13" s="18"/>
      <c r="V13" s="22"/>
      <c r="W13" s="18"/>
      <c r="X13" s="22"/>
      <c r="Y13" s="16"/>
      <c r="Z13" s="52"/>
      <c r="AA13" s="5"/>
      <c r="AB13" s="42"/>
      <c r="AC13" s="44"/>
      <c r="AD13" s="46"/>
    </row>
    <row r="14" spans="1:30" ht="12.75" customHeight="1" x14ac:dyDescent="0.2">
      <c r="A14" s="5" t="s">
        <v>76</v>
      </c>
      <c r="B14" s="28">
        <f>B13</f>
        <v>6.5</v>
      </c>
      <c r="E14" s="5" t="s">
        <v>22</v>
      </c>
      <c r="F14" s="27">
        <f>F11</f>
        <v>5</v>
      </c>
      <c r="O14" s="10" t="str">
        <f>IF(F11=5,"W501",IF(F11=6,"W601", "W701"))</f>
        <v>W501</v>
      </c>
      <c r="P14" s="11">
        <f>ROUNDUP(((B16+B17+B5+2*(IF(C8&gt;0,C8,B8)/12)-(4/12))/(F18/12))+1,0)*2</f>
        <v>44</v>
      </c>
      <c r="Q14" s="12">
        <f>Q13</f>
        <v>4</v>
      </c>
      <c r="R14" s="13">
        <f>R13</f>
        <v>11</v>
      </c>
      <c r="S14" s="14">
        <f>ROUNDUP(IF(F11=5,(Q14+R14/12)*P14*1.043,IF(F11=6,(Q14+R14/12)*P14*1.502,(Q14+R14/12)*P14*2.044)),0)</f>
        <v>226</v>
      </c>
      <c r="T14" s="11" t="s">
        <v>46</v>
      </c>
      <c r="U14" s="18"/>
      <c r="V14" s="22"/>
      <c r="W14" s="18"/>
      <c r="X14" s="22"/>
      <c r="Y14" s="16"/>
      <c r="Z14" s="52"/>
      <c r="AA14" s="5"/>
      <c r="AB14" s="42"/>
      <c r="AD14" s="36"/>
    </row>
    <row r="15" spans="1:30" ht="12.75" customHeight="1" x14ac:dyDescent="0.2">
      <c r="A15" s="5" t="s">
        <v>77</v>
      </c>
      <c r="B15" s="28">
        <f>B13</f>
        <v>6.5</v>
      </c>
      <c r="C15" s="3" t="s">
        <v>65</v>
      </c>
      <c r="O15" s="10" t="str">
        <f>IF(F14=5,"Z501",IF(F14=6,"Z601","Z701"))</f>
        <v>Z501</v>
      </c>
      <c r="P15" s="11">
        <f>P14</f>
        <v>44</v>
      </c>
      <c r="Q15" s="12">
        <f>IF(ROUNDUP((U15+(V15/12)+W15+(X15/12)+Y15+(Z15/12)-(3/12)-ROUNDDOWN(U15+(V15/12)+W15+(X15/12)+Y15+(Z15/12)-(3/12),0))*12,0)=12,ROUNDDOWN(U15+(V15/12)+W15+(X15/12)+Y15+(Z15/12)-(3/12),0)+1,ROUNDDOWN(U15+(V15/12)+W15+(X15/12)+Y15+(Z15/12)-(3/12),0))</f>
        <v>8</v>
      </c>
      <c r="R15" s="13">
        <v>1</v>
      </c>
      <c r="S15" s="14">
        <f>ROUNDUP(IF(F14=5,(Q15+R15/12)*P15*1.043,IF(F14=6,(Q15+R15/12)*P15*1.502,(Q15+R15/12)*P15*2.044)),0)</f>
        <v>371</v>
      </c>
      <c r="T15" s="11">
        <v>2</v>
      </c>
      <c r="U15" s="12">
        <f>IF(($F$6+$F$7-(5/12)-ROUNDDOWN($F$6+$F$7-(5/12),0))*12=12,ROUNDDOWN($F$6+$F$7-(5/12),0)+1,ROUNDDOWN($F$6+$F$7-(5/12),0))</f>
        <v>3</v>
      </c>
      <c r="V15" s="13">
        <f>IF(($F$6+$F$7-(5/12)-ROUNDDOWN($F$6+$F$7-(5/12),0))*12=12,0,($F$6+$F$7-(5/12)-ROUNDDOWN($F$6+$F$7-(5/12),0))*12)</f>
        <v>7.0000000000000018</v>
      </c>
      <c r="W15" s="12">
        <v>1</v>
      </c>
      <c r="X15" s="13">
        <v>2</v>
      </c>
      <c r="Y15" s="12">
        <v>3</v>
      </c>
      <c r="Z15" s="43">
        <v>7</v>
      </c>
      <c r="AA15" s="5"/>
      <c r="AB15" s="42"/>
      <c r="AD15" s="36"/>
    </row>
    <row r="16" spans="1:30" ht="12.75" customHeight="1" x14ac:dyDescent="0.2">
      <c r="A16" s="5" t="s">
        <v>78</v>
      </c>
      <c r="B16" s="6">
        <v>9.9167000000000005</v>
      </c>
      <c r="E16" s="4" t="s">
        <v>39</v>
      </c>
      <c r="O16" s="10"/>
      <c r="P16" s="11"/>
      <c r="Q16" s="12"/>
      <c r="R16" s="13"/>
      <c r="S16" s="14"/>
      <c r="T16" s="11"/>
      <c r="U16" s="16"/>
      <c r="V16" s="17"/>
      <c r="W16" s="16"/>
      <c r="X16" s="17"/>
      <c r="Y16" s="16"/>
      <c r="Z16" s="52"/>
      <c r="AA16" s="5"/>
      <c r="AB16" s="42"/>
      <c r="AD16" s="36"/>
    </row>
    <row r="17" spans="1:30" ht="12.75" customHeight="1" x14ac:dyDescent="0.2">
      <c r="A17" s="5" t="s">
        <v>79</v>
      </c>
      <c r="B17" s="28">
        <f>B16</f>
        <v>9.9167000000000005</v>
      </c>
      <c r="C17" s="3" t="s">
        <v>48</v>
      </c>
      <c r="E17" s="5" t="s">
        <v>40</v>
      </c>
      <c r="F17" s="29">
        <v>18</v>
      </c>
      <c r="O17" s="10" t="s">
        <v>31</v>
      </c>
      <c r="P17" s="11">
        <f>ROUNDUP((B5+2*(IF(C8&gt;0,C8,B8)/12)-(4/12))/(18/12)+1,0)*2</f>
        <v>16</v>
      </c>
      <c r="Q17" s="12">
        <f>IF(ROUNDUP(($U$17+($V$17/12)+$W$17+($X$17/12)-(1.5/12)-ROUNDDOWN($U$17+($V$17/12)+$W$17+($X$17/12)-(1.5/12),0))*12,0)=12,ROUNDDOWN($U$17+($V$17/12)+$W$17+($X$17/12)-(1.5/12),0)+1,ROUNDDOWN($U$17+($V$17/12)+$W$17+($X$17/12)-(1.5/12),0))</f>
        <v>3</v>
      </c>
      <c r="R17" s="13">
        <f>IF(ROUNDUP(($U$17+($V$17/12)+$W$17+($X$17/12)-(1.5/12)-ROUNDDOWN($U$17+($V$17/12)+$W$17+($X$17/12)-(1.5/12),0))*12,0)=12,0,ROUNDUP(($U$17+($V$17/12)+$W$17+($X$17/12)-(1.5/12)-ROUNDDOWN($U$17+($V$17/12)+$W$17+($X$17/12)-(1.5/12),0))*12,0))</f>
        <v>4</v>
      </c>
      <c r="S17" s="14">
        <f>ROUNDUP((Q17+R17/12)*P17*1.043,0)</f>
        <v>56</v>
      </c>
      <c r="T17" s="11">
        <v>1</v>
      </c>
      <c r="U17" s="12">
        <f>IF(ROUNDUP((B18-ROUNDDOWN(B18,0))*12,0)=12,ROUNDDOWN(B18,0)+1,ROUNDDOWN(B18,0))</f>
        <v>1</v>
      </c>
      <c r="V17" s="13">
        <f>IF(ROUNDUP((B18-ROUNDDOWN(B18,0))*12,0)=12,0,ROUNDUP((B18-ROUNDDOWN(B18,0))*12,0))</f>
        <v>6</v>
      </c>
      <c r="W17" s="12">
        <f>IF(ROUNDUP(((IF(C10&gt;0,C10,B10)/12)+$F$6-(4/12)-ROUNDDOWN((IF(C10&gt;0,C10,B10)/12)+$F$6-(4/12),0))*12,0)=12,ROUNDDOWN((IF(C10&gt;0,C10,B10)/12)+$F$6-(4/12),0)+1,ROUNDDOWN((IF(C10&gt;0,C10,B10)/12)+$F$6-(4/12),0))</f>
        <v>1</v>
      </c>
      <c r="X17" s="13">
        <f>IF(ROUNDUP(((IF(C10&gt;0,C10,B10)/12)+$F$6-(4/12)-ROUNDDOWN((IF(C10&gt;0,C10,B10)/12)+$F$6-(4/12),0))*12,0)=12,0,ROUNDUP(((IF(C10&gt;0,C10,B10)/12)+$F$6-(4/12)-ROUNDDOWN((IF(C10&gt;0,C10,B10)/12)+$F$6-(4/12),0))*12,0))</f>
        <v>11</v>
      </c>
      <c r="Y17" s="12"/>
      <c r="Z17" s="23"/>
      <c r="AA17" s="5"/>
      <c r="AB17" s="42"/>
      <c r="AC17" s="44"/>
      <c r="AD17" s="46"/>
    </row>
    <row r="18" spans="1:30" ht="12.75" customHeight="1" x14ac:dyDescent="0.2">
      <c r="A18" s="5" t="s">
        <v>62</v>
      </c>
      <c r="B18" s="6">
        <v>1.42</v>
      </c>
      <c r="E18" s="5" t="s">
        <v>41</v>
      </c>
      <c r="F18" s="29">
        <v>18</v>
      </c>
      <c r="O18" s="10" t="s">
        <v>32</v>
      </c>
      <c r="P18" s="11">
        <f>2*2</f>
        <v>4</v>
      </c>
      <c r="Q18" s="12">
        <f>IF(ROUNDUP(($B$5+2*(IF(C8&gt;0,C8,B8)/12)-(4/12)-ROUNDDOWN($B$5+2*(IF(C8&gt;0,C8,B8)/12)-(4/12),0))*12,0)=12,ROUNDDOWN($B$5+2*(IF(C8&gt;0,C8,B8)/12)-(4/12),0)+1,ROUNDDOWN($B$5+2*(IF(C8&gt;0,C8,B8)/12)-(4/12),0))</f>
        <v>10</v>
      </c>
      <c r="R18" s="13">
        <f>IF(ROUNDUP(($B$5+2*(IF(C8&gt;0,C8,B8)/12)-(4/12)-ROUNDDOWN($B$5+2*(IF(C8&gt;0,C8,B8)/12)-(4/12),0))*12,0)=12,0,ROUNDUP(($B$5+2*(IF(C8&gt;0,C8,B8)/12)-(4/12)-ROUNDDOWN($B$5+2*(IF(C8&gt;0,C8,B8)/12)-(4/12),0))*12,0))</f>
        <v>2</v>
      </c>
      <c r="S18" s="14">
        <f>ROUNDUP((Q18+R18/12)*P18*1.043,0)</f>
        <v>43</v>
      </c>
      <c r="T18" s="11" t="s">
        <v>46</v>
      </c>
      <c r="U18" s="18"/>
      <c r="V18" s="22"/>
      <c r="W18" s="18"/>
      <c r="X18" s="22"/>
      <c r="Y18" s="12"/>
      <c r="Z18" s="43"/>
      <c r="AA18" s="5"/>
      <c r="AB18" s="42"/>
    </row>
    <row r="19" spans="1:30" ht="12.75" customHeight="1" x14ac:dyDescent="0.2">
      <c r="A19" s="5" t="s">
        <v>63</v>
      </c>
      <c r="B19" s="6">
        <v>1</v>
      </c>
      <c r="E19" s="5" t="s">
        <v>42</v>
      </c>
      <c r="F19" s="29">
        <v>17.5</v>
      </c>
      <c r="O19" s="10" t="s">
        <v>81</v>
      </c>
      <c r="P19" s="11">
        <f>14*2</f>
        <v>28</v>
      </c>
      <c r="Q19" s="12">
        <v>30</v>
      </c>
      <c r="R19" s="13">
        <v>2</v>
      </c>
      <c r="S19" s="14">
        <f>ROUNDUP((Q19+R19/12)*P19*1.502,0)</f>
        <v>1269</v>
      </c>
      <c r="T19" s="11" t="s">
        <v>46</v>
      </c>
      <c r="U19" s="18"/>
      <c r="V19" s="22"/>
      <c r="W19" s="18"/>
      <c r="X19" s="22"/>
      <c r="Y19" s="12"/>
      <c r="Z19" s="43"/>
      <c r="AA19" s="44"/>
      <c r="AB19" s="46"/>
    </row>
    <row r="20" spans="1:30" ht="12.75" customHeight="1" x14ac:dyDescent="0.2">
      <c r="A20" s="5" t="s">
        <v>64</v>
      </c>
      <c r="B20" s="6">
        <v>2.4166699999999999</v>
      </c>
      <c r="E20" s="5" t="s">
        <v>43</v>
      </c>
      <c r="F20" s="29">
        <v>17.5</v>
      </c>
      <c r="O20" s="10"/>
      <c r="P20" s="11"/>
      <c r="Q20" s="12"/>
      <c r="R20" s="13"/>
      <c r="S20" s="14"/>
      <c r="T20" s="11"/>
      <c r="U20" s="18"/>
      <c r="V20" s="22"/>
      <c r="W20" s="18"/>
      <c r="X20" s="22"/>
      <c r="Y20" s="12"/>
      <c r="Z20" s="43"/>
      <c r="AA20" s="44"/>
      <c r="AB20" s="45"/>
    </row>
    <row r="21" spans="1:30" ht="12.75" customHeight="1" x14ac:dyDescent="0.2">
      <c r="E21" s="5" t="s">
        <v>44</v>
      </c>
      <c r="F21" s="30">
        <f>F18</f>
        <v>18</v>
      </c>
      <c r="G21" s="1" t="s">
        <v>61</v>
      </c>
      <c r="O21" s="10"/>
      <c r="P21" s="11"/>
      <c r="Q21" s="12"/>
      <c r="R21" s="13"/>
      <c r="S21" s="14"/>
      <c r="T21" s="11"/>
      <c r="U21" s="12"/>
      <c r="V21" s="13"/>
      <c r="W21" s="12"/>
      <c r="X21" s="31"/>
      <c r="Y21" s="12"/>
      <c r="Z21" s="23"/>
      <c r="AA21" s="44"/>
      <c r="AB21" s="46"/>
    </row>
    <row r="22" spans="1:30" ht="12.75" customHeight="1" x14ac:dyDescent="0.2">
      <c r="O22" s="58" t="s">
        <v>50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0"/>
      <c r="AD22" s="36"/>
    </row>
    <row r="23" spans="1:30" ht="12.75" customHeight="1" x14ac:dyDescent="0.2">
      <c r="A23" s="5"/>
      <c r="O23" s="10" t="s">
        <v>35</v>
      </c>
      <c r="P23" s="11">
        <f>ROUNDUP(((B13-B6-(IF(C9&gt;0,C9,B9)/12)-(IF(C10&gt;0,C10,B10)/12)-(4/12))/(18/12))+1,0)*4</f>
        <v>8</v>
      </c>
      <c r="Q23" s="12">
        <f>Q18</f>
        <v>10</v>
      </c>
      <c r="R23" s="13">
        <f>R18</f>
        <v>2</v>
      </c>
      <c r="S23" s="14">
        <f>ROUNDUP((Q23+R23/12)*P23*1.043,0)</f>
        <v>85</v>
      </c>
      <c r="T23" s="11" t="s">
        <v>46</v>
      </c>
      <c r="U23" s="18"/>
      <c r="V23" s="22"/>
      <c r="W23" s="18"/>
      <c r="X23" s="22"/>
      <c r="Y23" s="18"/>
      <c r="Z23" s="26"/>
    </row>
    <row r="24" spans="1:30" ht="12.75" customHeight="1" x14ac:dyDescent="0.2">
      <c r="O24" s="10" t="s">
        <v>36</v>
      </c>
      <c r="P24" s="11">
        <f>ROUNDUP((B5+2*(IF(C8&gt;0,C8,B8)/12)-(4/12))+1,0)*2</f>
        <v>24</v>
      </c>
      <c r="Q24" s="12">
        <f>IF(ROUNDUP((U24+(V24/12)+W24+(X24/12)+Y24+(Z24/12)-(3/12)-ROUNDDOWN(U24+(V24/12)+W24+(X24/12)+Y24+(Z24/12)-(3/12),0))*12,0)=12,ROUNDDOWN(U24+(V24/12)+W24+(X24/12)+Y24+(Z24/12)-(3/12),0)+1,ROUNDDOWN(U24+(V24/12)+W24+(X24/12)+Y24+(Z24/12)-(3/12),0))</f>
        <v>1</v>
      </c>
      <c r="R24" s="13">
        <f>IF(ROUNDUP((U24+(V24/12)+W24+(X24/12)+Y24+(Z24/12)-(3/12)-ROUNDDOWN(U24+(V24/12)+W24+(X24/12)+Y24+(Z24/12)-(3/12),0))*12,0)=12,0,ROUNDUP((U24+(V24/12)+W24+(X24/12)+Y24+(Z24/12)-(3/12)-ROUNDDOWN(U24+(V24/12)+W24+(X24/12)+Y24+(Z24/12)-(3/12),0))*12,0))</f>
        <v>9</v>
      </c>
      <c r="S24" s="14">
        <f>ROUNDUP((Q24+R24/12)*P24*1.043,0)</f>
        <v>44</v>
      </c>
      <c r="T24" s="11">
        <v>2</v>
      </c>
      <c r="U24" s="12">
        <f>IF(ROUNDUP(((B13-B6-(IF(C9&gt;0,C9,B9)/12)-(IF(C10&gt;0,C10,B10)/12)-(4/12))-ROUNDDOWN((B13-B6-(IF(C9&gt;0,C9,B9)/12)-(IF(C10&gt;0,C10,B10)/12)-(4/12)),0))*12,0)=12,ROUNDDOWN((B13-B6-(IF(C9&gt;0,C9,B9)/12)-(IF(C10&gt;0,C10,B10)/12)-(4/12)),0)+1,ROUNDDOWN((B13-B6-(IF(C9&gt;0,C9,B9)/12)-(IF(C10&gt;0,C10,B10)/12)-(4/12)),0))</f>
        <v>0</v>
      </c>
      <c r="V24" s="13">
        <f>IF(ROUNDUP(((B13-B6-(IF(C9&gt;0,C9,B9)/12)-(IF(C10&gt;0,C10,B10)/12)-(4/12))-ROUNDDOWN((B13-B6-(IF(C9&gt;0,C9,B9)/12)-(IF(C10&gt;0,C10,B10)/12)-(4/12)),0))*12,0)=12,0,ROUNDUP(((B13-B6-(IF(C9&gt;0,C9,B9)/12)-(IF(C10&gt;0,C10,B10)/12)-(4/12))-ROUNDDOWN((B13-B6-(IF(C9&gt;0,C9,B9)/12)-(IF(C10&gt;0,C10,B10)/12)-(4/12)),0))*12,0))</f>
        <v>8</v>
      </c>
      <c r="W24" s="12">
        <f>IF(ROUNDUP((B19-(4/12)-ROUNDDOWN(B19-(4/12),0))*12,0)=12,ROUNDDOWN(B19-(4/12),0)+1,ROUNDDOWN(B19-(4/12),0))</f>
        <v>0</v>
      </c>
      <c r="X24" s="13">
        <f>IF(ROUNDUP((B19-(4/12)-ROUNDDOWN(B19-(4/12),0))*12,0)=12,0,ROUNDUP((B19-(4/12)-ROUNDDOWN(B19-(4/12),0))*12,0))</f>
        <v>8</v>
      </c>
      <c r="Y24" s="12">
        <v>0</v>
      </c>
      <c r="Z24" s="43">
        <v>8</v>
      </c>
    </row>
    <row r="25" spans="1:30" ht="12.75" customHeight="1" x14ac:dyDescent="0.2">
      <c r="O25" s="10" t="s">
        <v>37</v>
      </c>
      <c r="P25" s="11">
        <f>P24</f>
        <v>24</v>
      </c>
      <c r="Q25" s="12">
        <f>IF(ROUNDUP((U25+(V25/12)+W25+(X25/12)+Y25+(Z25/12)-(3/12)-ROUNDDOWN(U25+(V25/12)+W25+(X25/12)+Y25+(Z25/12)-(3/12),0))*12,0)=12,ROUNDDOWN(U25+(V25/12)+W25+(X25/12)+Y25+(Z25/12)-(3/12),0)+1,ROUNDDOWN(U25+(V25/12)+W25+(X25/12)+Y25+(Z25/12)-(3/12),0))</f>
        <v>2</v>
      </c>
      <c r="R25" s="13">
        <f>IF(ROUNDUP((U25+(V25/12)+W25+(X25/12)+Y25+(Z25/12)-(3/12)-ROUNDDOWN(U25+(V25/12)+W25+(X25/12)+Y25+(Z25/12)-(3/12),0))*12,0)=12,0,ROUNDUP((U25+(V25/12)+W25+(X25/12)+Y25+(Z25/12)-(3/12)-ROUNDDOWN(U25+(V25/12)+W25+(X25/12)+Y25+(Z25/12)-(3/12),0))*12,0))</f>
        <v>3</v>
      </c>
      <c r="S25" s="14">
        <f>ROUNDUP((Q25+R25/12)*P25*1.043,0)</f>
        <v>57</v>
      </c>
      <c r="T25" s="11">
        <v>2</v>
      </c>
      <c r="U25" s="12">
        <f>U24</f>
        <v>0</v>
      </c>
      <c r="V25" s="13">
        <f>V24</f>
        <v>8</v>
      </c>
      <c r="W25" s="12">
        <f>W24</f>
        <v>0</v>
      </c>
      <c r="X25" s="13">
        <f>X24</f>
        <v>8</v>
      </c>
      <c r="Y25" s="12">
        <f>IF(ROUNDUP(((B13-B6-(IF(C10&gt;0,C10,B10)/12)-(5/12))-ROUNDDOWN((B13-B6-(IF(C10&gt;0,C10,B10)/12)-(5/12)),0))*12,0)=12,ROUNDDOWN((B13-B6-(IF(C10&gt;0,C10,B10)/12)-(5/12)),0)+1,ROUNDDOWN((B13-B6-(IF(C10&gt;0,C10,B10)/12)-(5/12)),0))</f>
        <v>1</v>
      </c>
      <c r="Z25" s="43">
        <v>2</v>
      </c>
    </row>
    <row r="26" spans="1:30" ht="12.75" customHeight="1" x14ac:dyDescent="0.2">
      <c r="O26" s="10"/>
      <c r="P26" s="11"/>
      <c r="Q26" s="18"/>
      <c r="R26" s="22"/>
      <c r="S26" s="14"/>
      <c r="T26" s="11"/>
      <c r="U26" s="18"/>
      <c r="V26" s="22"/>
      <c r="W26" s="18"/>
      <c r="X26" s="22"/>
      <c r="Y26" s="18"/>
      <c r="Z26" s="26"/>
    </row>
    <row r="27" spans="1:30" ht="12.75" customHeight="1" thickBot="1" x14ac:dyDescent="0.25">
      <c r="O27" s="32"/>
      <c r="P27" s="33"/>
      <c r="Q27" s="61" t="s">
        <v>51</v>
      </c>
      <c r="R27" s="62"/>
      <c r="S27" s="34">
        <f>SUM(S6:S11)+SUM(S13:S21)+SUM(S23:S26)</f>
        <v>3428</v>
      </c>
      <c r="T27" s="33"/>
      <c r="U27" s="7"/>
      <c r="V27" s="8"/>
      <c r="W27" s="7"/>
      <c r="X27" s="8"/>
      <c r="Y27" s="7"/>
      <c r="Z27" s="47"/>
    </row>
    <row r="30" spans="1:30" ht="12.75" customHeight="1" x14ac:dyDescent="0.2">
      <c r="Q30" s="44"/>
      <c r="R30" s="45"/>
      <c r="S30" s="48"/>
      <c r="Y30" s="44"/>
      <c r="Z30" s="46"/>
    </row>
    <row r="31" spans="1:30" ht="12.75" customHeight="1" x14ac:dyDescent="0.2">
      <c r="S31" s="48"/>
      <c r="U31" s="44"/>
      <c r="V31" s="45"/>
      <c r="W31" s="44"/>
      <c r="X31" s="45"/>
      <c r="AC31" s="44"/>
      <c r="AD31" s="46"/>
    </row>
    <row r="32" spans="1:30" ht="12.75" customHeight="1" x14ac:dyDescent="0.2">
      <c r="P32" s="49"/>
      <c r="Q32" s="44"/>
      <c r="R32" s="45"/>
      <c r="S32" s="48"/>
      <c r="Y32" s="44"/>
      <c r="Z32" s="46"/>
    </row>
    <row r="33" spans="16:30" ht="12.75" customHeight="1" x14ac:dyDescent="0.2">
      <c r="Q33" s="44"/>
      <c r="R33" s="45"/>
      <c r="S33" s="48"/>
    </row>
    <row r="34" spans="16:30" ht="12.75" customHeight="1" x14ac:dyDescent="0.2">
      <c r="S34" s="48"/>
      <c r="AC34" s="44"/>
      <c r="AD34" s="46"/>
    </row>
    <row r="35" spans="16:30" ht="12.75" customHeight="1" x14ac:dyDescent="0.2">
      <c r="P35" s="49"/>
      <c r="Q35" s="44"/>
      <c r="R35" s="45"/>
      <c r="S35" s="48"/>
    </row>
    <row r="36" spans="16:30" ht="12.75" customHeight="1" x14ac:dyDescent="0.2">
      <c r="Q36" s="44"/>
      <c r="R36" s="45"/>
      <c r="S36" s="48"/>
      <c r="Y36" s="44"/>
      <c r="Z36" s="46"/>
    </row>
    <row r="37" spans="16:30" ht="12.75" customHeight="1" x14ac:dyDescent="0.2">
      <c r="S37" s="48"/>
      <c r="U37" s="44"/>
      <c r="V37" s="45"/>
      <c r="W37" s="44"/>
      <c r="X37" s="45"/>
      <c r="AC37" s="44"/>
      <c r="AD37" s="46"/>
    </row>
    <row r="38" spans="16:30" ht="12.75" customHeight="1" x14ac:dyDescent="0.2">
      <c r="Q38" s="44"/>
      <c r="R38" s="45"/>
      <c r="S38" s="48"/>
      <c r="Y38" s="44"/>
      <c r="Z38" s="46"/>
    </row>
    <row r="39" spans="16:30" ht="12.75" customHeight="1" x14ac:dyDescent="0.2">
      <c r="Q39" s="44"/>
      <c r="R39" s="45"/>
      <c r="S39" s="48"/>
    </row>
    <row r="40" spans="16:30" ht="12.75" customHeight="1" x14ac:dyDescent="0.2">
      <c r="S40" s="48"/>
      <c r="AC40" s="44"/>
      <c r="AD40" s="46"/>
    </row>
    <row r="41" spans="16:30" ht="12.75" customHeight="1" x14ac:dyDescent="0.2">
      <c r="Q41" s="44"/>
      <c r="R41" s="45"/>
      <c r="S41" s="48"/>
    </row>
    <row r="44" spans="16:30" ht="12.75" customHeight="1" x14ac:dyDescent="0.2">
      <c r="S44" s="48"/>
    </row>
  </sheetData>
  <mergeCells count="14">
    <mergeCell ref="O1:Z1"/>
    <mergeCell ref="U2:Z3"/>
    <mergeCell ref="O5:Z5"/>
    <mergeCell ref="O12:Z12"/>
    <mergeCell ref="O22:Z22"/>
    <mergeCell ref="T2:T4"/>
    <mergeCell ref="Y4:Z4"/>
    <mergeCell ref="U4:V4"/>
    <mergeCell ref="W4:X4"/>
    <mergeCell ref="Q27:R27"/>
    <mergeCell ref="O2:O4"/>
    <mergeCell ref="P2:P4"/>
    <mergeCell ref="Q2:R4"/>
    <mergeCell ref="S2:S4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8188-DC46-4F51-84C7-4DAE887218A0}">
  <dimension ref="A1:F12"/>
  <sheetViews>
    <sheetView workbookViewId="0">
      <selection activeCell="B4" sqref="B4"/>
    </sheetView>
  </sheetViews>
  <sheetFormatPr defaultRowHeight="12.75" x14ac:dyDescent="0.2"/>
  <sheetData>
    <row r="1" spans="1:6" x14ac:dyDescent="0.2">
      <c r="A1" t="s">
        <v>85</v>
      </c>
      <c r="B1" t="s">
        <v>86</v>
      </c>
      <c r="C1" t="s">
        <v>87</v>
      </c>
      <c r="D1" t="s">
        <v>88</v>
      </c>
      <c r="E1" t="s">
        <v>100</v>
      </c>
      <c r="F1" t="s">
        <v>101</v>
      </c>
    </row>
    <row r="2" spans="1:6" x14ac:dyDescent="0.2">
      <c r="A2">
        <v>3</v>
      </c>
      <c r="B2">
        <v>6</v>
      </c>
      <c r="C2">
        <v>1</v>
      </c>
      <c r="D2" t="s">
        <v>89</v>
      </c>
      <c r="E2">
        <v>0.376</v>
      </c>
      <c r="F2" t="s">
        <v>102</v>
      </c>
    </row>
    <row r="3" spans="1:6" x14ac:dyDescent="0.2">
      <c r="A3">
        <v>4</v>
      </c>
      <c r="B3">
        <v>8</v>
      </c>
      <c r="C3">
        <v>1</v>
      </c>
      <c r="D3" t="s">
        <v>90</v>
      </c>
      <c r="E3">
        <v>0.66800000000000004</v>
      </c>
      <c r="F3">
        <v>23</v>
      </c>
    </row>
    <row r="4" spans="1:6" x14ac:dyDescent="0.2">
      <c r="A4">
        <v>5</v>
      </c>
      <c r="B4">
        <v>10</v>
      </c>
      <c r="C4">
        <v>1.5</v>
      </c>
      <c r="D4" t="s">
        <v>91</v>
      </c>
      <c r="E4">
        <v>1.0429999999999999</v>
      </c>
      <c r="F4">
        <v>29</v>
      </c>
    </row>
    <row r="5" spans="1:6" x14ac:dyDescent="0.2">
      <c r="A5">
        <v>6</v>
      </c>
      <c r="B5">
        <v>12</v>
      </c>
      <c r="C5">
        <v>2</v>
      </c>
      <c r="D5" t="s">
        <v>92</v>
      </c>
      <c r="E5">
        <v>1.502</v>
      </c>
      <c r="F5">
        <v>34</v>
      </c>
    </row>
    <row r="6" spans="1:6" x14ac:dyDescent="0.2">
      <c r="A6">
        <v>7</v>
      </c>
      <c r="B6">
        <v>14</v>
      </c>
      <c r="C6">
        <v>2</v>
      </c>
      <c r="D6" t="s">
        <v>93</v>
      </c>
      <c r="E6">
        <v>2.044</v>
      </c>
      <c r="F6">
        <v>40</v>
      </c>
    </row>
    <row r="7" spans="1:6" x14ac:dyDescent="0.2">
      <c r="A7">
        <v>8</v>
      </c>
      <c r="B7">
        <v>16</v>
      </c>
      <c r="C7">
        <v>2.5</v>
      </c>
      <c r="D7" t="s">
        <v>94</v>
      </c>
      <c r="E7">
        <v>2.67</v>
      </c>
      <c r="F7">
        <v>45</v>
      </c>
    </row>
    <row r="8" spans="1:6" x14ac:dyDescent="0.2">
      <c r="A8">
        <v>9</v>
      </c>
      <c r="B8">
        <v>19</v>
      </c>
      <c r="C8">
        <v>3.5</v>
      </c>
      <c r="D8" t="s">
        <v>95</v>
      </c>
      <c r="E8">
        <v>3.4</v>
      </c>
      <c r="F8">
        <v>64</v>
      </c>
    </row>
    <row r="9" spans="1:6" x14ac:dyDescent="0.2">
      <c r="A9">
        <v>10</v>
      </c>
      <c r="B9">
        <v>22</v>
      </c>
      <c r="C9">
        <v>4</v>
      </c>
      <c r="D9" t="s">
        <v>96</v>
      </c>
      <c r="E9">
        <v>4.3029999999999999</v>
      </c>
      <c r="F9">
        <v>72</v>
      </c>
    </row>
    <row r="10" spans="1:6" x14ac:dyDescent="0.2">
      <c r="A10">
        <v>11</v>
      </c>
      <c r="B10">
        <v>24</v>
      </c>
      <c r="C10">
        <v>4</v>
      </c>
      <c r="D10" t="s">
        <v>97</v>
      </c>
      <c r="E10">
        <v>5.3129999999999997</v>
      </c>
      <c r="F10">
        <v>80</v>
      </c>
    </row>
    <row r="11" spans="1:6" x14ac:dyDescent="0.2">
      <c r="A11">
        <v>14</v>
      </c>
      <c r="B11">
        <v>31</v>
      </c>
      <c r="C11">
        <v>6</v>
      </c>
      <c r="D11" t="s">
        <v>98</v>
      </c>
      <c r="E11">
        <v>7.65</v>
      </c>
      <c r="F11" t="s">
        <v>102</v>
      </c>
    </row>
    <row r="12" spans="1:6" x14ac:dyDescent="0.2">
      <c r="A12">
        <v>18</v>
      </c>
      <c r="B12">
        <v>41</v>
      </c>
      <c r="C12">
        <v>8</v>
      </c>
      <c r="D12" t="s">
        <v>99</v>
      </c>
      <c r="E12">
        <v>13.6</v>
      </c>
      <c r="F12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wing_x0020_No_x002e_ xmlns="48e25ccb-ae82-4fe9-92c4-bd1f142087c7">HWDD_Rebar</Drawing_x0020_No_x002e_>
    <Description0 xmlns="48e25ccb-ae82-4fe9-92c4-bd1f142087c7">MS Excel sheet (for bar schedules) to facilitate the design of box culvert headwalls.  Instructions can be found on the first sheet of the general notes of the Design Data Sheet.</Description0>
    <Sheets xmlns="48e25ccb-ae82-4fe9-92c4-bd1f142087c7" xsi:nil="true"/>
    <Date xmlns="48e25ccb-ae82-4fe9-92c4-bd1f142087c7">2020-01-17T05:00:00+00:00</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A141DDB4F8A043BDFCDC144691827E" ma:contentTypeVersion="9" ma:contentTypeDescription="Create a new document." ma:contentTypeScope="" ma:versionID="e9acc1b435349062edd7ca9c6d56d8c4">
  <xsd:schema xmlns:xsd="http://www.w3.org/2001/XMLSchema" xmlns:xs="http://www.w3.org/2001/XMLSchema" xmlns:p="http://schemas.microsoft.com/office/2006/metadata/properties" xmlns:ns2="48e25ccb-ae82-4fe9-92c4-bd1f142087c7" xmlns:ns3="cdf5cfbf-cf86-4eb7-ac31-a9fd0075546e" targetNamespace="http://schemas.microsoft.com/office/2006/metadata/properties" ma:root="true" ma:fieldsID="d35748d5289da258416e280fb143d884" ns2:_="" ns3:_="">
    <xsd:import namespace="48e25ccb-ae82-4fe9-92c4-bd1f142087c7"/>
    <xsd:import namespace="cdf5cfbf-cf86-4eb7-ac31-a9fd0075546e"/>
    <xsd:element name="properties">
      <xsd:complexType>
        <xsd:sequence>
          <xsd:element name="documentManagement">
            <xsd:complexType>
              <xsd:all>
                <xsd:element ref="ns2:Drawing_x0020_No_x002e_" minOccurs="0"/>
                <xsd:element ref="ns2:Sheets" minOccurs="0"/>
                <xsd:element ref="ns2:Date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25ccb-ae82-4fe9-92c4-bd1f142087c7" elementFormDefault="qualified">
    <xsd:import namespace="http://schemas.microsoft.com/office/2006/documentManagement/types"/>
    <xsd:import namespace="http://schemas.microsoft.com/office/infopath/2007/PartnerControls"/>
    <xsd:element name="Drawing_x0020_No_x002e_" ma:index="8" nillable="true" ma:displayName="Drawing No." ma:internalName="Drawing_x0020_No_x002e_">
      <xsd:simpleType>
        <xsd:restriction base="dms:Text">
          <xsd:maxLength value="255"/>
        </xsd:restriction>
      </xsd:simpleType>
    </xsd:element>
    <xsd:element name="Sheets" ma:index="9" nillable="true" ma:displayName="Sheets" ma:internalName="Sheets">
      <xsd:simpleType>
        <xsd:restriction base="dms:Text">
          <xsd:maxLength value="255"/>
        </xsd:restriction>
      </xsd:simpleType>
    </xsd:element>
    <xsd:element name="Date" ma:index="10" nillable="true" ma:displayName="Date" ma:default="[today]" ma:format="DateOnly" ma:internalName="Date">
      <xsd:simpleType>
        <xsd:restriction base="dms:DateTime"/>
      </xsd:simpleType>
    </xsd:element>
    <xsd:element name="Description0" ma:index="11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5cfbf-cf86-4eb7-ac31-a9fd00755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158F4-E965-4190-A347-7A807C81FF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9CE6E3-A8FC-401D-8574-B00A0B4F1F2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5183131-F904-4A50-B1EB-DAC1CE6DEACF}">
  <ds:schemaRefs>
    <ds:schemaRef ds:uri="http://purl.org/dc/elements/1.1/"/>
    <ds:schemaRef ds:uri="48e25ccb-ae82-4fe9-92c4-bd1f142087c7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df5cfbf-cf86-4eb7-ac31-a9fd0075546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0EC50F6-16EE-4C57-AC89-1083CEDA58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e25ccb-ae82-4fe9-92c4-bd1f142087c7"/>
    <ds:schemaRef ds:uri="cdf5cfbf-cf86-4eb7-ac31-a9fd00755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Type A</vt:lpstr>
      <vt:lpstr>Type B</vt:lpstr>
      <vt:lpstr>Type C</vt:lpstr>
      <vt:lpstr>Rebar Data</vt:lpstr>
    </vt:vector>
  </TitlesOfParts>
  <Company>URS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Box Culvert Headwall Reinforcing Steel Calculations Sheet</dc:title>
  <dc:creator>mdp05559</dc:creator>
  <cp:lastModifiedBy>Zahra Rahimi</cp:lastModifiedBy>
  <cp:lastPrinted>2003-12-16T16:17:56Z</cp:lastPrinted>
  <dcterms:created xsi:type="dcterms:W3CDTF">2003-08-27T17:27:53Z</dcterms:created>
  <dcterms:modified xsi:type="dcterms:W3CDTF">2025-08-01T17:57:04Z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GN or PDF">
    <vt:lpwstr>PDF</vt:lpwstr>
  </property>
  <property fmtid="{D5CDD505-2E9C-101B-9397-08002B2CF9AE}" pid="3" name="PDF">
    <vt:lpwstr/>
  </property>
  <property fmtid="{D5CDD505-2E9C-101B-9397-08002B2CF9AE}" pid="4" name="DGN">
    <vt:lpwstr/>
  </property>
  <property fmtid="{D5CDD505-2E9C-101B-9397-08002B2CF9AE}" pid="5" name="SUP">
    <vt:lpwstr/>
  </property>
  <property fmtid="{D5CDD505-2E9C-101B-9397-08002B2CF9AE}" pid="6" name="Folder_Number">
    <vt:lpwstr/>
  </property>
  <property fmtid="{D5CDD505-2E9C-101B-9397-08002B2CF9AE}" pid="7" name="Folder_Code">
    <vt:lpwstr/>
  </property>
  <property fmtid="{D5CDD505-2E9C-101B-9397-08002B2CF9AE}" pid="8" name="Folder_Name">
    <vt:lpwstr/>
  </property>
  <property fmtid="{D5CDD505-2E9C-101B-9397-08002B2CF9AE}" pid="9" name="Folder_Description">
    <vt:lpwstr/>
  </property>
  <property fmtid="{D5CDD505-2E9C-101B-9397-08002B2CF9AE}" pid="10" name="/Folder_Name/">
    <vt:lpwstr/>
  </property>
  <property fmtid="{D5CDD505-2E9C-101B-9397-08002B2CF9AE}" pid="11" name="/Folder_Description/">
    <vt:lpwstr/>
  </property>
  <property fmtid="{D5CDD505-2E9C-101B-9397-08002B2CF9AE}" pid="12" name="Folder_Version">
    <vt:lpwstr/>
  </property>
  <property fmtid="{D5CDD505-2E9C-101B-9397-08002B2CF9AE}" pid="13" name="Folder_VersionSeq">
    <vt:lpwstr/>
  </property>
  <property fmtid="{D5CDD505-2E9C-101B-9397-08002B2CF9AE}" pid="14" name="Folder_Manager">
    <vt:lpwstr/>
  </property>
  <property fmtid="{D5CDD505-2E9C-101B-9397-08002B2CF9AE}" pid="15" name="Folder_ManagerDesc">
    <vt:lpwstr/>
  </property>
  <property fmtid="{D5CDD505-2E9C-101B-9397-08002B2CF9AE}" pid="16" name="Folder_Storage">
    <vt:lpwstr/>
  </property>
  <property fmtid="{D5CDD505-2E9C-101B-9397-08002B2CF9AE}" pid="17" name="Folder_StorageDesc">
    <vt:lpwstr/>
  </property>
  <property fmtid="{D5CDD505-2E9C-101B-9397-08002B2CF9AE}" pid="18" name="Folder_Creator">
    <vt:lpwstr/>
  </property>
  <property fmtid="{D5CDD505-2E9C-101B-9397-08002B2CF9AE}" pid="19" name="Folder_CreatorDesc">
    <vt:lpwstr/>
  </property>
  <property fmtid="{D5CDD505-2E9C-101B-9397-08002B2CF9AE}" pid="20" name="Folder_CreateDate">
    <vt:lpwstr/>
  </property>
  <property fmtid="{D5CDD505-2E9C-101B-9397-08002B2CF9AE}" pid="21" name="Folder_Updater">
    <vt:lpwstr/>
  </property>
  <property fmtid="{D5CDD505-2E9C-101B-9397-08002B2CF9AE}" pid="22" name="Folder_UpdaterDesc">
    <vt:lpwstr/>
  </property>
  <property fmtid="{D5CDD505-2E9C-101B-9397-08002B2CF9AE}" pid="23" name="Folder_UpdateDate">
    <vt:lpwstr/>
  </property>
  <property fmtid="{D5CDD505-2E9C-101B-9397-08002B2CF9AE}" pid="24" name="Document_Number">
    <vt:lpwstr/>
  </property>
  <property fmtid="{D5CDD505-2E9C-101B-9397-08002B2CF9AE}" pid="25" name="Document_Name">
    <vt:lpwstr/>
  </property>
  <property fmtid="{D5CDD505-2E9C-101B-9397-08002B2CF9AE}" pid="26" name="Document_FileName">
    <vt:lpwstr/>
  </property>
  <property fmtid="{D5CDD505-2E9C-101B-9397-08002B2CF9AE}" pid="27" name="Document_Version">
    <vt:lpwstr/>
  </property>
  <property fmtid="{D5CDD505-2E9C-101B-9397-08002B2CF9AE}" pid="28" name="Document_VersionSeq">
    <vt:lpwstr/>
  </property>
  <property fmtid="{D5CDD505-2E9C-101B-9397-08002B2CF9AE}" pid="29" name="Document_Creator">
    <vt:lpwstr/>
  </property>
  <property fmtid="{D5CDD505-2E9C-101B-9397-08002B2CF9AE}" pid="30" name="Document_CreatorDesc">
    <vt:lpwstr/>
  </property>
  <property fmtid="{D5CDD505-2E9C-101B-9397-08002B2CF9AE}" pid="31" name="Document_CreateDate">
    <vt:lpwstr/>
  </property>
  <property fmtid="{D5CDD505-2E9C-101B-9397-08002B2CF9AE}" pid="32" name="Document_Updater">
    <vt:lpwstr/>
  </property>
  <property fmtid="{D5CDD505-2E9C-101B-9397-08002B2CF9AE}" pid="33" name="Document_UpdaterDesc">
    <vt:lpwstr/>
  </property>
  <property fmtid="{D5CDD505-2E9C-101B-9397-08002B2CF9AE}" pid="34" name="Document_UpdateDate">
    <vt:lpwstr/>
  </property>
  <property fmtid="{D5CDD505-2E9C-101B-9397-08002B2CF9AE}" pid="35" name="Document_Size">
    <vt:lpwstr/>
  </property>
  <property fmtid="{D5CDD505-2E9C-101B-9397-08002B2CF9AE}" pid="36" name="Document_Storage">
    <vt:lpwstr/>
  </property>
  <property fmtid="{D5CDD505-2E9C-101B-9397-08002B2CF9AE}" pid="37" name="Document_StorageDesc">
    <vt:lpwstr/>
  </property>
  <property fmtid="{D5CDD505-2E9C-101B-9397-08002B2CF9AE}" pid="38" name="Document_Department">
    <vt:lpwstr/>
  </property>
  <property fmtid="{D5CDD505-2E9C-101B-9397-08002B2CF9AE}" pid="39" name="Document_DepartmentDesc">
    <vt:lpwstr/>
  </property>
</Properties>
</file>