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2024\00625\C. Design\122901-PRE-70_WB_Truck_Parking\400-Engineering\Lighting\EngData\voltage drop\"/>
    </mc:Choice>
  </mc:AlternateContent>
  <xr:revisionPtr revIDLastSave="0" documentId="13_ncr:1_{F1B961D5-9DF4-4437-8ED6-97404127C93C}" xr6:coauthVersionLast="47" xr6:coauthVersionMax="47" xr10:uidLastSave="{00000000-0000-0000-0000-000000000000}"/>
  <bookViews>
    <workbookView xWindow="-120" yWindow="-120" windowWidth="29040" windowHeight="15840" tabRatio="878" activeTab="3" xr2:uid="{00000000-000D-0000-FFFF-FFFF00000000}"/>
  </bookViews>
  <sheets>
    <sheet name="Circuit A" sheetId="27" r:id="rId1"/>
    <sheet name="Circuit B" sheetId="28" r:id="rId2"/>
    <sheet name="Circuit C" sheetId="29" r:id="rId3"/>
    <sheet name="CONTROL CENTER DATA TABLE" sheetId="31" r:id="rId4"/>
  </sheets>
  <externalReferences>
    <externalReference r:id="rId5"/>
    <externalReference r:id="rId6"/>
  </externalReferences>
  <definedNames>
    <definedName name="BELDEN">#REF!</definedName>
    <definedName name="BRACKET">#REF!</definedName>
    <definedName name="CENTERON">#REF!</definedName>
    <definedName name="COLOR">'[2]TIMING CHART'!$N$10:$N$13</definedName>
    <definedName name="conductors10">INDEX(#REF!,,MATCH(#REF!,MATERIAL,0))</definedName>
    <definedName name="conductors11">INDEX(#REF!,,MATCH(#REF!,MATERIAL,0))</definedName>
    <definedName name="conductors12">INDEX(#REF!,,MATCH(#REF!,MATERIAL,0))</definedName>
    <definedName name="conductors13">INDEX(#REF!,,MATCH(#REF!,MATERIAL,0))</definedName>
    <definedName name="conductors14">INDEX(#REF!,,MATCH(#REF!,MATERIAL,0))</definedName>
    <definedName name="conductors15">INDEX(#REF!,,MATCH(#REF!,MATERIAL,0))</definedName>
    <definedName name="conductors16">INDEX(#REF!,,MATCH(#REF!,MATERIAL,0))</definedName>
    <definedName name="conductors17">INDEX(#REF!,,MATCH(#REF!,MATERIAL,0))</definedName>
    <definedName name="conductors18">INDEX(#REF!,,MATCH(#REF!,MATERIAL,0))</definedName>
    <definedName name="conductors19">INDEX(#REF!,,MATCH(#REF!,MATERIAL,0))</definedName>
    <definedName name="conductors20">INDEX(#REF!,,MATCH(#REF!,MATERIAL,0))</definedName>
    <definedName name="conductors21">INDEX(#REF!,,MATCH(#REF!,MATERIAL,0))</definedName>
    <definedName name="conductors22">INDEX(#REF!,,MATCH(#REF!,MATERIAL,0))</definedName>
    <definedName name="conductors23">INDEX(#REF!,,MATCH(#REF!,MATERIAL,0))</definedName>
    <definedName name="conductors24">INDEX(#REF!,,MATCH(#REF!,MATERIAL,0))</definedName>
    <definedName name="conductors25">INDEX(#REF!,,MATCH(#REF!,MATERIAL,0))</definedName>
    <definedName name="conductors26">INDEX(#REF!,,MATCH(#REF!,MATERIAL,0))</definedName>
    <definedName name="conductors27">INDEX(#REF!,,MATCH(#REF!,MATERIAL,0))</definedName>
    <definedName name="conductors28">INDEX(#REF!,,MATCH(#REF!,MATERIAL,0))</definedName>
    <definedName name="conductors29">INDEX(#REF!,,MATCH(#REF!,MATERIAL,0))</definedName>
    <definedName name="conductors5">INDEX(#REF!,,MATCH(#REF!,MATERIAL,0))</definedName>
    <definedName name="conductors6">INDEX(#REF!,,MATCH(#REF!,MATERIAL,0))</definedName>
    <definedName name="conductors7">INDEX(#REF!,,MATCH(#REF!,MATERIAL,0))</definedName>
    <definedName name="conductors8">INDEX(#REF!,,MATCH(#REF!,MATERIAL,0))</definedName>
    <definedName name="conductors9">INDEX(#REF!,,MATCH(#REF!,MATERIAL,0))</definedName>
    <definedName name="DASH">#REF!</definedName>
    <definedName name="EXTENSION?">#REF!</definedName>
    <definedName name="IMSA">#REF!</definedName>
    <definedName name="LDF">#REF!</definedName>
    <definedName name="LENSSIZE">#REF!</definedName>
    <definedName name="MATERIAL">#REF!</definedName>
    <definedName name="OBJECT">#REF!</definedName>
    <definedName name="PE">#REF!</definedName>
    <definedName name="_xlnm.Print_Area" localSheetId="0">'Circuit A'!$A$1:$K$52</definedName>
    <definedName name="_xlnm.Print_Area" localSheetId="1">'Circuit B'!$A$1:$K$51</definedName>
    <definedName name="_xlnm.Print_Area" localSheetId="2">'Circuit C'!$A$1:$K$49</definedName>
    <definedName name="PUSHBUTTON">#REF!</definedName>
    <definedName name="RAKE">#REF!</definedName>
    <definedName name="RGANTENNA">#REF!</definedName>
    <definedName name="RGCOAX">#REF!</definedName>
    <definedName name="RGPOWER">#REF!</definedName>
    <definedName name="SIGNAL">#REF!</definedName>
    <definedName name="SIGNALHEADS">#REF!</definedName>
    <definedName name="SPECIFICATION">#REF!</definedName>
    <definedName name="STARTIN">'[2]TIMING CHART'!$N$6:$N$8</definedName>
    <definedName name="TIMINGCHART">'[2]TIMING CHART'!$N$1:$N$3</definedName>
    <definedName name="UL">#REF!</definedName>
    <definedName name="VOLTAGE_DROP_CALCULA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1" l="1"/>
  <c r="G4" i="31"/>
  <c r="G3" i="31"/>
  <c r="E3" i="31" s="1"/>
  <c r="H8" i="31"/>
  <c r="H7" i="31"/>
  <c r="H6" i="31"/>
  <c r="E6" i="31"/>
  <c r="C6" i="31"/>
  <c r="H5" i="31"/>
  <c r="H4" i="31"/>
  <c r="H3" i="31"/>
  <c r="D35" i="29"/>
  <c r="E32" i="29"/>
  <c r="E31" i="29"/>
  <c r="E29" i="29"/>
  <c r="E28" i="29"/>
  <c r="E26" i="29"/>
  <c r="E25" i="29"/>
  <c r="E24" i="29"/>
  <c r="E23" i="29"/>
  <c r="E22" i="29"/>
  <c r="E21" i="29"/>
  <c r="E19" i="29"/>
  <c r="E18" i="29"/>
  <c r="E17" i="29"/>
  <c r="E16" i="29"/>
  <c r="J35" i="29"/>
  <c r="I32" i="29"/>
  <c r="I31" i="29"/>
  <c r="I29" i="29"/>
  <c r="I28" i="29"/>
  <c r="I26" i="29"/>
  <c r="I25" i="29" s="1"/>
  <c r="I24" i="29" s="1"/>
  <c r="D25" i="29"/>
  <c r="D31" i="29"/>
  <c r="D28" i="29"/>
  <c r="K32" i="29"/>
  <c r="C32" i="29"/>
  <c r="K31" i="29"/>
  <c r="C31" i="29"/>
  <c r="D23" i="29"/>
  <c r="D22" i="29"/>
  <c r="D21" i="29"/>
  <c r="D18" i="29"/>
  <c r="D17" i="29"/>
  <c r="D16" i="29"/>
  <c r="C19" i="29"/>
  <c r="A19" i="29"/>
  <c r="K19" i="29" s="1"/>
  <c r="C18" i="29"/>
  <c r="A18" i="29"/>
  <c r="K18" i="29" s="1"/>
  <c r="C17" i="29"/>
  <c r="A17" i="29"/>
  <c r="K17" i="29" s="1"/>
  <c r="K16" i="29"/>
  <c r="C16" i="29"/>
  <c r="J40" i="29"/>
  <c r="H40" i="29"/>
  <c r="I40" i="29" s="1"/>
  <c r="F40" i="29"/>
  <c r="J39" i="29"/>
  <c r="H39" i="29"/>
  <c r="F39" i="29"/>
  <c r="J38" i="29"/>
  <c r="H38" i="29"/>
  <c r="F38" i="29"/>
  <c r="A32" i="29"/>
  <c r="C29" i="29"/>
  <c r="A29" i="29"/>
  <c r="K29" i="29" s="1"/>
  <c r="C28" i="29"/>
  <c r="K28" i="29"/>
  <c r="C26" i="29"/>
  <c r="A26" i="29"/>
  <c r="K26" i="29" s="1"/>
  <c r="C25" i="29"/>
  <c r="A25" i="29"/>
  <c r="K25" i="29" s="1"/>
  <c r="C24" i="29"/>
  <c r="A24" i="29"/>
  <c r="K24" i="29" s="1"/>
  <c r="C23" i="29"/>
  <c r="A23" i="29"/>
  <c r="K23" i="29" s="1"/>
  <c r="C22" i="29"/>
  <c r="A22" i="29"/>
  <c r="K22" i="29" s="1"/>
  <c r="K21" i="29"/>
  <c r="C21" i="29"/>
  <c r="K15" i="29"/>
  <c r="J15" i="29"/>
  <c r="H15" i="29"/>
  <c r="F15" i="29"/>
  <c r="F5" i="29"/>
  <c r="D37" i="28"/>
  <c r="J37" i="28"/>
  <c r="I34" i="28"/>
  <c r="I32" i="28"/>
  <c r="I31" i="28" s="1"/>
  <c r="I30" i="28" s="1"/>
  <c r="I29" i="28" s="1"/>
  <c r="I33" i="28"/>
  <c r="E31" i="28"/>
  <c r="E32" i="28" s="1"/>
  <c r="E33" i="28" s="1"/>
  <c r="E34" i="28" s="1"/>
  <c r="E30" i="28"/>
  <c r="E29" i="28"/>
  <c r="E28" i="28"/>
  <c r="E27" i="28"/>
  <c r="E26" i="28"/>
  <c r="E18" i="28"/>
  <c r="E19" i="28"/>
  <c r="E20" i="28" s="1"/>
  <c r="E21" i="28" s="1"/>
  <c r="E22" i="28" s="1"/>
  <c r="E23" i="28" s="1"/>
  <c r="E24" i="28" s="1"/>
  <c r="E17" i="28"/>
  <c r="E16" i="28"/>
  <c r="D30" i="28"/>
  <c r="D32" i="28"/>
  <c r="D31" i="28"/>
  <c r="D28" i="28"/>
  <c r="A33" i="28"/>
  <c r="A28" i="28"/>
  <c r="J42" i="28"/>
  <c r="H42" i="28"/>
  <c r="I42" i="28" s="1"/>
  <c r="F42" i="28"/>
  <c r="J41" i="28"/>
  <c r="H41" i="28"/>
  <c r="F41" i="28"/>
  <c r="J40" i="28"/>
  <c r="H40" i="28"/>
  <c r="F40" i="28"/>
  <c r="C34" i="28"/>
  <c r="A34" i="28"/>
  <c r="K34" i="28" s="1"/>
  <c r="C33" i="28"/>
  <c r="K33" i="28"/>
  <c r="C32" i="28"/>
  <c r="A32" i="28"/>
  <c r="K32" i="28" s="1"/>
  <c r="C31" i="28"/>
  <c r="A31" i="28"/>
  <c r="K31" i="28" s="1"/>
  <c r="C30" i="28"/>
  <c r="A30" i="28"/>
  <c r="K30" i="28" s="1"/>
  <c r="C29" i="28"/>
  <c r="A29" i="28"/>
  <c r="K29" i="28" s="1"/>
  <c r="K28" i="28"/>
  <c r="C28" i="28"/>
  <c r="D27" i="28"/>
  <c r="C27" i="28"/>
  <c r="A27" i="28"/>
  <c r="K27" i="28" s="1"/>
  <c r="D26" i="28"/>
  <c r="C26" i="28"/>
  <c r="K26" i="28"/>
  <c r="C24" i="28"/>
  <c r="A24" i="28"/>
  <c r="K24" i="28" s="1"/>
  <c r="D23" i="28"/>
  <c r="C23" i="28"/>
  <c r="A23" i="28"/>
  <c r="K23" i="28" s="1"/>
  <c r="D22" i="28"/>
  <c r="C22" i="28"/>
  <c r="A22" i="28"/>
  <c r="K22" i="28" s="1"/>
  <c r="D21" i="28"/>
  <c r="C21" i="28"/>
  <c r="A21" i="28"/>
  <c r="K21" i="28" s="1"/>
  <c r="D20" i="28"/>
  <c r="C20" i="28"/>
  <c r="A20" i="28"/>
  <c r="K20" i="28" s="1"/>
  <c r="D19" i="28"/>
  <c r="C19" i="28"/>
  <c r="A19" i="28"/>
  <c r="K19" i="28" s="1"/>
  <c r="D18" i="28"/>
  <c r="C18" i="28"/>
  <c r="A18" i="28"/>
  <c r="K18" i="28" s="1"/>
  <c r="D17" i="28"/>
  <c r="C17" i="28"/>
  <c r="A17" i="28"/>
  <c r="K17" i="28" s="1"/>
  <c r="K16" i="28"/>
  <c r="D16" i="28"/>
  <c r="C16" i="28"/>
  <c r="K15" i="28"/>
  <c r="J15" i="28"/>
  <c r="H15" i="28"/>
  <c r="F15" i="28"/>
  <c r="F5" i="28"/>
  <c r="H16" i="27"/>
  <c r="D38" i="27"/>
  <c r="I35" i="27"/>
  <c r="I34" i="27"/>
  <c r="I33" i="27"/>
  <c r="I32" i="27"/>
  <c r="I31" i="27"/>
  <c r="I30" i="27"/>
  <c r="I29" i="27"/>
  <c r="I28" i="27"/>
  <c r="I26" i="27"/>
  <c r="J33" i="27"/>
  <c r="K33" i="27"/>
  <c r="J34" i="27"/>
  <c r="K34" i="27"/>
  <c r="J35" i="27"/>
  <c r="K35" i="27"/>
  <c r="J29" i="27"/>
  <c r="K29" i="27"/>
  <c r="J30" i="27"/>
  <c r="K30" i="27"/>
  <c r="J31" i="27"/>
  <c r="K31" i="27"/>
  <c r="J32" i="27"/>
  <c r="K32" i="27"/>
  <c r="J28" i="27"/>
  <c r="H35" i="27"/>
  <c r="H33" i="27"/>
  <c r="H34" i="27"/>
  <c r="H29" i="27"/>
  <c r="H30" i="27"/>
  <c r="H31" i="27"/>
  <c r="H32" i="27"/>
  <c r="H28" i="27"/>
  <c r="F35" i="27"/>
  <c r="F33" i="27"/>
  <c r="F34" i="27"/>
  <c r="F29" i="27"/>
  <c r="F30" i="27"/>
  <c r="F31" i="27"/>
  <c r="F32" i="27"/>
  <c r="E34" i="27"/>
  <c r="E35" i="27"/>
  <c r="E33" i="27"/>
  <c r="E32" i="27"/>
  <c r="E31" i="27"/>
  <c r="E30" i="27"/>
  <c r="E29" i="27"/>
  <c r="E28" i="27"/>
  <c r="D30" i="27"/>
  <c r="D29" i="27"/>
  <c r="D28" i="27"/>
  <c r="C35" i="27"/>
  <c r="C34" i="27"/>
  <c r="C33" i="27"/>
  <c r="C32" i="27"/>
  <c r="C31" i="27"/>
  <c r="C30" i="27"/>
  <c r="C29" i="27"/>
  <c r="C28" i="27"/>
  <c r="A34" i="27"/>
  <c r="A35" i="27"/>
  <c r="A32" i="27"/>
  <c r="A33" i="27"/>
  <c r="A30" i="27"/>
  <c r="A31" i="27"/>
  <c r="E23" i="27"/>
  <c r="E24" i="27" s="1"/>
  <c r="D23" i="27"/>
  <c r="D24" i="27"/>
  <c r="D25" i="27"/>
  <c r="D26" i="27"/>
  <c r="C26" i="27"/>
  <c r="C25" i="27"/>
  <c r="C24" i="27"/>
  <c r="C23" i="27"/>
  <c r="A23" i="27"/>
  <c r="A24" i="27"/>
  <c r="A25" i="27"/>
  <c r="A26" i="27"/>
  <c r="K26" i="27" s="1"/>
  <c r="A29" i="27"/>
  <c r="K21" i="27"/>
  <c r="K22" i="27"/>
  <c r="K23" i="27"/>
  <c r="K24" i="27"/>
  <c r="K25" i="27"/>
  <c r="K28" i="27"/>
  <c r="H19" i="27"/>
  <c r="H20" i="27"/>
  <c r="H21" i="27"/>
  <c r="H22" i="27"/>
  <c r="H23" i="27"/>
  <c r="H24" i="27"/>
  <c r="F19" i="27"/>
  <c r="F20" i="27"/>
  <c r="F21" i="27"/>
  <c r="F22" i="27"/>
  <c r="F23" i="27"/>
  <c r="F28" i="27"/>
  <c r="D22" i="27"/>
  <c r="C22" i="27"/>
  <c r="C21" i="27"/>
  <c r="C20" i="27"/>
  <c r="E19" i="27"/>
  <c r="E20" i="27" s="1"/>
  <c r="E21" i="27" s="1"/>
  <c r="E22" i="27" s="1"/>
  <c r="D19" i="27"/>
  <c r="D20" i="27"/>
  <c r="D21" i="27"/>
  <c r="C19" i="27"/>
  <c r="A19" i="27"/>
  <c r="A20" i="27"/>
  <c r="K20" i="27" s="1"/>
  <c r="A21" i="27"/>
  <c r="A22" i="27"/>
  <c r="E18" i="27"/>
  <c r="D18" i="27"/>
  <c r="C18" i="27"/>
  <c r="K17" i="27"/>
  <c r="K18" i="27"/>
  <c r="K19" i="27"/>
  <c r="E17" i="27"/>
  <c r="D17" i="27"/>
  <c r="C17" i="27"/>
  <c r="K16" i="27"/>
  <c r="E16" i="27"/>
  <c r="D16" i="27"/>
  <c r="C16" i="27"/>
  <c r="A18" i="27"/>
  <c r="A17" i="27"/>
  <c r="H26" i="27"/>
  <c r="J26" i="27" s="1"/>
  <c r="H25" i="27"/>
  <c r="F18" i="27"/>
  <c r="H18" i="27" s="1"/>
  <c r="H17" i="27"/>
  <c r="F17" i="27"/>
  <c r="F16" i="27"/>
  <c r="F5" i="27"/>
  <c r="H41" i="27"/>
  <c r="H42" i="27"/>
  <c r="H43" i="27"/>
  <c r="H15" i="27"/>
  <c r="F41" i="27"/>
  <c r="F42" i="27"/>
  <c r="F43" i="27"/>
  <c r="C3" i="31" l="1"/>
  <c r="I23" i="29"/>
  <c r="I22" i="29" s="1"/>
  <c r="I21" i="29" s="1"/>
  <c r="I19" i="29"/>
  <c r="I18" i="29" s="1"/>
  <c r="I17" i="29" s="1"/>
  <c r="I16" i="29" s="1"/>
  <c r="F31" i="29"/>
  <c r="H31" i="29" s="1"/>
  <c r="F32" i="29"/>
  <c r="H32" i="29" s="1"/>
  <c r="J32" i="29" s="1"/>
  <c r="F21" i="29"/>
  <c r="H21" i="29" s="1"/>
  <c r="F16" i="29"/>
  <c r="H16" i="29" s="1"/>
  <c r="F22" i="29"/>
  <c r="H22" i="29" s="1"/>
  <c r="F17" i="29"/>
  <c r="H17" i="29" s="1"/>
  <c r="I28" i="28"/>
  <c r="I27" i="28" s="1"/>
  <c r="I26" i="28" s="1"/>
  <c r="I24" i="28"/>
  <c r="I23" i="28" s="1"/>
  <c r="I22" i="28" s="1"/>
  <c r="I21" i="28" s="1"/>
  <c r="I20" i="28" s="1"/>
  <c r="I19" i="28" s="1"/>
  <c r="I18" i="28" s="1"/>
  <c r="I17" i="28" s="1"/>
  <c r="I16" i="28" s="1"/>
  <c r="F29" i="28"/>
  <c r="H29" i="28" s="1"/>
  <c r="F28" i="28"/>
  <c r="H28" i="28" s="1"/>
  <c r="F16" i="28"/>
  <c r="H16" i="28" s="1"/>
  <c r="F24" i="27"/>
  <c r="E25" i="27"/>
  <c r="I25" i="27"/>
  <c r="I43" i="27"/>
  <c r="J43" i="27"/>
  <c r="J31" i="29" l="1"/>
  <c r="F23" i="29"/>
  <c r="H23" i="29" s="1"/>
  <c r="F30" i="28"/>
  <c r="H30" i="28" s="1"/>
  <c r="F17" i="28"/>
  <c r="H17" i="28" s="1"/>
  <c r="I24" i="27"/>
  <c r="J25" i="27"/>
  <c r="I23" i="27"/>
  <c r="J23" i="27" s="1"/>
  <c r="J24" i="27"/>
  <c r="E26" i="27"/>
  <c r="F26" i="27" s="1"/>
  <c r="F25" i="27"/>
  <c r="J42" i="27"/>
  <c r="K15" i="27"/>
  <c r="F18" i="29" l="1"/>
  <c r="H18" i="29" s="1"/>
  <c r="F19" i="29"/>
  <c r="H19" i="29" s="1"/>
  <c r="F18" i="28"/>
  <c r="H18" i="28" s="1"/>
  <c r="F31" i="28"/>
  <c r="H31" i="28" s="1"/>
  <c r="I22" i="27"/>
  <c r="J41" i="27"/>
  <c r="F15" i="27"/>
  <c r="F19" i="28" l="1"/>
  <c r="H19" i="28" s="1"/>
  <c r="I21" i="27"/>
  <c r="J22" i="27"/>
  <c r="J15" i="27"/>
  <c r="F20" i="28" l="1"/>
  <c r="H20" i="28" s="1"/>
  <c r="J21" i="27"/>
  <c r="I20" i="27"/>
  <c r="F21" i="28" l="1"/>
  <c r="H21" i="28" s="1"/>
  <c r="I19" i="27"/>
  <c r="J20" i="27"/>
  <c r="F22" i="28" l="1"/>
  <c r="H22" i="28" s="1"/>
  <c r="J19" i="27"/>
  <c r="I18" i="27"/>
  <c r="F23" i="28" l="1"/>
  <c r="H23" i="28" s="1"/>
  <c r="I17" i="27"/>
  <c r="J18" i="27"/>
  <c r="F24" i="28" l="1"/>
  <c r="H24" i="28" s="1"/>
  <c r="I16" i="27"/>
  <c r="J16" i="27" s="1"/>
  <c r="J38" i="27" s="1"/>
  <c r="J17" i="27"/>
  <c r="F26" i="28" l="1"/>
  <c r="H26" i="28" s="1"/>
  <c r="F24" i="29" l="1"/>
  <c r="H24" i="29" s="1"/>
  <c r="F27" i="28"/>
  <c r="H27" i="28" s="1"/>
  <c r="F25" i="29" l="1"/>
  <c r="H25" i="29" s="1"/>
  <c r="F32" i="28"/>
  <c r="H32" i="28" s="1"/>
  <c r="F26" i="29" l="1"/>
  <c r="H26" i="29" s="1"/>
  <c r="F28" i="29" l="1"/>
  <c r="H28" i="29" s="1"/>
  <c r="F33" i="28"/>
  <c r="H33" i="28" s="1"/>
  <c r="F34" i="28"/>
  <c r="H34" i="28" s="1"/>
  <c r="J34" i="28" s="1"/>
  <c r="F29" i="29" l="1"/>
  <c r="H29" i="29" s="1"/>
  <c r="J33" i="28" l="1"/>
  <c r="J29" i="29" l="1"/>
  <c r="J28" i="29" l="1"/>
  <c r="J32" i="28"/>
  <c r="J26" i="29" l="1"/>
  <c r="J27" i="28"/>
  <c r="J31" i="28"/>
  <c r="J25" i="29" l="1"/>
  <c r="J30" i="28"/>
  <c r="J26" i="28"/>
  <c r="J24" i="29" l="1"/>
  <c r="J24" i="28"/>
  <c r="J29" i="28"/>
  <c r="J28" i="28"/>
  <c r="J23" i="29" l="1"/>
  <c r="J23" i="28"/>
  <c r="J22" i="29" l="1"/>
  <c r="J21" i="29"/>
  <c r="J22" i="28"/>
  <c r="J21" i="28" l="1"/>
  <c r="J20" i="28" l="1"/>
  <c r="J19" i="29" l="1"/>
  <c r="J19" i="28"/>
  <c r="J18" i="29" l="1"/>
  <c r="J18" i="28"/>
  <c r="J17" i="29" l="1"/>
  <c r="J16" i="29"/>
  <c r="J17" i="28"/>
  <c r="J16" i="28"/>
</calcChain>
</file>

<file path=xl/sharedStrings.xml><?xml version="1.0" encoding="utf-8"?>
<sst xmlns="http://schemas.openxmlformats.org/spreadsheetml/2006/main" count="220" uniqueCount="100">
  <si>
    <t>VOLTAGE DROP CALCULATIONS</t>
  </si>
  <si>
    <t>AWG</t>
  </si>
  <si>
    <t>Section</t>
  </si>
  <si>
    <t>From</t>
  </si>
  <si>
    <t>To</t>
  </si>
  <si>
    <t>At Point</t>
  </si>
  <si>
    <t>Accum.</t>
  </si>
  <si>
    <t>Amperes</t>
  </si>
  <si>
    <t>Voltage Drop</t>
  </si>
  <si>
    <t>In Section</t>
  </si>
  <si>
    <t>% Drop</t>
  </si>
  <si>
    <t>ohms/mft/1000</t>
  </si>
  <si>
    <t xml:space="preserve">Wire Factor Used (Two - No. 4 AWG Wires): </t>
  </si>
  <si>
    <t>Voltage:</t>
  </si>
  <si>
    <t xml:space="preserve">Wire Factor Used (Two - No. 8 AWG Wires): </t>
  </si>
  <si>
    <t xml:space="preserve">Wire Factor Used (Two - No. 6 AWG Wires): </t>
  </si>
  <si>
    <t xml:space="preserve">Wire Factor Used (Two - No. 10 AWG Wires): </t>
  </si>
  <si>
    <t>Design
Feet</t>
  </si>
  <si>
    <t>Ampere-
Feet</t>
  </si>
  <si>
    <t>Supply Voltage:</t>
  </si>
  <si>
    <t>Wire Resistance Used:</t>
  </si>
  <si>
    <t>No.</t>
  </si>
  <si>
    <t>AWG.</t>
  </si>
  <si>
    <t>Power Service:</t>
  </si>
  <si>
    <t>County-Route-Section:</t>
  </si>
  <si>
    <t>Circuit:</t>
  </si>
  <si>
    <t>1/0</t>
  </si>
  <si>
    <t>2/0</t>
  </si>
  <si>
    <t>4/0</t>
  </si>
  <si>
    <t>No. of Wires for Calculation Purposes:</t>
  </si>
  <si>
    <t>A1</t>
  </si>
  <si>
    <t>120/240</t>
  </si>
  <si>
    <t>A2</t>
  </si>
  <si>
    <t>A14</t>
  </si>
  <si>
    <t>A13</t>
  </si>
  <si>
    <t>A12</t>
  </si>
  <si>
    <t>A11</t>
  </si>
  <si>
    <t>A10</t>
  </si>
  <si>
    <t>A9</t>
  </si>
  <si>
    <t>A8</t>
  </si>
  <si>
    <t>A7</t>
  </si>
  <si>
    <t>A6</t>
  </si>
  <si>
    <t>A5</t>
  </si>
  <si>
    <t>A4</t>
  </si>
  <si>
    <t>PB-4</t>
  </si>
  <si>
    <t>A3</t>
  </si>
  <si>
    <t>PB-5</t>
  </si>
  <si>
    <t>PB-3</t>
  </si>
  <si>
    <t>PB-2</t>
  </si>
  <si>
    <t>PB-1</t>
  </si>
  <si>
    <t>CC-1</t>
  </si>
  <si>
    <t>MAX % DROP:</t>
  </si>
  <si>
    <t>TOTAL AMPS:</t>
  </si>
  <si>
    <t>Circuit: 'A1'</t>
  </si>
  <si>
    <t>PRE-70 WB TRUCK PARKING</t>
  </si>
  <si>
    <t>Circuit: 'B1'</t>
  </si>
  <si>
    <t>B1</t>
  </si>
  <si>
    <t>B14</t>
  </si>
  <si>
    <t>B13</t>
  </si>
  <si>
    <t>B12</t>
  </si>
  <si>
    <t>B11</t>
  </si>
  <si>
    <t>B10</t>
  </si>
  <si>
    <t>B9</t>
  </si>
  <si>
    <t>B8</t>
  </si>
  <si>
    <t>B6</t>
  </si>
  <si>
    <t>B7</t>
  </si>
  <si>
    <t>PB-7</t>
  </si>
  <si>
    <t>PB-6</t>
  </si>
  <si>
    <t>B5</t>
  </si>
  <si>
    <t>B4</t>
  </si>
  <si>
    <t>B3</t>
  </si>
  <si>
    <t>B2</t>
  </si>
  <si>
    <t>Circuit: 'C1'</t>
  </si>
  <si>
    <t>C1</t>
  </si>
  <si>
    <t>C9</t>
  </si>
  <si>
    <t>C8</t>
  </si>
  <si>
    <t>C7</t>
  </si>
  <si>
    <t>PB-11</t>
  </si>
  <si>
    <t>PB-10</t>
  </si>
  <si>
    <t>C6</t>
  </si>
  <si>
    <t>C5</t>
  </si>
  <si>
    <t>C4</t>
  </si>
  <si>
    <t>C3</t>
  </si>
  <si>
    <t>PB-9</t>
  </si>
  <si>
    <t>PB-8</t>
  </si>
  <si>
    <t>C2</t>
  </si>
  <si>
    <t>CONTROL CENTER DATA</t>
  </si>
  <si>
    <t>CONTROL
CENTER
DESIGNATION</t>
  </si>
  <si>
    <t>LINE
VOLTS</t>
  </si>
  <si>
    <t>CONNECTED
LOAD (KVA)</t>
  </si>
  <si>
    <t>SERVICE
ENTRANCE
CONDUCTOR
SIZE - AWG</t>
  </si>
  <si>
    <t>ENCLOSURE
RATING
(AMPS)</t>
  </si>
  <si>
    <t>CIRCUIT
NO.</t>
  </si>
  <si>
    <t>CIRCUIT
LOAD
AMPS</t>
  </si>
  <si>
    <t>CIRCUIT
FUSE
SIZE
AMPS</t>
  </si>
  <si>
    <t>CIRCUIT
CABLE
SIZE
AWG</t>
  </si>
  <si>
    <t>MAINTAINING
AGENCY</t>
  </si>
  <si>
    <t>-</t>
  </si>
  <si>
    <t>CC-1
(LIGHTING)</t>
  </si>
  <si>
    <t>ODOT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</si>
</sst>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2" fontId="3" fillId="0" borderId="5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49" fontId="6" fillId="0" borderId="0" xfId="0" applyNumberFormat="1" applyFont="1" applyAlignment="1">
      <alignment horizontal="right"/>
    </xf>
    <xf numFmtId="2" fontId="0" fillId="0" borderId="0" xfId="0" applyNumberFormat="1"/>
    <xf numFmtId="164" fontId="5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1" fillId="0" borderId="0" xfId="3"/>
    <xf numFmtId="0" fontId="8" fillId="0" borderId="1" xfId="3" applyFont="1" applyBorder="1" applyAlignment="1">
      <alignment horizontal="center" vertical="center" wrapText="1"/>
    </xf>
    <xf numFmtId="0" fontId="8" fillId="0" borderId="2" xfId="3" quotePrefix="1" applyFont="1" applyBorder="1" applyAlignment="1" applyProtection="1">
      <alignment horizontal="center" vertical="center"/>
      <protection locked="0"/>
    </xf>
    <xf numFmtId="165" fontId="8" fillId="0" borderId="2" xfId="3" quotePrefix="1" applyNumberFormat="1" applyFont="1" applyBorder="1" applyAlignment="1" applyProtection="1">
      <alignment horizontal="center" vertical="center"/>
      <protection locked="0"/>
    </xf>
    <xf numFmtId="0" fontId="8" fillId="0" borderId="1" xfId="3" quotePrefix="1" applyFont="1" applyBorder="1" applyAlignment="1" applyProtection="1">
      <alignment horizontal="center" vertical="center"/>
      <protection locked="0"/>
    </xf>
    <xf numFmtId="2" fontId="8" fillId="0" borderId="1" xfId="3" quotePrefix="1" applyNumberFormat="1" applyFont="1" applyBorder="1" applyAlignment="1" applyProtection="1">
      <alignment horizontal="center" vertical="center"/>
      <protection locked="0"/>
    </xf>
    <xf numFmtId="0" fontId="8" fillId="0" borderId="7" xfId="3" quotePrefix="1" applyFont="1" applyBorder="1" applyAlignment="1" applyProtection="1">
      <alignment horizontal="center" vertical="center"/>
      <protection locked="0"/>
    </xf>
    <xf numFmtId="165" fontId="8" fillId="0" borderId="7" xfId="3" quotePrefix="1" applyNumberFormat="1" applyFont="1" applyBorder="1" applyAlignment="1" applyProtection="1">
      <alignment horizontal="center" vertical="center"/>
      <protection locked="0"/>
    </xf>
    <xf numFmtId="0" fontId="8" fillId="0" borderId="3" xfId="3" quotePrefix="1" applyFont="1" applyBorder="1" applyAlignment="1" applyProtection="1">
      <alignment horizontal="center" vertical="center"/>
      <protection locked="0"/>
    </xf>
    <xf numFmtId="165" fontId="8" fillId="0" borderId="3" xfId="3" quotePrefix="1" applyNumberFormat="1" applyFont="1" applyBorder="1" applyAlignment="1" applyProtection="1">
      <alignment horizontal="center" vertical="center"/>
      <protection locked="0"/>
    </xf>
    <xf numFmtId="0" fontId="1" fillId="0" borderId="0" xfId="3" applyAlignment="1">
      <alignment horizontal="center"/>
    </xf>
    <xf numFmtId="49" fontId="1" fillId="0" borderId="0" xfId="3" applyNumberFormat="1" applyAlignment="1">
      <alignment horizontal="center"/>
    </xf>
    <xf numFmtId="0" fontId="8" fillId="0" borderId="2" xfId="3" quotePrefix="1" applyFont="1" applyBorder="1" applyAlignment="1" applyProtection="1">
      <alignment horizontal="center" vertical="center" wrapText="1"/>
      <protection locked="0"/>
    </xf>
    <xf numFmtId="17" fontId="8" fillId="0" borderId="2" xfId="3" quotePrefix="1" applyNumberFormat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1000000}"/>
    <cellStyle name="Normal 3" xfId="3" xr:uid="{E619EA16-F0D0-4DF8-B372-21B8BE159653}"/>
    <cellStyle name="Percent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2024\00625\C.%20Design\122901-PRE-70_WB_Truck_Parking\400-Engineering\Lighting\EngData\voltage%20drop\LDRP-Control-Center-Data-Chart.xlsx" TargetMode="External"/><Relationship Id="rId1" Type="http://schemas.openxmlformats.org/officeDocument/2006/relationships/externalLinkPath" Target="LDRP-Control-Center-Data-Ch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\Admin\Documents\Signal%20Design%20Reference%20Packet\Rev%204_01-15-16\OTO%20-%20Standard%20Signal%20Plan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 CENTER DATA TAB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ING CHART"/>
      <sheetName val="SIGNAL DETECTOR CHART"/>
      <sheetName val="RADAR DETECTION CHART"/>
      <sheetName val="MAST ARM TABLE"/>
      <sheetName val="STRAIN POLE"/>
      <sheetName val="FIELD WIRING HOOK-UP"/>
      <sheetName val="COORD SPLITS"/>
      <sheetName val="COORD TIMING PLANS"/>
      <sheetName val="COORD SETTINGS (ECONOLITE)"/>
      <sheetName val="COORD SETTINGS (SIEMENS)"/>
      <sheetName val="VOLUME"/>
      <sheetName val="VOL. INFO"/>
    </sheetNames>
    <sheetDataSet>
      <sheetData sheetId="0">
        <row r="1">
          <cell r="N1" t="str">
            <v>-</v>
          </cell>
        </row>
        <row r="2">
          <cell r="N2" t="str">
            <v>YES</v>
          </cell>
        </row>
        <row r="3">
          <cell r="N3" t="str">
            <v>NO</v>
          </cell>
        </row>
        <row r="6">
          <cell r="N6" t="str">
            <v>-</v>
          </cell>
        </row>
        <row r="7">
          <cell r="N7" t="str">
            <v>YELLOW/RED FLASH</v>
          </cell>
        </row>
        <row r="8">
          <cell r="N8" t="str">
            <v>ALL RED</v>
          </cell>
        </row>
        <row r="10">
          <cell r="N10" t="str">
            <v>-</v>
          </cell>
        </row>
        <row r="11">
          <cell r="N11" t="str">
            <v>GREEN</v>
          </cell>
        </row>
        <row r="12">
          <cell r="N12" t="str">
            <v>YELLOW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zoomScaleNormal="100" workbookViewId="0">
      <selection activeCell="AC16" sqref="AC16"/>
    </sheetView>
  </sheetViews>
  <sheetFormatPr defaultColWidth="9.140625" defaultRowHeight="12.75" zeroHeight="1" x14ac:dyDescent="0.2"/>
  <cols>
    <col min="1" max="2" width="11.7109375" customWidth="1"/>
    <col min="3" max="7" width="9.140625" customWidth="1"/>
    <col min="8" max="8" width="10.85546875" customWidth="1"/>
    <col min="9" max="10" width="9.140625" customWidth="1"/>
    <col min="11" max="11" width="11.42578125" bestFit="1" customWidth="1"/>
    <col min="12" max="19" width="0" hidden="1" customWidth="1"/>
  </cols>
  <sheetData>
    <row r="1" spans="1:19" ht="15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M1" s="13"/>
      <c r="R1" s="13">
        <v>14</v>
      </c>
      <c r="S1" s="26">
        <v>3.1</v>
      </c>
    </row>
    <row r="2" spans="1:19" ht="14.25" x14ac:dyDescent="0.2">
      <c r="A2" s="20" t="s">
        <v>24</v>
      </c>
      <c r="B2" s="20"/>
      <c r="C2" s="20" t="s">
        <v>54</v>
      </c>
      <c r="D2" s="20"/>
      <c r="E2" s="20"/>
      <c r="F2" s="20"/>
      <c r="G2" s="20" t="s">
        <v>29</v>
      </c>
      <c r="H2" s="20"/>
      <c r="I2" s="20"/>
      <c r="J2" s="20"/>
      <c r="K2" s="19">
        <v>2</v>
      </c>
      <c r="M2" s="13"/>
      <c r="R2" s="13">
        <v>12</v>
      </c>
      <c r="S2" s="26">
        <v>2</v>
      </c>
    </row>
    <row r="3" spans="1:19" ht="14.25" x14ac:dyDescent="0.2">
      <c r="A3" s="20" t="s">
        <v>23</v>
      </c>
      <c r="B3" s="20"/>
      <c r="C3" s="24">
        <v>240</v>
      </c>
      <c r="D3" s="20" t="s">
        <v>25</v>
      </c>
      <c r="E3" s="20" t="s">
        <v>30</v>
      </c>
      <c r="F3" s="20"/>
      <c r="G3" s="20"/>
      <c r="H3" s="20"/>
      <c r="I3" s="20"/>
      <c r="J3" s="20"/>
      <c r="K3" s="20"/>
      <c r="M3" s="13"/>
      <c r="R3" s="13">
        <v>10</v>
      </c>
      <c r="S3" s="26">
        <v>1.2</v>
      </c>
    </row>
    <row r="4" spans="1:19" ht="14.25" x14ac:dyDescent="0.2">
      <c r="A4" s="20" t="s">
        <v>19</v>
      </c>
      <c r="B4" s="20"/>
      <c r="C4" s="20" t="s">
        <v>31</v>
      </c>
      <c r="D4" s="20"/>
      <c r="E4" s="20"/>
      <c r="F4" s="20"/>
      <c r="G4" s="20"/>
      <c r="H4" s="20"/>
      <c r="I4" s="20"/>
      <c r="J4" s="20"/>
      <c r="K4" s="20"/>
      <c r="R4" s="13">
        <v>8</v>
      </c>
      <c r="S4" s="26">
        <v>0.78</v>
      </c>
    </row>
    <row r="5" spans="1:19" ht="14.25" x14ac:dyDescent="0.2">
      <c r="A5" s="20" t="s">
        <v>20</v>
      </c>
      <c r="B5" s="20"/>
      <c r="C5" s="20" t="s">
        <v>21</v>
      </c>
      <c r="D5" s="19">
        <v>4</v>
      </c>
      <c r="E5" s="20" t="s">
        <v>22</v>
      </c>
      <c r="F5" s="27">
        <f>IF(D5="","",VLOOKUP(D5,R1:S10,2,FALSE))</f>
        <v>0.31</v>
      </c>
      <c r="G5" s="20"/>
      <c r="H5" s="20"/>
      <c r="I5" s="20"/>
      <c r="J5" s="20"/>
      <c r="K5" s="20"/>
      <c r="R5" s="13">
        <v>6</v>
      </c>
      <c r="S5" s="26">
        <v>0.49</v>
      </c>
    </row>
    <row r="6" spans="1:19" ht="14.25" x14ac:dyDescent="0.2">
      <c r="A6" s="20"/>
      <c r="B6" s="20"/>
      <c r="C6" s="20" t="s">
        <v>21</v>
      </c>
      <c r="D6" s="19"/>
      <c r="E6" s="20" t="s">
        <v>22</v>
      </c>
      <c r="F6" s="19"/>
      <c r="G6" s="20"/>
      <c r="H6" s="20"/>
      <c r="I6" s="20"/>
      <c r="J6" s="20"/>
      <c r="K6" s="20"/>
      <c r="R6" s="13">
        <v>4</v>
      </c>
      <c r="S6" s="26">
        <v>0.31</v>
      </c>
    </row>
    <row r="7" spans="1:1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3"/>
      <c r="R7" s="13">
        <v>2</v>
      </c>
      <c r="S7" s="26">
        <v>0.19</v>
      </c>
    </row>
    <row r="8" spans="1:19" x14ac:dyDescent="0.2">
      <c r="A8" s="4" t="s">
        <v>13</v>
      </c>
      <c r="B8" s="12">
        <v>480</v>
      </c>
      <c r="C8" s="33" t="s">
        <v>16</v>
      </c>
      <c r="D8" s="34"/>
      <c r="E8" s="34"/>
      <c r="F8" s="34"/>
      <c r="G8" s="34"/>
      <c r="H8" s="21">
        <v>2.4</v>
      </c>
      <c r="I8" s="35" t="s">
        <v>11</v>
      </c>
      <c r="J8" s="36"/>
      <c r="K8" s="2" t="s">
        <v>53</v>
      </c>
      <c r="R8" s="25" t="s">
        <v>26</v>
      </c>
      <c r="S8" s="26">
        <v>0.12</v>
      </c>
    </row>
    <row r="9" spans="1:19" x14ac:dyDescent="0.2">
      <c r="A9" s="7"/>
      <c r="B9" s="8"/>
      <c r="C9" s="33" t="s">
        <v>14</v>
      </c>
      <c r="D9" s="34"/>
      <c r="E9" s="34"/>
      <c r="F9" s="34"/>
      <c r="G9" s="34"/>
      <c r="H9" s="21">
        <v>1.56</v>
      </c>
      <c r="I9" s="35" t="s">
        <v>11</v>
      </c>
      <c r="J9" s="36"/>
      <c r="K9" s="3"/>
      <c r="R9" s="25" t="s">
        <v>27</v>
      </c>
      <c r="S9" s="26">
        <v>0.1</v>
      </c>
    </row>
    <row r="10" spans="1:19" x14ac:dyDescent="0.2">
      <c r="A10" s="7"/>
      <c r="B10" s="8"/>
      <c r="C10" s="9" t="s">
        <v>15</v>
      </c>
      <c r="D10" s="10"/>
      <c r="E10" s="10"/>
      <c r="F10" s="10"/>
      <c r="G10" s="10"/>
      <c r="H10" s="21">
        <v>0.98</v>
      </c>
      <c r="I10" s="11" t="s">
        <v>11</v>
      </c>
      <c r="J10" s="12"/>
      <c r="K10" s="3"/>
      <c r="R10" s="25" t="s">
        <v>28</v>
      </c>
      <c r="S10">
        <v>7.9000000000000001E-2</v>
      </c>
    </row>
    <row r="11" spans="1:19" x14ac:dyDescent="0.2">
      <c r="A11" s="7"/>
      <c r="B11" s="8"/>
      <c r="C11" s="9" t="s">
        <v>12</v>
      </c>
      <c r="D11" s="10"/>
      <c r="E11" s="10"/>
      <c r="F11" s="10"/>
      <c r="G11" s="10"/>
      <c r="H11" s="21">
        <v>0.62</v>
      </c>
      <c r="I11" s="11" t="s">
        <v>11</v>
      </c>
      <c r="J11" s="12"/>
      <c r="K11" s="3"/>
      <c r="R11" s="17"/>
    </row>
    <row r="12" spans="1:1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R12" s="17"/>
    </row>
    <row r="13" spans="1:19" x14ac:dyDescent="0.2">
      <c r="A13" s="37" t="s">
        <v>2</v>
      </c>
      <c r="B13" s="38"/>
      <c r="C13" s="38"/>
      <c r="D13" s="37" t="s">
        <v>7</v>
      </c>
      <c r="E13" s="38"/>
      <c r="F13" s="28" t="s">
        <v>18</v>
      </c>
      <c r="G13" s="30" t="s">
        <v>1</v>
      </c>
      <c r="H13" s="37" t="s">
        <v>8</v>
      </c>
      <c r="I13" s="38"/>
      <c r="J13" s="30" t="s">
        <v>10</v>
      </c>
      <c r="K13" s="30" t="s">
        <v>5</v>
      </c>
      <c r="R13" s="17"/>
    </row>
    <row r="14" spans="1:19" ht="25.5" x14ac:dyDescent="0.2">
      <c r="A14" s="18" t="s">
        <v>3</v>
      </c>
      <c r="B14" s="18" t="s">
        <v>4</v>
      </c>
      <c r="C14" s="22" t="s">
        <v>17</v>
      </c>
      <c r="D14" s="18" t="s">
        <v>5</v>
      </c>
      <c r="E14" s="18" t="s">
        <v>6</v>
      </c>
      <c r="F14" s="29"/>
      <c r="G14" s="31"/>
      <c r="H14" s="23" t="s">
        <v>9</v>
      </c>
      <c r="I14" s="23" t="s">
        <v>6</v>
      </c>
      <c r="J14" s="31"/>
      <c r="K14" s="31"/>
      <c r="R14" s="17"/>
    </row>
    <row r="15" spans="1:19" x14ac:dyDescent="0.2">
      <c r="A15" s="2"/>
      <c r="B15" s="2"/>
      <c r="C15" s="5"/>
      <c r="D15" s="6"/>
      <c r="E15" s="6"/>
      <c r="F15" s="5" t="str">
        <f t="shared" ref="F15:F43" si="0">IF(E15="","",C15*E15)</f>
        <v/>
      </c>
      <c r="G15" s="2"/>
      <c r="H15" s="6" t="str">
        <f>IF(G15="","",F15*(2*(VLOOKUP(G15,$R$1:$S$10,2,FALSE)))/1000)</f>
        <v/>
      </c>
      <c r="I15" s="6"/>
      <c r="J15" s="6" t="str">
        <f>IF(G15="","",I15/$B$8*100)</f>
        <v/>
      </c>
      <c r="K15" s="2" t="str">
        <f>IF(A15="","",A15)</f>
        <v/>
      </c>
      <c r="R15" s="17"/>
    </row>
    <row r="16" spans="1:19" x14ac:dyDescent="0.2">
      <c r="A16" s="41" t="s">
        <v>33</v>
      </c>
      <c r="B16" s="41" t="s">
        <v>34</v>
      </c>
      <c r="C16" s="42">
        <f>236+10</f>
        <v>246</v>
      </c>
      <c r="D16" s="43">
        <f>175/$C$3</f>
        <v>0.72916666666666663</v>
      </c>
      <c r="E16" s="43">
        <f>D16</f>
        <v>0.72916666666666663</v>
      </c>
      <c r="F16" s="42">
        <f t="shared" ref="F16:F40" si="1">IF(E16="","",C16*E16)</f>
        <v>179.375</v>
      </c>
      <c r="G16" s="41">
        <v>4</v>
      </c>
      <c r="H16" s="43">
        <f t="shared" ref="H16" si="2">IF(G16="","",F16*(2*(VLOOKUP(G16,$R$1:$S$10,2,FALSE)))/1000)</f>
        <v>0.11121250000000001</v>
      </c>
      <c r="I16" s="43">
        <f>H16+I17</f>
        <v>12.677876250000002</v>
      </c>
      <c r="J16" s="43">
        <f t="shared" ref="J16:J34" si="3">IF(G16="","",I16/$B$8*100)</f>
        <v>2.6412242187500006</v>
      </c>
      <c r="K16" s="41" t="str">
        <f>A16</f>
        <v>A14</v>
      </c>
    </row>
    <row r="17" spans="1:11" x14ac:dyDescent="0.2">
      <c r="A17" s="41" t="str">
        <f>B16</f>
        <v>A13</v>
      </c>
      <c r="B17" s="41" t="s">
        <v>35</v>
      </c>
      <c r="C17" s="42">
        <f>236+10</f>
        <v>246</v>
      </c>
      <c r="D17" s="43">
        <f>175/$C$3</f>
        <v>0.72916666666666663</v>
      </c>
      <c r="E17" s="43">
        <f>D17+E16</f>
        <v>1.4583333333333333</v>
      </c>
      <c r="F17" s="42">
        <f t="shared" ref="F17:F35" si="4">IF(E17="","",C17*E17)</f>
        <v>358.75</v>
      </c>
      <c r="G17" s="41">
        <v>4</v>
      </c>
      <c r="H17" s="43">
        <f t="shared" ref="H17:H32" si="5">IF(G17="","",F17*(2*(VLOOKUP(G17,$R$1:$S$10,2,FALSE)))/1000)</f>
        <v>0.22242500000000001</v>
      </c>
      <c r="I17" s="43">
        <f t="shared" ref="I17:I35" si="6">H17+I18</f>
        <v>12.566663750000002</v>
      </c>
      <c r="J17" s="43">
        <f t="shared" ref="J17:J32" si="7">IF(G17="","",I17/$B$8*100)</f>
        <v>2.6180549479166668</v>
      </c>
      <c r="K17" s="41" t="str">
        <f t="shared" ref="K17:K28" si="8">A17</f>
        <v>A13</v>
      </c>
    </row>
    <row r="18" spans="1:11" x14ac:dyDescent="0.2">
      <c r="A18" s="41" t="str">
        <f>B17</f>
        <v>A12</v>
      </c>
      <c r="B18" s="41" t="s">
        <v>36</v>
      </c>
      <c r="C18" s="42">
        <f>236+10</f>
        <v>246</v>
      </c>
      <c r="D18" s="43">
        <f>175/$C$3</f>
        <v>0.72916666666666663</v>
      </c>
      <c r="E18" s="43">
        <f>D18+E17</f>
        <v>2.1875</v>
      </c>
      <c r="F18" s="42">
        <f t="shared" si="4"/>
        <v>538.125</v>
      </c>
      <c r="G18" s="41">
        <v>4</v>
      </c>
      <c r="H18" s="43">
        <f t="shared" si="5"/>
        <v>0.33363749999999998</v>
      </c>
      <c r="I18" s="43">
        <f t="shared" si="6"/>
        <v>12.344238750000002</v>
      </c>
      <c r="J18" s="43">
        <f t="shared" si="7"/>
        <v>2.5717164062500006</v>
      </c>
      <c r="K18" s="41" t="str">
        <f t="shared" si="8"/>
        <v>A12</v>
      </c>
    </row>
    <row r="19" spans="1:11" x14ac:dyDescent="0.2">
      <c r="A19" s="41" t="str">
        <f t="shared" ref="A19:A35" si="9">B18</f>
        <v>A11</v>
      </c>
      <c r="B19" s="41" t="s">
        <v>37</v>
      </c>
      <c r="C19" s="42">
        <f>236+10</f>
        <v>246</v>
      </c>
      <c r="D19" s="43">
        <f t="shared" ref="D19:D26" si="10">175/$C$3</f>
        <v>0.72916666666666663</v>
      </c>
      <c r="E19" s="43">
        <f t="shared" ref="E19:E26" si="11">D19+E18</f>
        <v>2.9166666666666665</v>
      </c>
      <c r="F19" s="42">
        <f t="shared" si="4"/>
        <v>717.5</v>
      </c>
      <c r="G19" s="41">
        <v>4</v>
      </c>
      <c r="H19" s="43">
        <f t="shared" si="5"/>
        <v>0.44485000000000002</v>
      </c>
      <c r="I19" s="43">
        <f t="shared" si="6"/>
        <v>12.010601250000002</v>
      </c>
      <c r="J19" s="43">
        <f t="shared" si="7"/>
        <v>2.5022085937500003</v>
      </c>
      <c r="K19" s="41" t="str">
        <f t="shared" si="8"/>
        <v>A11</v>
      </c>
    </row>
    <row r="20" spans="1:11" x14ac:dyDescent="0.2">
      <c r="A20" s="41" t="str">
        <f t="shared" si="9"/>
        <v>A10</v>
      </c>
      <c r="B20" s="41" t="s">
        <v>38</v>
      </c>
      <c r="C20" s="42">
        <f>235+10</f>
        <v>245</v>
      </c>
      <c r="D20" s="43">
        <f t="shared" si="10"/>
        <v>0.72916666666666663</v>
      </c>
      <c r="E20" s="43">
        <f t="shared" si="11"/>
        <v>3.645833333333333</v>
      </c>
      <c r="F20" s="42">
        <f t="shared" si="4"/>
        <v>893.22916666666663</v>
      </c>
      <c r="G20" s="41">
        <v>4</v>
      </c>
      <c r="H20" s="43">
        <f t="shared" si="5"/>
        <v>0.55380208333333325</v>
      </c>
      <c r="I20" s="43">
        <f t="shared" si="6"/>
        <v>11.565751250000002</v>
      </c>
      <c r="J20" s="43">
        <f t="shared" si="7"/>
        <v>2.409531510416667</v>
      </c>
      <c r="K20" s="41" t="str">
        <f t="shared" si="8"/>
        <v>A10</v>
      </c>
    </row>
    <row r="21" spans="1:11" x14ac:dyDescent="0.2">
      <c r="A21" s="41" t="str">
        <f t="shared" si="9"/>
        <v>A9</v>
      </c>
      <c r="B21" s="41" t="s">
        <v>39</v>
      </c>
      <c r="C21" s="42">
        <f>236+10</f>
        <v>246</v>
      </c>
      <c r="D21" s="43">
        <f t="shared" si="10"/>
        <v>0.72916666666666663</v>
      </c>
      <c r="E21" s="43">
        <f t="shared" si="11"/>
        <v>4.375</v>
      </c>
      <c r="F21" s="42">
        <f t="shared" si="4"/>
        <v>1076.25</v>
      </c>
      <c r="G21" s="41">
        <v>4</v>
      </c>
      <c r="H21" s="43">
        <f t="shared" si="5"/>
        <v>0.66727499999999995</v>
      </c>
      <c r="I21" s="43">
        <f t="shared" si="6"/>
        <v>11.011949166666669</v>
      </c>
      <c r="J21" s="43">
        <f t="shared" si="7"/>
        <v>2.2941560763888891</v>
      </c>
      <c r="K21" s="41" t="str">
        <f t="shared" si="8"/>
        <v>A9</v>
      </c>
    </row>
    <row r="22" spans="1:11" x14ac:dyDescent="0.2">
      <c r="A22" s="41" t="str">
        <f t="shared" si="9"/>
        <v>A8</v>
      </c>
      <c r="B22" s="41" t="s">
        <v>40</v>
      </c>
      <c r="C22" s="42">
        <f>236+10</f>
        <v>246</v>
      </c>
      <c r="D22" s="43">
        <f t="shared" si="10"/>
        <v>0.72916666666666663</v>
      </c>
      <c r="E22" s="43">
        <f t="shared" si="11"/>
        <v>5.104166666666667</v>
      </c>
      <c r="F22" s="42">
        <f t="shared" si="4"/>
        <v>1255.625</v>
      </c>
      <c r="G22" s="41">
        <v>4</v>
      </c>
      <c r="H22" s="43">
        <f t="shared" si="5"/>
        <v>0.7784875</v>
      </c>
      <c r="I22" s="43">
        <f t="shared" si="6"/>
        <v>10.344674166666669</v>
      </c>
      <c r="J22" s="43">
        <f t="shared" si="7"/>
        <v>2.1551404513888892</v>
      </c>
      <c r="K22" s="41" t="str">
        <f t="shared" si="8"/>
        <v>A8</v>
      </c>
    </row>
    <row r="23" spans="1:11" x14ac:dyDescent="0.2">
      <c r="A23" s="41" t="str">
        <f t="shared" si="9"/>
        <v>A7</v>
      </c>
      <c r="B23" s="41" t="s">
        <v>41</v>
      </c>
      <c r="C23" s="42">
        <f>235+10</f>
        <v>245</v>
      </c>
      <c r="D23" s="43">
        <f t="shared" si="10"/>
        <v>0.72916666666666663</v>
      </c>
      <c r="E23" s="43">
        <f t="shared" si="11"/>
        <v>5.8333333333333339</v>
      </c>
      <c r="F23" s="42">
        <f t="shared" si="4"/>
        <v>1429.1666666666667</v>
      </c>
      <c r="G23" s="41">
        <v>4</v>
      </c>
      <c r="H23" s="43">
        <f t="shared" si="5"/>
        <v>0.88608333333333333</v>
      </c>
      <c r="I23" s="43">
        <f t="shared" si="6"/>
        <v>9.5661866666666686</v>
      </c>
      <c r="J23" s="43">
        <f t="shared" si="7"/>
        <v>1.9929555555555558</v>
      </c>
      <c r="K23" s="41" t="str">
        <f t="shared" si="8"/>
        <v>A7</v>
      </c>
    </row>
    <row r="24" spans="1:11" x14ac:dyDescent="0.2">
      <c r="A24" s="41" t="str">
        <f t="shared" si="9"/>
        <v>A6</v>
      </c>
      <c r="B24" s="41" t="s">
        <v>42</v>
      </c>
      <c r="C24" s="42">
        <f>238+10</f>
        <v>248</v>
      </c>
      <c r="D24" s="43">
        <f t="shared" si="10"/>
        <v>0.72916666666666663</v>
      </c>
      <c r="E24" s="43">
        <f t="shared" si="11"/>
        <v>6.5625000000000009</v>
      </c>
      <c r="F24" s="42">
        <f t="shared" si="4"/>
        <v>1627.5000000000002</v>
      </c>
      <c r="G24" s="41">
        <v>4</v>
      </c>
      <c r="H24" s="43">
        <f t="shared" si="5"/>
        <v>1.0090500000000002</v>
      </c>
      <c r="I24" s="43">
        <f t="shared" si="6"/>
        <v>8.6801033333333351</v>
      </c>
      <c r="J24" s="43">
        <f t="shared" si="7"/>
        <v>1.8083548611111115</v>
      </c>
      <c r="K24" s="41" t="str">
        <f t="shared" si="8"/>
        <v>A6</v>
      </c>
    </row>
    <row r="25" spans="1:11" x14ac:dyDescent="0.2">
      <c r="A25" s="41" t="str">
        <f t="shared" si="9"/>
        <v>A5</v>
      </c>
      <c r="B25" s="41" t="s">
        <v>43</v>
      </c>
      <c r="C25" s="42">
        <f>210+10</f>
        <v>220</v>
      </c>
      <c r="D25" s="43">
        <f t="shared" si="10"/>
        <v>0.72916666666666663</v>
      </c>
      <c r="E25" s="43">
        <f t="shared" si="11"/>
        <v>7.2916666666666679</v>
      </c>
      <c r="F25" s="42">
        <f t="shared" si="4"/>
        <v>1604.166666666667</v>
      </c>
      <c r="G25" s="41">
        <v>4</v>
      </c>
      <c r="H25" s="43">
        <f t="shared" ref="H25:H35" si="12">IF(G25="","",F25*(2*(VLOOKUP(G25,$R$1:$S$10,2,FALSE)))/1000)</f>
        <v>0.99458333333333349</v>
      </c>
      <c r="I25" s="43">
        <f t="shared" si="6"/>
        <v>7.6710533333333339</v>
      </c>
      <c r="J25" s="43">
        <f t="shared" ref="J25:J28" si="13">IF(G25="","",I25/$B$8*100)</f>
        <v>1.5981361111111112</v>
      </c>
      <c r="K25" s="41" t="str">
        <f t="shared" si="8"/>
        <v>A5</v>
      </c>
    </row>
    <row r="26" spans="1:11" x14ac:dyDescent="0.2">
      <c r="A26" s="41" t="str">
        <f t="shared" si="9"/>
        <v>A4</v>
      </c>
      <c r="B26" s="41" t="s">
        <v>44</v>
      </c>
      <c r="C26" s="42">
        <f>38+10</f>
        <v>48</v>
      </c>
      <c r="D26" s="43">
        <f t="shared" si="10"/>
        <v>0.72916666666666663</v>
      </c>
      <c r="E26" s="43">
        <f t="shared" si="11"/>
        <v>8.0208333333333339</v>
      </c>
      <c r="F26" s="42">
        <f t="shared" si="4"/>
        <v>385</v>
      </c>
      <c r="G26" s="41">
        <v>4</v>
      </c>
      <c r="H26" s="43">
        <f t="shared" si="12"/>
        <v>0.2387</v>
      </c>
      <c r="I26" s="43">
        <f>H26+I32</f>
        <v>6.6764700000000001</v>
      </c>
      <c r="J26" s="43">
        <f t="shared" si="13"/>
        <v>1.39093125</v>
      </c>
      <c r="K26" s="41" t="str">
        <f t="shared" si="8"/>
        <v>A4</v>
      </c>
    </row>
    <row r="27" spans="1:11" x14ac:dyDescent="0.2">
      <c r="A27" s="41"/>
      <c r="B27" s="41"/>
      <c r="C27" s="42"/>
      <c r="D27" s="43"/>
      <c r="E27" s="43"/>
      <c r="F27" s="42"/>
      <c r="G27" s="41"/>
      <c r="H27" s="43"/>
      <c r="I27" s="43"/>
      <c r="J27" s="43"/>
      <c r="K27" s="41"/>
    </row>
    <row r="28" spans="1:11" x14ac:dyDescent="0.2">
      <c r="A28" s="41" t="s">
        <v>45</v>
      </c>
      <c r="B28" s="41" t="s">
        <v>32</v>
      </c>
      <c r="C28" s="42">
        <f>285+10</f>
        <v>295</v>
      </c>
      <c r="D28" s="43">
        <f>1180/$C$3</f>
        <v>4.916666666666667</v>
      </c>
      <c r="E28" s="43">
        <f>D28</f>
        <v>4.916666666666667</v>
      </c>
      <c r="F28" s="42">
        <f t="shared" si="4"/>
        <v>1450.4166666666667</v>
      </c>
      <c r="G28" s="41">
        <v>4</v>
      </c>
      <c r="H28" s="43">
        <f t="shared" si="12"/>
        <v>0.89925833333333327</v>
      </c>
      <c r="I28" s="43">
        <f>H28+I29</f>
        <v>11.394360000000001</v>
      </c>
      <c r="J28" s="43">
        <f t="shared" si="13"/>
        <v>2.3738250000000001</v>
      </c>
      <c r="K28" s="41" t="str">
        <f t="shared" si="8"/>
        <v>A3</v>
      </c>
    </row>
    <row r="29" spans="1:11" x14ac:dyDescent="0.2">
      <c r="A29" s="41" t="str">
        <f t="shared" si="9"/>
        <v>A2</v>
      </c>
      <c r="B29" s="41" t="s">
        <v>30</v>
      </c>
      <c r="C29" s="42">
        <f>291+10</f>
        <v>301</v>
      </c>
      <c r="D29" s="43">
        <f>1180/$C$3</f>
        <v>4.916666666666667</v>
      </c>
      <c r="E29" s="43">
        <f>D29+E28</f>
        <v>9.8333333333333339</v>
      </c>
      <c r="F29" s="42">
        <f t="shared" si="4"/>
        <v>2959.8333333333335</v>
      </c>
      <c r="G29" s="41">
        <v>4</v>
      </c>
      <c r="H29" s="43">
        <f t="shared" si="12"/>
        <v>1.8350966666666668</v>
      </c>
      <c r="I29" s="43">
        <f>H29+I30</f>
        <v>10.495101666666667</v>
      </c>
      <c r="J29" s="43">
        <f t="shared" ref="J29:J33" si="14">IF(G29="","",I29/$B$8*100)</f>
        <v>2.1864795138888891</v>
      </c>
      <c r="K29" s="41" t="str">
        <f t="shared" ref="K29:K33" si="15">A29</f>
        <v>A2</v>
      </c>
    </row>
    <row r="30" spans="1:11" x14ac:dyDescent="0.2">
      <c r="A30" s="41" t="str">
        <f t="shared" si="9"/>
        <v>A1</v>
      </c>
      <c r="B30" s="41" t="s">
        <v>46</v>
      </c>
      <c r="C30" s="42">
        <f>178+10</f>
        <v>188</v>
      </c>
      <c r="D30" s="43">
        <f>1180/$C$3</f>
        <v>4.916666666666667</v>
      </c>
      <c r="E30" s="43">
        <f>D30+E29</f>
        <v>14.75</v>
      </c>
      <c r="F30" s="42">
        <f t="shared" si="4"/>
        <v>2773</v>
      </c>
      <c r="G30" s="41">
        <v>4</v>
      </c>
      <c r="H30" s="43">
        <f t="shared" si="12"/>
        <v>1.71926</v>
      </c>
      <c r="I30" s="43">
        <f>H30+I31</f>
        <v>8.660005</v>
      </c>
      <c r="J30" s="43">
        <f t="shared" si="14"/>
        <v>1.8041677083333332</v>
      </c>
      <c r="K30" s="41" t="str">
        <f t="shared" si="15"/>
        <v>A1</v>
      </c>
    </row>
    <row r="31" spans="1:11" x14ac:dyDescent="0.2">
      <c r="A31" s="41" t="str">
        <f t="shared" si="9"/>
        <v>PB-5</v>
      </c>
      <c r="B31" s="41" t="s">
        <v>44</v>
      </c>
      <c r="C31" s="42">
        <f>45+10</f>
        <v>55</v>
      </c>
      <c r="D31" s="43">
        <v>0</v>
      </c>
      <c r="E31" s="43">
        <f>D31+E30</f>
        <v>14.75</v>
      </c>
      <c r="F31" s="42">
        <f t="shared" si="4"/>
        <v>811.25</v>
      </c>
      <c r="G31" s="41">
        <v>4</v>
      </c>
      <c r="H31" s="43">
        <f t="shared" si="12"/>
        <v>0.50297500000000006</v>
      </c>
      <c r="I31" s="43">
        <f>H31+I32</f>
        <v>6.9407450000000006</v>
      </c>
      <c r="J31" s="43">
        <f t="shared" si="14"/>
        <v>1.4459885416666669</v>
      </c>
      <c r="K31" s="41" t="str">
        <f t="shared" si="15"/>
        <v>PB-5</v>
      </c>
    </row>
    <row r="32" spans="1:11" x14ac:dyDescent="0.2">
      <c r="A32" s="41" t="str">
        <f t="shared" si="9"/>
        <v>PB-4</v>
      </c>
      <c r="B32" s="41" t="s">
        <v>47</v>
      </c>
      <c r="C32" s="42">
        <f>250+10</f>
        <v>260</v>
      </c>
      <c r="D32" s="43">
        <v>0</v>
      </c>
      <c r="E32" s="43">
        <f>D32+E31+E26</f>
        <v>22.770833333333336</v>
      </c>
      <c r="F32" s="42">
        <f t="shared" si="4"/>
        <v>5920.416666666667</v>
      </c>
      <c r="G32" s="41">
        <v>4</v>
      </c>
      <c r="H32" s="43">
        <f t="shared" si="12"/>
        <v>3.6706583333333334</v>
      </c>
      <c r="I32" s="43">
        <f>H32+I33</f>
        <v>6.4377700000000004</v>
      </c>
      <c r="J32" s="43">
        <f t="shared" si="14"/>
        <v>1.3412020833333336</v>
      </c>
      <c r="K32" s="41" t="str">
        <f t="shared" si="15"/>
        <v>PB-4</v>
      </c>
    </row>
    <row r="33" spans="1:11" x14ac:dyDescent="0.2">
      <c r="A33" s="41" t="str">
        <f t="shared" si="9"/>
        <v>PB-3</v>
      </c>
      <c r="B33" s="41" t="s">
        <v>48</v>
      </c>
      <c r="C33" s="42">
        <f>37+10</f>
        <v>47</v>
      </c>
      <c r="D33" s="43">
        <v>0</v>
      </c>
      <c r="E33" s="43">
        <f>D33+E32</f>
        <v>22.770833333333336</v>
      </c>
      <c r="F33" s="42">
        <f t="shared" si="4"/>
        <v>1070.2291666666667</v>
      </c>
      <c r="G33" s="41">
        <v>4</v>
      </c>
      <c r="H33" s="43">
        <f t="shared" si="12"/>
        <v>0.66354208333333342</v>
      </c>
      <c r="I33" s="43">
        <f>H33+I34</f>
        <v>2.7671116666666666</v>
      </c>
      <c r="J33" s="43">
        <f t="shared" si="14"/>
        <v>0.57648159722222225</v>
      </c>
      <c r="K33" s="41" t="str">
        <f t="shared" si="15"/>
        <v>PB-3</v>
      </c>
    </row>
    <row r="34" spans="1:11" x14ac:dyDescent="0.2">
      <c r="A34" s="41" t="str">
        <f t="shared" si="9"/>
        <v>PB-2</v>
      </c>
      <c r="B34" s="41" t="s">
        <v>49</v>
      </c>
      <c r="C34" s="42">
        <f>114+10</f>
        <v>124</v>
      </c>
      <c r="D34" s="43">
        <v>0</v>
      </c>
      <c r="E34" s="43">
        <f t="shared" ref="E34:E35" si="16">D34+E33</f>
        <v>22.770833333333336</v>
      </c>
      <c r="F34" s="42">
        <f t="shared" si="4"/>
        <v>2823.5833333333335</v>
      </c>
      <c r="G34" s="41">
        <v>4</v>
      </c>
      <c r="H34" s="43">
        <f t="shared" si="12"/>
        <v>1.7506216666666667</v>
      </c>
      <c r="I34" s="43">
        <f>H34+I35</f>
        <v>2.1035695833333334</v>
      </c>
      <c r="J34" s="43">
        <f t="shared" ref="J34:J35" si="17">IF(G34="","",I34/$B$8*100)</f>
        <v>0.43824366319444447</v>
      </c>
      <c r="K34" s="41" t="str">
        <f t="shared" ref="K34:K35" si="18">A34</f>
        <v>PB-2</v>
      </c>
    </row>
    <row r="35" spans="1:11" x14ac:dyDescent="0.2">
      <c r="A35" s="41" t="str">
        <f t="shared" si="9"/>
        <v>PB-1</v>
      </c>
      <c r="B35" s="41" t="s">
        <v>50</v>
      </c>
      <c r="C35" s="42">
        <f>10+15</f>
        <v>25</v>
      </c>
      <c r="D35" s="43">
        <v>0</v>
      </c>
      <c r="E35" s="43">
        <f t="shared" si="16"/>
        <v>22.770833333333336</v>
      </c>
      <c r="F35" s="42">
        <f t="shared" si="4"/>
        <v>569.27083333333337</v>
      </c>
      <c r="G35" s="41">
        <v>4</v>
      </c>
      <c r="H35" s="43">
        <f t="shared" si="12"/>
        <v>0.35294791666666669</v>
      </c>
      <c r="I35" s="43">
        <f>H35+I36</f>
        <v>0.35294791666666669</v>
      </c>
      <c r="J35" s="43">
        <f t="shared" si="17"/>
        <v>7.3530815972222233E-2</v>
      </c>
      <c r="K35" s="41" t="str">
        <f t="shared" si="18"/>
        <v>PB-1</v>
      </c>
    </row>
    <row r="36" spans="1:11" x14ac:dyDescent="0.2">
      <c r="A36" s="41"/>
      <c r="B36" s="41"/>
      <c r="C36" s="42"/>
      <c r="D36" s="43"/>
      <c r="E36" s="43"/>
      <c r="F36" s="42"/>
      <c r="G36" s="41"/>
      <c r="H36" s="43"/>
      <c r="I36" s="43"/>
      <c r="J36" s="43"/>
      <c r="K36" s="41"/>
    </row>
    <row r="37" spans="1:11" x14ac:dyDescent="0.2">
      <c r="A37" s="41"/>
      <c r="B37" s="41"/>
      <c r="C37" s="42"/>
      <c r="D37" s="43"/>
      <c r="E37" s="43"/>
      <c r="F37" s="42"/>
      <c r="G37" s="41"/>
      <c r="H37" s="43"/>
      <c r="I37" s="43"/>
      <c r="J37" s="43"/>
      <c r="K37" s="41"/>
    </row>
    <row r="38" spans="1:11" x14ac:dyDescent="0.2">
      <c r="A38" s="41"/>
      <c r="B38" s="41"/>
      <c r="C38" s="40" t="s">
        <v>52</v>
      </c>
      <c r="D38" s="43">
        <f>SUM(D16:D35)</f>
        <v>22.770833333333336</v>
      </c>
      <c r="E38" s="43"/>
      <c r="F38" s="42"/>
      <c r="G38" s="41"/>
      <c r="H38" s="43"/>
      <c r="I38" s="39" t="s">
        <v>51</v>
      </c>
      <c r="J38" s="43">
        <f>MAX(J16:J35)</f>
        <v>2.6412242187500006</v>
      </c>
      <c r="K38" s="41"/>
    </row>
    <row r="39" spans="1:11" x14ac:dyDescent="0.2">
      <c r="A39" s="2"/>
      <c r="B39" s="2"/>
      <c r="C39" s="5"/>
      <c r="D39" s="6"/>
      <c r="E39" s="6"/>
      <c r="F39" s="5"/>
      <c r="G39" s="2"/>
      <c r="H39" s="6"/>
      <c r="I39" s="6"/>
      <c r="J39" s="6"/>
      <c r="K39" s="2"/>
    </row>
    <row r="40" spans="1:11" x14ac:dyDescent="0.2">
      <c r="A40" s="2"/>
      <c r="B40" s="2"/>
      <c r="C40" s="5"/>
      <c r="D40" s="6"/>
      <c r="E40" s="6"/>
      <c r="F40" s="5"/>
      <c r="G40" s="2"/>
      <c r="H40" s="6"/>
      <c r="I40" s="6"/>
      <c r="J40" s="6"/>
      <c r="K40" s="2"/>
    </row>
    <row r="41" spans="1:11" x14ac:dyDescent="0.2">
      <c r="A41" s="2"/>
      <c r="B41" s="2"/>
      <c r="C41" s="5"/>
      <c r="D41" s="6"/>
      <c r="E41" s="6"/>
      <c r="F41" s="5" t="str">
        <f t="shared" si="0"/>
        <v/>
      </c>
      <c r="G41" s="2"/>
      <c r="H41" s="6" t="str">
        <f t="shared" ref="H41:H43" si="19">IF(G41="","",F41*(2*(VLOOKUP(G41,$R$1:$S$10,2,FALSE)))/1000)</f>
        <v/>
      </c>
      <c r="I41" s="6"/>
      <c r="J41" s="6" t="str">
        <f t="shared" ref="J41:J43" si="20">IF(G41="","",I41/$B$8*100)</f>
        <v/>
      </c>
      <c r="K41" s="2"/>
    </row>
    <row r="42" spans="1:11" x14ac:dyDescent="0.2">
      <c r="A42" s="2"/>
      <c r="B42" s="2"/>
      <c r="C42" s="5"/>
      <c r="D42" s="6"/>
      <c r="E42" s="6"/>
      <c r="F42" s="5" t="str">
        <f t="shared" si="0"/>
        <v/>
      </c>
      <c r="G42" s="2"/>
      <c r="H42" s="6" t="str">
        <f t="shared" si="19"/>
        <v/>
      </c>
      <c r="I42" s="6"/>
      <c r="J42" s="6" t="str">
        <f t="shared" si="20"/>
        <v/>
      </c>
      <c r="K42" s="2"/>
    </row>
    <row r="43" spans="1:11" x14ac:dyDescent="0.2">
      <c r="A43" s="2"/>
      <c r="B43" s="2"/>
      <c r="C43" s="5"/>
      <c r="D43" s="6"/>
      <c r="E43" s="6"/>
      <c r="F43" s="5" t="str">
        <f t="shared" si="0"/>
        <v/>
      </c>
      <c r="G43" s="2"/>
      <c r="H43" s="6" t="str">
        <f t="shared" si="19"/>
        <v/>
      </c>
      <c r="I43" s="6" t="str">
        <f>H43</f>
        <v/>
      </c>
      <c r="J43" s="6" t="str">
        <f t="shared" si="20"/>
        <v/>
      </c>
      <c r="K43" s="2"/>
    </row>
    <row r="44" spans="1:11" x14ac:dyDescent="0.2">
      <c r="A44" s="2"/>
      <c r="B44" s="2"/>
      <c r="C44" s="5"/>
      <c r="D44" s="6"/>
      <c r="E44" s="6"/>
      <c r="F44" s="5"/>
      <c r="G44" s="2"/>
      <c r="H44" s="6"/>
      <c r="I44" s="6"/>
      <c r="J44" s="6"/>
      <c r="K44" s="2"/>
    </row>
    <row r="45" spans="1:11" x14ac:dyDescent="0.2">
      <c r="A45" s="2"/>
      <c r="B45" s="2"/>
      <c r="C45" s="5"/>
      <c r="D45" s="6"/>
      <c r="E45" s="6"/>
      <c r="F45" s="5"/>
      <c r="G45" s="2"/>
      <c r="H45" s="6"/>
      <c r="I45" s="6"/>
      <c r="J45" s="6"/>
      <c r="K45" s="2"/>
    </row>
    <row r="46" spans="1:11" x14ac:dyDescent="0.2">
      <c r="A46" s="2"/>
      <c r="B46" s="2"/>
      <c r="C46" s="5"/>
      <c r="D46" s="6"/>
      <c r="E46" s="6"/>
      <c r="F46" s="5"/>
      <c r="G46" s="2"/>
      <c r="H46" s="6"/>
      <c r="I46" s="6"/>
      <c r="J46" s="6"/>
      <c r="K46" s="2"/>
    </row>
    <row r="47" spans="1:11" x14ac:dyDescent="0.2">
      <c r="A47" s="2"/>
      <c r="B47" s="2"/>
      <c r="C47" s="5"/>
      <c r="D47" s="6"/>
      <c r="E47" s="6"/>
      <c r="F47" s="5"/>
      <c r="G47" s="2"/>
      <c r="H47" s="6"/>
      <c r="I47" s="6"/>
      <c r="J47" s="6"/>
      <c r="K47" s="2"/>
    </row>
    <row r="48" spans="1:11" x14ac:dyDescent="0.2">
      <c r="A48" s="2"/>
      <c r="B48" s="2"/>
      <c r="C48" s="5"/>
      <c r="D48" s="6"/>
      <c r="E48" s="6"/>
      <c r="F48" s="5"/>
      <c r="G48" s="2"/>
      <c r="H48" s="6"/>
      <c r="I48" s="6"/>
      <c r="J48" s="6"/>
      <c r="K48" s="2"/>
    </row>
    <row r="49" spans="1:11" x14ac:dyDescent="0.2">
      <c r="A49" s="2"/>
      <c r="B49" s="2"/>
      <c r="C49" s="5"/>
      <c r="D49" s="6"/>
      <c r="E49" s="6"/>
      <c r="F49" s="5"/>
      <c r="G49" s="2"/>
      <c r="H49" s="6"/>
      <c r="I49" s="6"/>
      <c r="J49" s="6"/>
      <c r="K49" s="2"/>
    </row>
    <row r="50" spans="1:11" x14ac:dyDescent="0.2">
      <c r="A50" s="14"/>
      <c r="B50" s="14"/>
      <c r="C50" s="15"/>
      <c r="D50" s="16"/>
      <c r="E50" s="6"/>
      <c r="F50" s="5"/>
      <c r="G50" s="2"/>
      <c r="H50" s="6"/>
      <c r="I50" s="6"/>
      <c r="J50" s="6"/>
      <c r="K50" s="2"/>
    </row>
    <row r="51" spans="1:11" x14ac:dyDescent="0.2">
      <c r="A51" s="2"/>
      <c r="B51" s="2"/>
      <c r="C51" s="5"/>
      <c r="D51" s="6"/>
      <c r="E51" s="6"/>
      <c r="F51" s="5"/>
      <c r="G51" s="2"/>
      <c r="H51" s="6"/>
      <c r="I51" s="6"/>
      <c r="J51" s="6"/>
      <c r="K51" s="2"/>
    </row>
    <row r="53" spans="1:11" hidden="1" x14ac:dyDescent="0.2">
      <c r="A53" s="8">
        <v>120</v>
      </c>
    </row>
    <row r="54" spans="1:11" hidden="1" x14ac:dyDescent="0.2">
      <c r="A54" s="8">
        <v>240</v>
      </c>
      <c r="B54" s="8"/>
      <c r="D54" s="17"/>
    </row>
    <row r="55" spans="1:11" hidden="1" x14ac:dyDescent="0.2">
      <c r="A55" s="8">
        <v>480</v>
      </c>
      <c r="B55" s="17"/>
      <c r="D55" s="17"/>
    </row>
  </sheetData>
  <mergeCells count="12">
    <mergeCell ref="F13:F14"/>
    <mergeCell ref="K13:K14"/>
    <mergeCell ref="A1:K1"/>
    <mergeCell ref="C8:G8"/>
    <mergeCell ref="I8:J8"/>
    <mergeCell ref="C9:G9"/>
    <mergeCell ref="I9:J9"/>
    <mergeCell ref="A13:C13"/>
    <mergeCell ref="D13:E13"/>
    <mergeCell ref="G13:G14"/>
    <mergeCell ref="H13:I13"/>
    <mergeCell ref="J13:J14"/>
  </mergeCells>
  <dataValidations count="2">
    <dataValidation type="list" allowBlank="1" showInputMessage="1" showErrorMessage="1" sqref="B8" xr:uid="{00000000-0002-0000-0000-000000000000}">
      <formula1>$A$53:$A$55</formula1>
    </dataValidation>
    <dataValidation type="list" allowBlank="1" showInputMessage="1" showErrorMessage="1" sqref="D5:D6 G15:G51" xr:uid="{00000000-0002-0000-0000-000001000000}">
      <formula1>$R$1:$R$10</formula1>
    </dataValidation>
  </dataValidations>
  <pageMargins left="0.7" right="0.7" top="0.75" bottom="0.75" header="0.3" footer="0.3"/>
  <pageSetup scale="83" orientation="portrait" r:id="rId1"/>
  <headerFooter>
    <oddHeader xml:space="preserve">&amp;R
4/11/16
CALC: KWR
CHKD: DRB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AE47-743E-46C4-B5E8-D8E64DF6C29F}">
  <sheetPr>
    <pageSetUpPr fitToPage="1"/>
  </sheetPr>
  <dimension ref="A1:S56"/>
  <sheetViews>
    <sheetView zoomScaleNormal="100" workbookViewId="0">
      <selection activeCell="D26" sqref="D26"/>
    </sheetView>
  </sheetViews>
  <sheetFormatPr defaultColWidth="9.140625" defaultRowHeight="12.75" zeroHeight="1" x14ac:dyDescent="0.2"/>
  <cols>
    <col min="1" max="2" width="11.7109375" customWidth="1"/>
    <col min="3" max="7" width="9.140625" customWidth="1"/>
    <col min="8" max="8" width="10.85546875" customWidth="1"/>
    <col min="9" max="10" width="9.140625" customWidth="1"/>
    <col min="11" max="11" width="11.42578125" bestFit="1" customWidth="1"/>
    <col min="12" max="19" width="0" hidden="1" customWidth="1"/>
  </cols>
  <sheetData>
    <row r="1" spans="1:19" ht="15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M1" s="13"/>
      <c r="R1" s="13">
        <v>14</v>
      </c>
      <c r="S1" s="26">
        <v>3.1</v>
      </c>
    </row>
    <row r="2" spans="1:19" ht="14.25" x14ac:dyDescent="0.2">
      <c r="A2" s="20" t="s">
        <v>24</v>
      </c>
      <c r="B2" s="20"/>
      <c r="C2" s="20" t="s">
        <v>54</v>
      </c>
      <c r="D2" s="20"/>
      <c r="E2" s="20"/>
      <c r="F2" s="20"/>
      <c r="G2" s="20" t="s">
        <v>29</v>
      </c>
      <c r="H2" s="20"/>
      <c r="I2" s="20"/>
      <c r="J2" s="20"/>
      <c r="K2" s="19">
        <v>2</v>
      </c>
      <c r="M2" s="13"/>
      <c r="R2" s="13">
        <v>12</v>
      </c>
      <c r="S2" s="26">
        <v>2</v>
      </c>
    </row>
    <row r="3" spans="1:19" ht="14.25" x14ac:dyDescent="0.2">
      <c r="A3" s="20" t="s">
        <v>23</v>
      </c>
      <c r="B3" s="20"/>
      <c r="C3" s="24">
        <v>240</v>
      </c>
      <c r="D3" s="20" t="s">
        <v>25</v>
      </c>
      <c r="E3" s="20" t="s">
        <v>56</v>
      </c>
      <c r="F3" s="20"/>
      <c r="G3" s="20"/>
      <c r="H3" s="20"/>
      <c r="I3" s="20"/>
      <c r="J3" s="20"/>
      <c r="K3" s="20"/>
      <c r="M3" s="13"/>
      <c r="R3" s="13">
        <v>10</v>
      </c>
      <c r="S3" s="26">
        <v>1.2</v>
      </c>
    </row>
    <row r="4" spans="1:19" ht="14.25" x14ac:dyDescent="0.2">
      <c r="A4" s="20" t="s">
        <v>19</v>
      </c>
      <c r="B4" s="20"/>
      <c r="C4" s="20" t="s">
        <v>31</v>
      </c>
      <c r="D4" s="20"/>
      <c r="E4" s="20"/>
      <c r="F4" s="20"/>
      <c r="G4" s="20"/>
      <c r="H4" s="20"/>
      <c r="I4" s="20"/>
      <c r="J4" s="20"/>
      <c r="K4" s="20"/>
      <c r="R4" s="13">
        <v>8</v>
      </c>
      <c r="S4" s="26">
        <v>0.78</v>
      </c>
    </row>
    <row r="5" spans="1:19" ht="14.25" x14ac:dyDescent="0.2">
      <c r="A5" s="20" t="s">
        <v>20</v>
      </c>
      <c r="B5" s="20"/>
      <c r="C5" s="20" t="s">
        <v>21</v>
      </c>
      <c r="D5" s="19">
        <v>4</v>
      </c>
      <c r="E5" s="20" t="s">
        <v>22</v>
      </c>
      <c r="F5" s="27">
        <f>IF(D5="","",VLOOKUP(D5,R1:S10,2,FALSE))</f>
        <v>0.31</v>
      </c>
      <c r="G5" s="20"/>
      <c r="H5" s="20"/>
      <c r="I5" s="20"/>
      <c r="J5" s="20"/>
      <c r="K5" s="20"/>
      <c r="R5" s="13">
        <v>6</v>
      </c>
      <c r="S5" s="26">
        <v>0.49</v>
      </c>
    </row>
    <row r="6" spans="1:19" ht="14.25" x14ac:dyDescent="0.2">
      <c r="A6" s="20"/>
      <c r="B6" s="20"/>
      <c r="C6" s="20" t="s">
        <v>21</v>
      </c>
      <c r="D6" s="19"/>
      <c r="E6" s="20" t="s">
        <v>22</v>
      </c>
      <c r="F6" s="19"/>
      <c r="G6" s="20"/>
      <c r="H6" s="20"/>
      <c r="I6" s="20"/>
      <c r="J6" s="20"/>
      <c r="K6" s="20"/>
      <c r="R6" s="13">
        <v>4</v>
      </c>
      <c r="S6" s="26">
        <v>0.31</v>
      </c>
    </row>
    <row r="7" spans="1:1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3"/>
      <c r="R7" s="13">
        <v>2</v>
      </c>
      <c r="S7" s="26">
        <v>0.19</v>
      </c>
    </row>
    <row r="8" spans="1:19" x14ac:dyDescent="0.2">
      <c r="A8" s="4" t="s">
        <v>13</v>
      </c>
      <c r="B8" s="12">
        <v>480</v>
      </c>
      <c r="C8" s="33" t="s">
        <v>16</v>
      </c>
      <c r="D8" s="34"/>
      <c r="E8" s="34"/>
      <c r="F8" s="34"/>
      <c r="G8" s="34"/>
      <c r="H8" s="21">
        <v>2.4</v>
      </c>
      <c r="I8" s="35" t="s">
        <v>11</v>
      </c>
      <c r="J8" s="36"/>
      <c r="K8" s="2" t="s">
        <v>55</v>
      </c>
      <c r="R8" s="25" t="s">
        <v>26</v>
      </c>
      <c r="S8" s="26">
        <v>0.12</v>
      </c>
    </row>
    <row r="9" spans="1:19" x14ac:dyDescent="0.2">
      <c r="A9" s="7"/>
      <c r="B9" s="8"/>
      <c r="C9" s="33" t="s">
        <v>14</v>
      </c>
      <c r="D9" s="34"/>
      <c r="E9" s="34"/>
      <c r="F9" s="34"/>
      <c r="G9" s="34"/>
      <c r="H9" s="21">
        <v>1.56</v>
      </c>
      <c r="I9" s="35" t="s">
        <v>11</v>
      </c>
      <c r="J9" s="36"/>
      <c r="K9" s="3"/>
      <c r="R9" s="25" t="s">
        <v>27</v>
      </c>
      <c r="S9" s="26">
        <v>0.1</v>
      </c>
    </row>
    <row r="10" spans="1:19" x14ac:dyDescent="0.2">
      <c r="A10" s="7"/>
      <c r="B10" s="8"/>
      <c r="C10" s="9" t="s">
        <v>15</v>
      </c>
      <c r="D10" s="10"/>
      <c r="E10" s="10"/>
      <c r="F10" s="10"/>
      <c r="G10" s="10"/>
      <c r="H10" s="21">
        <v>0.98</v>
      </c>
      <c r="I10" s="11" t="s">
        <v>11</v>
      </c>
      <c r="J10" s="12"/>
      <c r="K10" s="3"/>
      <c r="R10" s="25" t="s">
        <v>28</v>
      </c>
      <c r="S10">
        <v>7.9000000000000001E-2</v>
      </c>
    </row>
    <row r="11" spans="1:19" x14ac:dyDescent="0.2">
      <c r="A11" s="7"/>
      <c r="B11" s="8"/>
      <c r="C11" s="9" t="s">
        <v>12</v>
      </c>
      <c r="D11" s="10"/>
      <c r="E11" s="10"/>
      <c r="F11" s="10"/>
      <c r="G11" s="10"/>
      <c r="H11" s="21">
        <v>0.62</v>
      </c>
      <c r="I11" s="11" t="s">
        <v>11</v>
      </c>
      <c r="J11" s="12"/>
      <c r="K11" s="3"/>
      <c r="R11" s="17"/>
    </row>
    <row r="12" spans="1:1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R12" s="17"/>
    </row>
    <row r="13" spans="1:19" x14ac:dyDescent="0.2">
      <c r="A13" s="37" t="s">
        <v>2</v>
      </c>
      <c r="B13" s="38"/>
      <c r="C13" s="38"/>
      <c r="D13" s="37" t="s">
        <v>7</v>
      </c>
      <c r="E13" s="38"/>
      <c r="F13" s="28" t="s">
        <v>18</v>
      </c>
      <c r="G13" s="30" t="s">
        <v>1</v>
      </c>
      <c r="H13" s="37" t="s">
        <v>8</v>
      </c>
      <c r="I13" s="38"/>
      <c r="J13" s="30" t="s">
        <v>10</v>
      </c>
      <c r="K13" s="30" t="s">
        <v>5</v>
      </c>
      <c r="R13" s="17"/>
    </row>
    <row r="14" spans="1:19" ht="25.5" x14ac:dyDescent="0.2">
      <c r="A14" s="18" t="s">
        <v>3</v>
      </c>
      <c r="B14" s="18" t="s">
        <v>4</v>
      </c>
      <c r="C14" s="22" t="s">
        <v>17</v>
      </c>
      <c r="D14" s="18" t="s">
        <v>5</v>
      </c>
      <c r="E14" s="18" t="s">
        <v>6</v>
      </c>
      <c r="F14" s="29"/>
      <c r="G14" s="31"/>
      <c r="H14" s="23" t="s">
        <v>9</v>
      </c>
      <c r="I14" s="23" t="s">
        <v>6</v>
      </c>
      <c r="J14" s="31"/>
      <c r="K14" s="31"/>
      <c r="R14" s="17"/>
    </row>
    <row r="15" spans="1:19" x14ac:dyDescent="0.2">
      <c r="A15" s="2"/>
      <c r="B15" s="2"/>
      <c r="C15" s="5"/>
      <c r="D15" s="6"/>
      <c r="E15" s="6"/>
      <c r="F15" s="5" t="str">
        <f t="shared" ref="F15:F42" si="0">IF(E15="","",C15*E15)</f>
        <v/>
      </c>
      <c r="G15" s="2"/>
      <c r="H15" s="6" t="str">
        <f>IF(G15="","",F15*(2*(VLOOKUP(G15,$R$1:$S$10,2,FALSE)))/1000)</f>
        <v/>
      </c>
      <c r="I15" s="6"/>
      <c r="J15" s="6" t="str">
        <f>IF(G15="","",I15/$B$8*100)</f>
        <v/>
      </c>
      <c r="K15" s="2" t="str">
        <f>IF(A15="","",A15)</f>
        <v/>
      </c>
      <c r="R15" s="17"/>
    </row>
    <row r="16" spans="1:19" x14ac:dyDescent="0.2">
      <c r="A16" s="41" t="s">
        <v>57</v>
      </c>
      <c r="B16" s="41" t="s">
        <v>58</v>
      </c>
      <c r="C16" s="42">
        <f>236+10</f>
        <v>246</v>
      </c>
      <c r="D16" s="43">
        <f>175/$C$3</f>
        <v>0.72916666666666663</v>
      </c>
      <c r="E16" s="43">
        <f>D16</f>
        <v>0.72916666666666663</v>
      </c>
      <c r="F16" s="42">
        <f t="shared" si="0"/>
        <v>179.375</v>
      </c>
      <c r="G16" s="41">
        <v>4</v>
      </c>
      <c r="H16" s="43">
        <f t="shared" ref="H16:H34" si="1">IF(G16="","",F16*(2*(VLOOKUP(G16,$R$1:$S$10,2,FALSE)))/1000)</f>
        <v>0.11121250000000001</v>
      </c>
      <c r="I16" s="43">
        <f>H16+I17</f>
        <v>15.276360833333333</v>
      </c>
      <c r="J16" s="43">
        <f t="shared" ref="J16:J34" si="2">IF(G16="","",I16/$B$8*100)</f>
        <v>3.1825751736111108</v>
      </c>
      <c r="K16" s="41" t="str">
        <f>A16</f>
        <v>B14</v>
      </c>
    </row>
    <row r="17" spans="1:11" x14ac:dyDescent="0.2">
      <c r="A17" s="41" t="str">
        <f>B16</f>
        <v>B13</v>
      </c>
      <c r="B17" s="41" t="s">
        <v>59</v>
      </c>
      <c r="C17" s="42">
        <f>236+10</f>
        <v>246</v>
      </c>
      <c r="D17" s="43">
        <f>175/$C$3</f>
        <v>0.72916666666666663</v>
      </c>
      <c r="E17" s="43">
        <f>D17+E16</f>
        <v>1.4583333333333333</v>
      </c>
      <c r="F17" s="42">
        <f t="shared" si="0"/>
        <v>358.75</v>
      </c>
      <c r="G17" s="41">
        <v>4</v>
      </c>
      <c r="H17" s="43">
        <f t="shared" si="1"/>
        <v>0.22242500000000001</v>
      </c>
      <c r="I17" s="43">
        <f t="shared" ref="I17:I24" si="3">H17+I18</f>
        <v>15.165148333333333</v>
      </c>
      <c r="J17" s="43">
        <f t="shared" si="2"/>
        <v>3.1594059027777774</v>
      </c>
      <c r="K17" s="41" t="str">
        <f t="shared" ref="K17:K34" si="4">A17</f>
        <v>B13</v>
      </c>
    </row>
    <row r="18" spans="1:11" x14ac:dyDescent="0.2">
      <c r="A18" s="41" t="str">
        <f>B17</f>
        <v>B12</v>
      </c>
      <c r="B18" s="41" t="s">
        <v>60</v>
      </c>
      <c r="C18" s="42">
        <f>236+10</f>
        <v>246</v>
      </c>
      <c r="D18" s="43">
        <f>175/$C$3</f>
        <v>0.72916666666666663</v>
      </c>
      <c r="E18" s="43">
        <f t="shared" ref="E18:E24" si="5">D18+E17</f>
        <v>2.1875</v>
      </c>
      <c r="F18" s="42">
        <f t="shared" si="0"/>
        <v>538.125</v>
      </c>
      <c r="G18" s="41">
        <v>4</v>
      </c>
      <c r="H18" s="43">
        <f t="shared" si="1"/>
        <v>0.33363749999999998</v>
      </c>
      <c r="I18" s="43">
        <f t="shared" si="3"/>
        <v>14.942723333333333</v>
      </c>
      <c r="J18" s="43">
        <f t="shared" si="2"/>
        <v>3.1130673611111113</v>
      </c>
      <c r="K18" s="41" t="str">
        <f t="shared" si="4"/>
        <v>B12</v>
      </c>
    </row>
    <row r="19" spans="1:11" x14ac:dyDescent="0.2">
      <c r="A19" s="41" t="str">
        <f t="shared" ref="A19:A34" si="6">B18</f>
        <v>B11</v>
      </c>
      <c r="B19" s="41" t="s">
        <v>61</v>
      </c>
      <c r="C19" s="42">
        <f>236+10</f>
        <v>246</v>
      </c>
      <c r="D19" s="43">
        <f t="shared" ref="D19:D28" si="7">175/$C$3</f>
        <v>0.72916666666666663</v>
      </c>
      <c r="E19" s="43">
        <f t="shared" si="5"/>
        <v>2.9166666666666665</v>
      </c>
      <c r="F19" s="42">
        <f t="shared" si="0"/>
        <v>717.5</v>
      </c>
      <c r="G19" s="41">
        <v>4</v>
      </c>
      <c r="H19" s="43">
        <f t="shared" si="1"/>
        <v>0.44485000000000002</v>
      </c>
      <c r="I19" s="43">
        <f t="shared" si="3"/>
        <v>14.609085833333333</v>
      </c>
      <c r="J19" s="43">
        <f t="shared" si="2"/>
        <v>3.0435595486111113</v>
      </c>
      <c r="K19" s="41" t="str">
        <f t="shared" si="4"/>
        <v>B11</v>
      </c>
    </row>
    <row r="20" spans="1:11" x14ac:dyDescent="0.2">
      <c r="A20" s="41" t="str">
        <f t="shared" si="6"/>
        <v>B10</v>
      </c>
      <c r="B20" s="41" t="s">
        <v>62</v>
      </c>
      <c r="C20" s="42">
        <f>235+10</f>
        <v>245</v>
      </c>
      <c r="D20" s="43">
        <f t="shared" si="7"/>
        <v>0.72916666666666663</v>
      </c>
      <c r="E20" s="43">
        <f t="shared" si="5"/>
        <v>3.645833333333333</v>
      </c>
      <c r="F20" s="42">
        <f t="shared" si="0"/>
        <v>893.22916666666663</v>
      </c>
      <c r="G20" s="41">
        <v>4</v>
      </c>
      <c r="H20" s="43">
        <f t="shared" si="1"/>
        <v>0.55380208333333325</v>
      </c>
      <c r="I20" s="43">
        <f t="shared" si="3"/>
        <v>14.164235833333333</v>
      </c>
      <c r="J20" s="43">
        <f t="shared" si="2"/>
        <v>2.9508824652777776</v>
      </c>
      <c r="K20" s="41" t="str">
        <f t="shared" si="4"/>
        <v>B10</v>
      </c>
    </row>
    <row r="21" spans="1:11" x14ac:dyDescent="0.2">
      <c r="A21" s="41" t="str">
        <f t="shared" si="6"/>
        <v>B9</v>
      </c>
      <c r="B21" s="41" t="s">
        <v>63</v>
      </c>
      <c r="C21" s="42">
        <f>236+10</f>
        <v>246</v>
      </c>
      <c r="D21" s="43">
        <f t="shared" si="7"/>
        <v>0.72916666666666663</v>
      </c>
      <c r="E21" s="43">
        <f t="shared" si="5"/>
        <v>4.375</v>
      </c>
      <c r="F21" s="42">
        <f t="shared" si="0"/>
        <v>1076.25</v>
      </c>
      <c r="G21" s="41">
        <v>4</v>
      </c>
      <c r="H21" s="43">
        <f t="shared" si="1"/>
        <v>0.66727499999999995</v>
      </c>
      <c r="I21" s="43">
        <f t="shared" si="3"/>
        <v>13.61043375</v>
      </c>
      <c r="J21" s="43">
        <f t="shared" si="2"/>
        <v>2.8355070312500001</v>
      </c>
      <c r="K21" s="41" t="str">
        <f t="shared" si="4"/>
        <v>B9</v>
      </c>
    </row>
    <row r="22" spans="1:11" x14ac:dyDescent="0.2">
      <c r="A22" s="41" t="str">
        <f t="shared" si="6"/>
        <v>B8</v>
      </c>
      <c r="B22" s="41" t="s">
        <v>65</v>
      </c>
      <c r="C22" s="42">
        <f>236+10</f>
        <v>246</v>
      </c>
      <c r="D22" s="43">
        <f t="shared" si="7"/>
        <v>0.72916666666666663</v>
      </c>
      <c r="E22" s="43">
        <f t="shared" si="5"/>
        <v>5.104166666666667</v>
      </c>
      <c r="F22" s="42">
        <f t="shared" si="0"/>
        <v>1255.625</v>
      </c>
      <c r="G22" s="41">
        <v>4</v>
      </c>
      <c r="H22" s="43">
        <f t="shared" si="1"/>
        <v>0.7784875</v>
      </c>
      <c r="I22" s="43">
        <f t="shared" si="3"/>
        <v>12.94315875</v>
      </c>
      <c r="J22" s="43">
        <f t="shared" si="2"/>
        <v>2.6964914062500003</v>
      </c>
      <c r="K22" s="41" t="str">
        <f t="shared" si="4"/>
        <v>B8</v>
      </c>
    </row>
    <row r="23" spans="1:11" x14ac:dyDescent="0.2">
      <c r="A23" s="41" t="str">
        <f t="shared" si="6"/>
        <v>B7</v>
      </c>
      <c r="B23" s="41" t="s">
        <v>66</v>
      </c>
      <c r="C23" s="42">
        <f>235+10</f>
        <v>245</v>
      </c>
      <c r="D23" s="43">
        <f t="shared" si="7"/>
        <v>0.72916666666666663</v>
      </c>
      <c r="E23" s="43">
        <f t="shared" si="5"/>
        <v>5.8333333333333339</v>
      </c>
      <c r="F23" s="42">
        <f t="shared" si="0"/>
        <v>1429.1666666666667</v>
      </c>
      <c r="G23" s="41">
        <v>4</v>
      </c>
      <c r="H23" s="43">
        <f t="shared" si="1"/>
        <v>0.88608333333333333</v>
      </c>
      <c r="I23" s="43">
        <f t="shared" si="3"/>
        <v>12.16467125</v>
      </c>
      <c r="J23" s="43">
        <f t="shared" si="2"/>
        <v>2.5343065104166667</v>
      </c>
      <c r="K23" s="41" t="str">
        <f t="shared" si="4"/>
        <v>B7</v>
      </c>
    </row>
    <row r="24" spans="1:11" x14ac:dyDescent="0.2">
      <c r="A24" s="41" t="str">
        <f t="shared" si="6"/>
        <v>PB-7</v>
      </c>
      <c r="B24" s="41" t="s">
        <v>67</v>
      </c>
      <c r="C24" s="42">
        <f>238+10</f>
        <v>248</v>
      </c>
      <c r="D24" s="43">
        <v>0</v>
      </c>
      <c r="E24" s="43">
        <f t="shared" si="5"/>
        <v>5.8333333333333339</v>
      </c>
      <c r="F24" s="42">
        <f t="shared" si="0"/>
        <v>1446.6666666666667</v>
      </c>
      <c r="G24" s="41">
        <v>4</v>
      </c>
      <c r="H24" s="43">
        <f t="shared" si="1"/>
        <v>0.89693333333333336</v>
      </c>
      <c r="I24" s="43">
        <f>H24+I29</f>
        <v>11.278587916666666</v>
      </c>
      <c r="J24" s="43">
        <f t="shared" si="2"/>
        <v>2.3497058159722219</v>
      </c>
      <c r="K24" s="41" t="str">
        <f t="shared" si="4"/>
        <v>PB-7</v>
      </c>
    </row>
    <row r="25" spans="1:11" x14ac:dyDescent="0.2">
      <c r="A25" s="41"/>
      <c r="B25" s="41"/>
      <c r="C25" s="42"/>
      <c r="D25" s="43"/>
      <c r="E25" s="43"/>
      <c r="F25" s="42"/>
      <c r="G25" s="41"/>
      <c r="H25" s="43"/>
      <c r="I25" s="43"/>
      <c r="J25" s="43"/>
      <c r="K25" s="41"/>
    </row>
    <row r="26" spans="1:11" x14ac:dyDescent="0.2">
      <c r="A26" s="41" t="s">
        <v>64</v>
      </c>
      <c r="B26" s="41" t="s">
        <v>68</v>
      </c>
      <c r="C26" s="42">
        <f>210+10</f>
        <v>220</v>
      </c>
      <c r="D26" s="43">
        <f t="shared" si="7"/>
        <v>0.72916666666666663</v>
      </c>
      <c r="E26" s="43">
        <f>D26</f>
        <v>0.72916666666666663</v>
      </c>
      <c r="F26" s="42">
        <f t="shared" si="0"/>
        <v>160.41666666666666</v>
      </c>
      <c r="G26" s="41">
        <v>4</v>
      </c>
      <c r="H26" s="43">
        <f t="shared" si="1"/>
        <v>9.9458333333333329E-2</v>
      </c>
      <c r="I26" s="43">
        <f>H26+I27</f>
        <v>10.924606666666666</v>
      </c>
      <c r="J26" s="43">
        <f t="shared" si="2"/>
        <v>2.2759597222222219</v>
      </c>
      <c r="K26" s="41" t="str">
        <f t="shared" si="4"/>
        <v>B6</v>
      </c>
    </row>
    <row r="27" spans="1:11" x14ac:dyDescent="0.2">
      <c r="A27" s="41" t="str">
        <f t="shared" si="6"/>
        <v>B5</v>
      </c>
      <c r="B27" s="41" t="s">
        <v>69</v>
      </c>
      <c r="C27" s="42">
        <f>38+10</f>
        <v>48</v>
      </c>
      <c r="D27" s="43">
        <f t="shared" si="7"/>
        <v>0.72916666666666663</v>
      </c>
      <c r="E27" s="43">
        <f>D27+E26</f>
        <v>1.4583333333333333</v>
      </c>
      <c r="F27" s="42">
        <f t="shared" si="0"/>
        <v>70</v>
      </c>
      <c r="G27" s="41">
        <v>4</v>
      </c>
      <c r="H27" s="43">
        <f t="shared" si="1"/>
        <v>4.3400000000000001E-2</v>
      </c>
      <c r="I27" s="43">
        <f t="shared" ref="I27:I34" si="8">H27+I28</f>
        <v>10.825148333333333</v>
      </c>
      <c r="J27" s="43">
        <f t="shared" si="2"/>
        <v>2.2552392361111111</v>
      </c>
      <c r="K27" s="41" t="str">
        <f t="shared" si="4"/>
        <v>B5</v>
      </c>
    </row>
    <row r="28" spans="1:11" x14ac:dyDescent="0.2">
      <c r="A28" s="41" t="str">
        <f>B27</f>
        <v>B4</v>
      </c>
      <c r="B28" s="41" t="s">
        <v>67</v>
      </c>
      <c r="C28" s="42">
        <f>285+10</f>
        <v>295</v>
      </c>
      <c r="D28" s="43">
        <f t="shared" si="7"/>
        <v>0.72916666666666663</v>
      </c>
      <c r="E28" s="43">
        <f t="shared" ref="E28:E29" si="9">D28+E27</f>
        <v>2.1875</v>
      </c>
      <c r="F28" s="42">
        <f t="shared" si="0"/>
        <v>645.3125</v>
      </c>
      <c r="G28" s="41">
        <v>4</v>
      </c>
      <c r="H28" s="43">
        <f t="shared" si="1"/>
        <v>0.40009375000000003</v>
      </c>
      <c r="I28" s="43">
        <f t="shared" si="8"/>
        <v>10.781748333333333</v>
      </c>
      <c r="J28" s="43">
        <f t="shared" si="2"/>
        <v>2.2461975694444445</v>
      </c>
      <c r="K28" s="41" t="str">
        <f t="shared" si="4"/>
        <v>B4</v>
      </c>
    </row>
    <row r="29" spans="1:11" x14ac:dyDescent="0.2">
      <c r="A29" s="41" t="str">
        <f t="shared" si="6"/>
        <v>PB-6</v>
      </c>
      <c r="B29" s="41" t="s">
        <v>70</v>
      </c>
      <c r="C29" s="42">
        <f>291+10</f>
        <v>301</v>
      </c>
      <c r="D29" s="43">
        <v>0</v>
      </c>
      <c r="E29" s="43">
        <f>D29+E28+E24</f>
        <v>8.0208333333333339</v>
      </c>
      <c r="F29" s="42">
        <f t="shared" si="0"/>
        <v>2414.2708333333335</v>
      </c>
      <c r="G29" s="41">
        <v>4</v>
      </c>
      <c r="H29" s="43">
        <f t="shared" si="1"/>
        <v>1.4968479166666668</v>
      </c>
      <c r="I29" s="43">
        <f t="shared" si="8"/>
        <v>10.381654583333333</v>
      </c>
      <c r="J29" s="43">
        <f t="shared" si="2"/>
        <v>2.162844704861111</v>
      </c>
      <c r="K29" s="41" t="str">
        <f t="shared" si="4"/>
        <v>PB-6</v>
      </c>
    </row>
    <row r="30" spans="1:11" x14ac:dyDescent="0.2">
      <c r="A30" s="41" t="str">
        <f t="shared" si="6"/>
        <v>B3</v>
      </c>
      <c r="B30" s="41" t="s">
        <v>71</v>
      </c>
      <c r="C30" s="42">
        <f>178+10</f>
        <v>188</v>
      </c>
      <c r="D30" s="43">
        <f>1770/$C$3</f>
        <v>7.375</v>
      </c>
      <c r="E30" s="43">
        <f>D30+E29</f>
        <v>15.395833333333334</v>
      </c>
      <c r="F30" s="42">
        <f t="shared" si="0"/>
        <v>2894.416666666667</v>
      </c>
      <c r="G30" s="41">
        <v>4</v>
      </c>
      <c r="H30" s="43">
        <f t="shared" si="1"/>
        <v>1.7945383333333333</v>
      </c>
      <c r="I30" s="43">
        <f t="shared" si="8"/>
        <v>8.8848066666666661</v>
      </c>
      <c r="J30" s="43">
        <f t="shared" si="2"/>
        <v>1.8510013888888888</v>
      </c>
      <c r="K30" s="41" t="str">
        <f t="shared" si="4"/>
        <v>B3</v>
      </c>
    </row>
    <row r="31" spans="1:11" x14ac:dyDescent="0.2">
      <c r="A31" s="41" t="str">
        <f t="shared" si="6"/>
        <v>B2</v>
      </c>
      <c r="B31" s="41" t="s">
        <v>56</v>
      </c>
      <c r="C31" s="42">
        <f>45+10</f>
        <v>55</v>
      </c>
      <c r="D31" s="43">
        <f>1180/$C$3</f>
        <v>4.916666666666667</v>
      </c>
      <c r="E31" s="43">
        <f t="shared" ref="E31:E34" si="10">D31+E30</f>
        <v>20.3125</v>
      </c>
      <c r="F31" s="42">
        <f t="shared" si="0"/>
        <v>1117.1875</v>
      </c>
      <c r="G31" s="41">
        <v>4</v>
      </c>
      <c r="H31" s="43">
        <f t="shared" si="1"/>
        <v>0.69265624999999997</v>
      </c>
      <c r="I31" s="43">
        <f t="shared" si="8"/>
        <v>7.0902683333333334</v>
      </c>
      <c r="J31" s="43">
        <f t="shared" si="2"/>
        <v>1.4771392361111111</v>
      </c>
      <c r="K31" s="41" t="str">
        <f t="shared" si="4"/>
        <v>B2</v>
      </c>
    </row>
    <row r="32" spans="1:11" x14ac:dyDescent="0.2">
      <c r="A32" s="41" t="str">
        <f t="shared" si="6"/>
        <v>B1</v>
      </c>
      <c r="B32" s="41" t="s">
        <v>48</v>
      </c>
      <c r="C32" s="42">
        <f>250+10</f>
        <v>260</v>
      </c>
      <c r="D32" s="43">
        <f>1180/$C$3</f>
        <v>4.916666666666667</v>
      </c>
      <c r="E32" s="43">
        <f t="shared" si="10"/>
        <v>25.229166666666668</v>
      </c>
      <c r="F32" s="42">
        <f t="shared" si="0"/>
        <v>6559.5833333333339</v>
      </c>
      <c r="G32" s="41">
        <v>4</v>
      </c>
      <c r="H32" s="43">
        <f t="shared" si="1"/>
        <v>4.0669416666666667</v>
      </c>
      <c r="I32" s="43">
        <f t="shared" si="8"/>
        <v>6.3976120833333336</v>
      </c>
      <c r="J32" s="43">
        <f t="shared" si="2"/>
        <v>1.3328358506944444</v>
      </c>
      <c r="K32" s="41" t="str">
        <f t="shared" si="4"/>
        <v>B1</v>
      </c>
    </row>
    <row r="33" spans="1:11" x14ac:dyDescent="0.2">
      <c r="A33" s="41" t="str">
        <f>B32</f>
        <v>PB-2</v>
      </c>
      <c r="B33" s="41" t="s">
        <v>49</v>
      </c>
      <c r="C33" s="42">
        <f>114+10</f>
        <v>124</v>
      </c>
      <c r="D33" s="43">
        <v>0</v>
      </c>
      <c r="E33" s="43">
        <f t="shared" si="10"/>
        <v>25.229166666666668</v>
      </c>
      <c r="F33" s="42">
        <f t="shared" si="0"/>
        <v>3128.416666666667</v>
      </c>
      <c r="G33" s="41">
        <v>4</v>
      </c>
      <c r="H33" s="43">
        <f t="shared" si="1"/>
        <v>1.9396183333333337</v>
      </c>
      <c r="I33" s="43">
        <f t="shared" si="8"/>
        <v>2.330670416666667</v>
      </c>
      <c r="J33" s="43">
        <f t="shared" si="2"/>
        <v>0.4855563368055556</v>
      </c>
      <c r="K33" s="41" t="str">
        <f t="shared" si="4"/>
        <v>PB-2</v>
      </c>
    </row>
    <row r="34" spans="1:11" x14ac:dyDescent="0.2">
      <c r="A34" s="41" t="str">
        <f t="shared" si="6"/>
        <v>PB-1</v>
      </c>
      <c r="B34" s="41" t="s">
        <v>50</v>
      </c>
      <c r="C34" s="42">
        <f>10+15</f>
        <v>25</v>
      </c>
      <c r="D34" s="43">
        <v>0</v>
      </c>
      <c r="E34" s="43">
        <f t="shared" si="10"/>
        <v>25.229166666666668</v>
      </c>
      <c r="F34" s="42">
        <f t="shared" si="0"/>
        <v>630.72916666666674</v>
      </c>
      <c r="G34" s="41">
        <v>4</v>
      </c>
      <c r="H34" s="43">
        <f t="shared" si="1"/>
        <v>0.39105208333333336</v>
      </c>
      <c r="I34" s="43">
        <f>H34+I35</f>
        <v>0.39105208333333336</v>
      </c>
      <c r="J34" s="43">
        <f t="shared" si="2"/>
        <v>8.146918402777778E-2</v>
      </c>
      <c r="K34" s="41" t="str">
        <f t="shared" si="4"/>
        <v>PB-1</v>
      </c>
    </row>
    <row r="35" spans="1:11" x14ac:dyDescent="0.2">
      <c r="A35" s="41"/>
      <c r="B35" s="41"/>
      <c r="C35" s="42"/>
      <c r="D35" s="43"/>
      <c r="E35" s="43"/>
      <c r="F35" s="42"/>
      <c r="G35" s="41"/>
      <c r="H35" s="43"/>
      <c r="I35" s="43"/>
      <c r="J35" s="43"/>
      <c r="K35" s="41"/>
    </row>
    <row r="36" spans="1:11" x14ac:dyDescent="0.2">
      <c r="A36" s="41"/>
      <c r="B36" s="41"/>
      <c r="C36" s="42"/>
      <c r="D36" s="43"/>
      <c r="E36" s="43"/>
      <c r="F36" s="42"/>
      <c r="G36" s="41"/>
      <c r="H36" s="43"/>
      <c r="I36" s="43"/>
      <c r="J36" s="43"/>
      <c r="K36" s="41"/>
    </row>
    <row r="37" spans="1:11" x14ac:dyDescent="0.2">
      <c r="A37" s="41"/>
      <c r="B37" s="41"/>
      <c r="C37" s="40" t="s">
        <v>52</v>
      </c>
      <c r="D37" s="43">
        <f>SUM(D16:D34)</f>
        <v>25.229166666666668</v>
      </c>
      <c r="E37" s="43"/>
      <c r="F37" s="42"/>
      <c r="G37" s="41"/>
      <c r="H37" s="43"/>
      <c r="I37" s="39" t="s">
        <v>51</v>
      </c>
      <c r="J37" s="43">
        <f>MAX(J16:J34)</f>
        <v>3.1825751736111108</v>
      </c>
      <c r="K37" s="41"/>
    </row>
    <row r="38" spans="1:11" x14ac:dyDescent="0.2">
      <c r="A38" s="2"/>
      <c r="B38" s="2"/>
      <c r="C38" s="5"/>
      <c r="D38" s="6"/>
      <c r="E38" s="6"/>
      <c r="F38" s="5"/>
      <c r="G38" s="2"/>
      <c r="H38" s="6"/>
      <c r="I38" s="6"/>
      <c r="J38" s="6"/>
      <c r="K38" s="2"/>
    </row>
    <row r="39" spans="1:11" x14ac:dyDescent="0.2">
      <c r="A39" s="2"/>
      <c r="B39" s="2"/>
      <c r="C39" s="5"/>
      <c r="D39" s="6"/>
      <c r="E39" s="6"/>
      <c r="F39" s="5"/>
      <c r="G39" s="2"/>
      <c r="H39" s="6"/>
      <c r="I39" s="6"/>
      <c r="J39" s="6"/>
      <c r="K39" s="2"/>
    </row>
    <row r="40" spans="1:11" x14ac:dyDescent="0.2">
      <c r="A40" s="2"/>
      <c r="B40" s="2"/>
      <c r="C40" s="5"/>
      <c r="D40" s="6"/>
      <c r="E40" s="6"/>
      <c r="F40" s="5" t="str">
        <f t="shared" si="0"/>
        <v/>
      </c>
      <c r="G40" s="2"/>
      <c r="H40" s="6" t="str">
        <f t="shared" ref="H40:H42" si="11">IF(G40="","",F40*(2*(VLOOKUP(G40,$R$1:$S$10,2,FALSE)))/1000)</f>
        <v/>
      </c>
      <c r="I40" s="6"/>
      <c r="J40" s="6" t="str">
        <f t="shared" ref="J40:J42" si="12">IF(G40="","",I40/$B$8*100)</f>
        <v/>
      </c>
      <c r="K40" s="2"/>
    </row>
    <row r="41" spans="1:11" x14ac:dyDescent="0.2">
      <c r="A41" s="2"/>
      <c r="B41" s="2"/>
      <c r="C41" s="5"/>
      <c r="D41" s="6"/>
      <c r="E41" s="6"/>
      <c r="F41" s="5" t="str">
        <f t="shared" si="0"/>
        <v/>
      </c>
      <c r="G41" s="2"/>
      <c r="H41" s="6" t="str">
        <f t="shared" si="11"/>
        <v/>
      </c>
      <c r="I41" s="6"/>
      <c r="J41" s="6" t="str">
        <f t="shared" si="12"/>
        <v/>
      </c>
      <c r="K41" s="2"/>
    </row>
    <row r="42" spans="1:11" x14ac:dyDescent="0.2">
      <c r="A42" s="2"/>
      <c r="B42" s="2"/>
      <c r="C42" s="5"/>
      <c r="D42" s="6"/>
      <c r="E42" s="6"/>
      <c r="F42" s="5" t="str">
        <f t="shared" si="0"/>
        <v/>
      </c>
      <c r="G42" s="2"/>
      <c r="H42" s="6" t="str">
        <f t="shared" si="11"/>
        <v/>
      </c>
      <c r="I42" s="6" t="str">
        <f>H42</f>
        <v/>
      </c>
      <c r="J42" s="6" t="str">
        <f t="shared" si="12"/>
        <v/>
      </c>
      <c r="K42" s="2"/>
    </row>
    <row r="43" spans="1:11" x14ac:dyDescent="0.2">
      <c r="A43" s="2"/>
      <c r="B43" s="2"/>
      <c r="C43" s="5"/>
      <c r="D43" s="6"/>
      <c r="E43" s="6"/>
      <c r="F43" s="5"/>
      <c r="G43" s="2"/>
      <c r="H43" s="6"/>
      <c r="I43" s="6"/>
      <c r="J43" s="6"/>
      <c r="K43" s="2"/>
    </row>
    <row r="44" spans="1:11" x14ac:dyDescent="0.2">
      <c r="A44" s="2"/>
      <c r="B44" s="2"/>
      <c r="C44" s="5"/>
      <c r="D44" s="6"/>
      <c r="E44" s="6"/>
      <c r="F44" s="5"/>
      <c r="G44" s="2"/>
      <c r="H44" s="6"/>
      <c r="I44" s="6"/>
      <c r="J44" s="6"/>
      <c r="K44" s="2"/>
    </row>
    <row r="45" spans="1:11" x14ac:dyDescent="0.2">
      <c r="A45" s="2"/>
      <c r="B45" s="2"/>
      <c r="C45" s="5"/>
      <c r="D45" s="6"/>
      <c r="E45" s="6"/>
      <c r="F45" s="5"/>
      <c r="G45" s="2"/>
      <c r="H45" s="6"/>
      <c r="I45" s="6"/>
      <c r="J45" s="6"/>
      <c r="K45" s="2"/>
    </row>
    <row r="46" spans="1:11" x14ac:dyDescent="0.2">
      <c r="A46" s="2"/>
      <c r="B46" s="2"/>
      <c r="C46" s="5"/>
      <c r="D46" s="6"/>
      <c r="E46" s="6"/>
      <c r="F46" s="5"/>
      <c r="G46" s="2"/>
      <c r="H46" s="6"/>
      <c r="I46" s="6"/>
      <c r="J46" s="6"/>
      <c r="K46" s="2"/>
    </row>
    <row r="47" spans="1:11" x14ac:dyDescent="0.2">
      <c r="A47" s="2"/>
      <c r="B47" s="2"/>
      <c r="C47" s="5"/>
      <c r="D47" s="6"/>
      <c r="E47" s="6"/>
      <c r="F47" s="5"/>
      <c r="G47" s="2"/>
      <c r="H47" s="6"/>
      <c r="I47" s="6"/>
      <c r="J47" s="6"/>
      <c r="K47" s="2"/>
    </row>
    <row r="48" spans="1:11" x14ac:dyDescent="0.2">
      <c r="A48" s="2"/>
      <c r="B48" s="2"/>
      <c r="C48" s="5"/>
      <c r="D48" s="6"/>
      <c r="E48" s="6"/>
      <c r="F48" s="5"/>
      <c r="G48" s="2"/>
      <c r="H48" s="6"/>
      <c r="I48" s="6"/>
      <c r="J48" s="6"/>
      <c r="K48" s="2"/>
    </row>
    <row r="49" spans="1:11" x14ac:dyDescent="0.2">
      <c r="A49" s="14"/>
      <c r="B49" s="14"/>
      <c r="C49" s="15"/>
      <c r="D49" s="16"/>
      <c r="E49" s="6"/>
      <c r="F49" s="5"/>
      <c r="G49" s="2"/>
      <c r="H49" s="6"/>
      <c r="I49" s="6"/>
      <c r="J49" s="6"/>
      <c r="K49" s="2"/>
    </row>
    <row r="50" spans="1:11" x14ac:dyDescent="0.2">
      <c r="A50" s="2"/>
      <c r="B50" s="2"/>
      <c r="C50" s="5"/>
      <c r="D50" s="6"/>
      <c r="E50" s="6"/>
      <c r="F50" s="5"/>
      <c r="G50" s="2"/>
      <c r="H50" s="6"/>
      <c r="I50" s="6"/>
      <c r="J50" s="6"/>
      <c r="K50" s="2"/>
    </row>
    <row r="52" spans="1:11" hidden="1" x14ac:dyDescent="0.2">
      <c r="A52" s="8">
        <v>120</v>
      </c>
    </row>
    <row r="53" spans="1:11" hidden="1" x14ac:dyDescent="0.2">
      <c r="A53" s="8">
        <v>240</v>
      </c>
      <c r="B53" s="8"/>
      <c r="D53" s="17"/>
    </row>
    <row r="54" spans="1:11" hidden="1" x14ac:dyDescent="0.2">
      <c r="A54" s="8">
        <v>480</v>
      </c>
      <c r="B54" s="17"/>
      <c r="D54" s="17"/>
    </row>
    <row r="55" spans="1:11" x14ac:dyDescent="0.2"/>
    <row r="56" spans="1:11" x14ac:dyDescent="0.2"/>
  </sheetData>
  <mergeCells count="12">
    <mergeCell ref="J13:J14"/>
    <mergeCell ref="K13:K14"/>
    <mergeCell ref="A1:K1"/>
    <mergeCell ref="C8:G8"/>
    <mergeCell ref="I8:J8"/>
    <mergeCell ref="C9:G9"/>
    <mergeCell ref="I9:J9"/>
    <mergeCell ref="A13:C13"/>
    <mergeCell ref="D13:E13"/>
    <mergeCell ref="F13:F14"/>
    <mergeCell ref="G13:G14"/>
    <mergeCell ref="H13:I13"/>
  </mergeCells>
  <dataValidations count="2">
    <dataValidation type="list" allowBlank="1" showInputMessage="1" showErrorMessage="1" sqref="D5:D6 G15:G50" xr:uid="{6998A910-12C6-4427-B8B8-98BB6979F818}">
      <formula1>$R$1:$R$10</formula1>
    </dataValidation>
    <dataValidation type="list" allowBlank="1" showInputMessage="1" showErrorMessage="1" sqref="B8" xr:uid="{EBE47CEE-E8CA-44C8-BBB0-F565120EA1CD}">
      <formula1>$A$52:$A$54</formula1>
    </dataValidation>
  </dataValidations>
  <pageMargins left="0.7" right="0.7" top="0.75" bottom="0.75" header="0.3" footer="0.3"/>
  <pageSetup scale="83" orientation="portrait" r:id="rId1"/>
  <headerFooter>
    <oddHeader xml:space="preserve">&amp;R
4/11/16
CALC: KWR
CHKD: DRB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F787A-12A1-4DB5-A3B8-BB3BF2F52F12}">
  <sheetPr>
    <pageSetUpPr fitToPage="1"/>
  </sheetPr>
  <dimension ref="A1:S59"/>
  <sheetViews>
    <sheetView zoomScaleNormal="100" workbookViewId="0">
      <selection activeCell="E37" sqref="E37"/>
    </sheetView>
  </sheetViews>
  <sheetFormatPr defaultColWidth="9.140625" defaultRowHeight="12.75" zeroHeight="1" x14ac:dyDescent="0.2"/>
  <cols>
    <col min="1" max="2" width="11.7109375" customWidth="1"/>
    <col min="3" max="7" width="9.140625" customWidth="1"/>
    <col min="8" max="8" width="10.85546875" customWidth="1"/>
    <col min="9" max="10" width="9.140625" customWidth="1"/>
    <col min="11" max="11" width="11.42578125" bestFit="1" customWidth="1"/>
    <col min="12" max="19" width="0" hidden="1" customWidth="1"/>
  </cols>
  <sheetData>
    <row r="1" spans="1:19" ht="15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M1" s="13"/>
      <c r="R1" s="13">
        <v>14</v>
      </c>
      <c r="S1" s="26">
        <v>3.1</v>
      </c>
    </row>
    <row r="2" spans="1:19" ht="14.25" x14ac:dyDescent="0.2">
      <c r="A2" s="20" t="s">
        <v>24</v>
      </c>
      <c r="B2" s="20"/>
      <c r="C2" s="20" t="s">
        <v>54</v>
      </c>
      <c r="D2" s="20"/>
      <c r="E2" s="20"/>
      <c r="F2" s="20"/>
      <c r="G2" s="20" t="s">
        <v>29</v>
      </c>
      <c r="H2" s="20"/>
      <c r="I2" s="20"/>
      <c r="J2" s="20"/>
      <c r="K2" s="19">
        <v>2</v>
      </c>
      <c r="M2" s="13"/>
      <c r="R2" s="13">
        <v>12</v>
      </c>
      <c r="S2" s="26">
        <v>2</v>
      </c>
    </row>
    <row r="3" spans="1:19" ht="14.25" x14ac:dyDescent="0.2">
      <c r="A3" s="20" t="s">
        <v>23</v>
      </c>
      <c r="B3" s="20"/>
      <c r="C3" s="24">
        <v>240</v>
      </c>
      <c r="D3" s="20" t="s">
        <v>25</v>
      </c>
      <c r="E3" s="20" t="s">
        <v>73</v>
      </c>
      <c r="F3" s="20"/>
      <c r="G3" s="20"/>
      <c r="H3" s="20"/>
      <c r="I3" s="20"/>
      <c r="J3" s="20"/>
      <c r="K3" s="20"/>
      <c r="M3" s="13"/>
      <c r="R3" s="13">
        <v>10</v>
      </c>
      <c r="S3" s="26">
        <v>1.2</v>
      </c>
    </row>
    <row r="4" spans="1:19" ht="14.25" x14ac:dyDescent="0.2">
      <c r="A4" s="20" t="s">
        <v>19</v>
      </c>
      <c r="B4" s="20"/>
      <c r="C4" s="20" t="s">
        <v>31</v>
      </c>
      <c r="D4" s="20"/>
      <c r="E4" s="20"/>
      <c r="F4" s="20"/>
      <c r="G4" s="20"/>
      <c r="H4" s="20"/>
      <c r="I4" s="20"/>
      <c r="J4" s="20"/>
      <c r="K4" s="20"/>
      <c r="R4" s="13">
        <v>8</v>
      </c>
      <c r="S4" s="26">
        <v>0.78</v>
      </c>
    </row>
    <row r="5" spans="1:19" ht="14.25" x14ac:dyDescent="0.2">
      <c r="A5" s="20" t="s">
        <v>20</v>
      </c>
      <c r="B5" s="20"/>
      <c r="C5" s="20" t="s">
        <v>21</v>
      </c>
      <c r="D5" s="19">
        <v>4</v>
      </c>
      <c r="E5" s="20" t="s">
        <v>22</v>
      </c>
      <c r="F5" s="27">
        <f>IF(D5="","",VLOOKUP(D5,R1:S10,2,FALSE))</f>
        <v>0.31</v>
      </c>
      <c r="G5" s="20"/>
      <c r="H5" s="20"/>
      <c r="I5" s="20"/>
      <c r="J5" s="20"/>
      <c r="K5" s="20"/>
      <c r="R5" s="13">
        <v>6</v>
      </c>
      <c r="S5" s="26">
        <v>0.49</v>
      </c>
    </row>
    <row r="6" spans="1:19" ht="14.25" x14ac:dyDescent="0.2">
      <c r="A6" s="20"/>
      <c r="B6" s="20"/>
      <c r="C6" s="20" t="s">
        <v>21</v>
      </c>
      <c r="D6" s="19"/>
      <c r="E6" s="20" t="s">
        <v>22</v>
      </c>
      <c r="F6" s="19"/>
      <c r="G6" s="20"/>
      <c r="H6" s="20"/>
      <c r="I6" s="20"/>
      <c r="J6" s="20"/>
      <c r="K6" s="20"/>
      <c r="R6" s="13">
        <v>4</v>
      </c>
      <c r="S6" s="26">
        <v>0.31</v>
      </c>
    </row>
    <row r="7" spans="1:1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3"/>
      <c r="R7" s="13">
        <v>2</v>
      </c>
      <c r="S7" s="26">
        <v>0.19</v>
      </c>
    </row>
    <row r="8" spans="1:19" x14ac:dyDescent="0.2">
      <c r="A8" s="4" t="s">
        <v>13</v>
      </c>
      <c r="B8" s="12">
        <v>480</v>
      </c>
      <c r="C8" s="33" t="s">
        <v>16</v>
      </c>
      <c r="D8" s="34"/>
      <c r="E8" s="34"/>
      <c r="F8" s="34"/>
      <c r="G8" s="34"/>
      <c r="H8" s="21">
        <v>2.4</v>
      </c>
      <c r="I8" s="35" t="s">
        <v>11</v>
      </c>
      <c r="J8" s="36"/>
      <c r="K8" s="2" t="s">
        <v>72</v>
      </c>
      <c r="R8" s="25" t="s">
        <v>26</v>
      </c>
      <c r="S8" s="26">
        <v>0.12</v>
      </c>
    </row>
    <row r="9" spans="1:19" x14ac:dyDescent="0.2">
      <c r="A9" s="7"/>
      <c r="B9" s="8"/>
      <c r="C9" s="33" t="s">
        <v>14</v>
      </c>
      <c r="D9" s="34"/>
      <c r="E9" s="34"/>
      <c r="F9" s="34"/>
      <c r="G9" s="34"/>
      <c r="H9" s="21">
        <v>1.56</v>
      </c>
      <c r="I9" s="35" t="s">
        <v>11</v>
      </c>
      <c r="J9" s="36"/>
      <c r="K9" s="3"/>
      <c r="R9" s="25" t="s">
        <v>27</v>
      </c>
      <c r="S9" s="26">
        <v>0.1</v>
      </c>
    </row>
    <row r="10" spans="1:19" x14ac:dyDescent="0.2">
      <c r="A10" s="7"/>
      <c r="B10" s="8"/>
      <c r="C10" s="9" t="s">
        <v>15</v>
      </c>
      <c r="D10" s="10"/>
      <c r="E10" s="10"/>
      <c r="F10" s="10"/>
      <c r="G10" s="10"/>
      <c r="H10" s="21">
        <v>0.98</v>
      </c>
      <c r="I10" s="11" t="s">
        <v>11</v>
      </c>
      <c r="J10" s="12"/>
      <c r="K10" s="3"/>
      <c r="R10" s="25" t="s">
        <v>28</v>
      </c>
      <c r="S10">
        <v>7.9000000000000001E-2</v>
      </c>
    </row>
    <row r="11" spans="1:19" x14ac:dyDescent="0.2">
      <c r="A11" s="7"/>
      <c r="B11" s="8"/>
      <c r="C11" s="9" t="s">
        <v>12</v>
      </c>
      <c r="D11" s="10"/>
      <c r="E11" s="10"/>
      <c r="F11" s="10"/>
      <c r="G11" s="10"/>
      <c r="H11" s="21">
        <v>0.62</v>
      </c>
      <c r="I11" s="11" t="s">
        <v>11</v>
      </c>
      <c r="J11" s="12"/>
      <c r="K11" s="3"/>
      <c r="R11" s="17"/>
    </row>
    <row r="12" spans="1:1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R12" s="17"/>
    </row>
    <row r="13" spans="1:19" x14ac:dyDescent="0.2">
      <c r="A13" s="37" t="s">
        <v>2</v>
      </c>
      <c r="B13" s="38"/>
      <c r="C13" s="38"/>
      <c r="D13" s="37" t="s">
        <v>7</v>
      </c>
      <c r="E13" s="38"/>
      <c r="F13" s="28" t="s">
        <v>18</v>
      </c>
      <c r="G13" s="30" t="s">
        <v>1</v>
      </c>
      <c r="H13" s="37" t="s">
        <v>8</v>
      </c>
      <c r="I13" s="38"/>
      <c r="J13" s="30" t="s">
        <v>10</v>
      </c>
      <c r="K13" s="30" t="s">
        <v>5</v>
      </c>
      <c r="R13" s="17"/>
    </row>
    <row r="14" spans="1:19" ht="25.5" x14ac:dyDescent="0.2">
      <c r="A14" s="18" t="s">
        <v>3</v>
      </c>
      <c r="B14" s="18" t="s">
        <v>4</v>
      </c>
      <c r="C14" s="22" t="s">
        <v>17</v>
      </c>
      <c r="D14" s="18" t="s">
        <v>5</v>
      </c>
      <c r="E14" s="18" t="s">
        <v>6</v>
      </c>
      <c r="F14" s="29"/>
      <c r="G14" s="31"/>
      <c r="H14" s="23" t="s">
        <v>9</v>
      </c>
      <c r="I14" s="23" t="s">
        <v>6</v>
      </c>
      <c r="J14" s="31"/>
      <c r="K14" s="31"/>
      <c r="R14" s="17"/>
    </row>
    <row r="15" spans="1:19" x14ac:dyDescent="0.2">
      <c r="A15" s="2"/>
      <c r="B15" s="2"/>
      <c r="C15" s="5"/>
      <c r="D15" s="6"/>
      <c r="E15" s="6"/>
      <c r="F15" s="5" t="str">
        <f t="shared" ref="F15:F40" si="0">IF(E15="","",C15*E15)</f>
        <v/>
      </c>
      <c r="G15" s="2"/>
      <c r="H15" s="6" t="str">
        <f>IF(G15="","",F15*(2*(VLOOKUP(G15,$R$1:$S$10,2,FALSE)))/1000)</f>
        <v/>
      </c>
      <c r="I15" s="6"/>
      <c r="J15" s="6" t="str">
        <f>IF(G15="","",I15/$B$8*100)</f>
        <v/>
      </c>
      <c r="K15" s="2" t="str">
        <f>IF(A15="","",A15)</f>
        <v/>
      </c>
      <c r="R15" s="17"/>
    </row>
    <row r="16" spans="1:19" x14ac:dyDescent="0.2">
      <c r="A16" s="41" t="s">
        <v>74</v>
      </c>
      <c r="B16" s="41" t="s">
        <v>75</v>
      </c>
      <c r="C16" s="42">
        <f>210+10</f>
        <v>220</v>
      </c>
      <c r="D16" s="43">
        <f>1180/$C$3</f>
        <v>4.916666666666667</v>
      </c>
      <c r="E16" s="43">
        <f>D16</f>
        <v>4.916666666666667</v>
      </c>
      <c r="F16" s="42">
        <f t="shared" ref="F16:F19" si="1">IF(E16="","",C16*E16)</f>
        <v>1081.6666666666667</v>
      </c>
      <c r="G16" s="41">
        <v>4</v>
      </c>
      <c r="H16" s="43">
        <f t="shared" ref="H16:H19" si="2">IF(G16="","",F16*(2*(VLOOKUP(G16,$R$1:$S$10,2,FALSE)))/1000)</f>
        <v>0.6706333333333333</v>
      </c>
      <c r="I16" s="43">
        <f>H16+I17</f>
        <v>22.496661250000002</v>
      </c>
      <c r="J16" s="43">
        <f t="shared" ref="J16:J19" si="3">IF(G16="","",I16/$B$8*100)</f>
        <v>4.6868044270833336</v>
      </c>
      <c r="K16" s="41" t="str">
        <f t="shared" ref="K16:K19" si="4">A16</f>
        <v>C9</v>
      </c>
    </row>
    <row r="17" spans="1:11" x14ac:dyDescent="0.2">
      <c r="A17" s="41" t="str">
        <f t="shared" ref="A17:A26" si="5">B16</f>
        <v>C8</v>
      </c>
      <c r="B17" s="41" t="s">
        <v>76</v>
      </c>
      <c r="C17" s="42">
        <f>38+10</f>
        <v>48</v>
      </c>
      <c r="D17" s="43">
        <f>1180/$C$3</f>
        <v>4.916666666666667</v>
      </c>
      <c r="E17" s="43">
        <f>D17+E16</f>
        <v>9.8333333333333339</v>
      </c>
      <c r="F17" s="42">
        <f t="shared" si="1"/>
        <v>472</v>
      </c>
      <c r="G17" s="41">
        <v>4</v>
      </c>
      <c r="H17" s="43">
        <f t="shared" si="2"/>
        <v>0.29264000000000001</v>
      </c>
      <c r="I17" s="43">
        <f t="shared" ref="I17:I19" si="6">H17+I18</f>
        <v>21.826027916666668</v>
      </c>
      <c r="J17" s="43">
        <f t="shared" si="3"/>
        <v>4.5470891493055561</v>
      </c>
      <c r="K17" s="41" t="str">
        <f t="shared" si="4"/>
        <v>C8</v>
      </c>
    </row>
    <row r="18" spans="1:11" x14ac:dyDescent="0.2">
      <c r="A18" s="41" t="str">
        <f>B17</f>
        <v>C7</v>
      </c>
      <c r="B18" s="41" t="s">
        <v>77</v>
      </c>
      <c r="C18" s="42">
        <f>285+10</f>
        <v>295</v>
      </c>
      <c r="D18" s="43">
        <f>1180/$C$3</f>
        <v>4.916666666666667</v>
      </c>
      <c r="E18" s="43">
        <f>D18+E17</f>
        <v>14.75</v>
      </c>
      <c r="F18" s="42">
        <f t="shared" si="1"/>
        <v>4351.25</v>
      </c>
      <c r="G18" s="41">
        <v>4</v>
      </c>
      <c r="H18" s="43">
        <f t="shared" si="2"/>
        <v>2.697775</v>
      </c>
      <c r="I18" s="43">
        <f t="shared" si="6"/>
        <v>21.533387916666669</v>
      </c>
      <c r="J18" s="43">
        <f t="shared" si="3"/>
        <v>4.4861224826388897</v>
      </c>
      <c r="K18" s="41" t="str">
        <f t="shared" si="4"/>
        <v>C7</v>
      </c>
    </row>
    <row r="19" spans="1:11" x14ac:dyDescent="0.2">
      <c r="A19" s="41" t="str">
        <f t="shared" si="5"/>
        <v>PB-11</v>
      </c>
      <c r="B19" s="41" t="s">
        <v>78</v>
      </c>
      <c r="C19" s="42">
        <f>291+10</f>
        <v>301</v>
      </c>
      <c r="D19" s="43">
        <v>0</v>
      </c>
      <c r="E19" s="43">
        <f>D19+E18</f>
        <v>14.75</v>
      </c>
      <c r="F19" s="42">
        <f t="shared" si="1"/>
        <v>4439.75</v>
      </c>
      <c r="G19" s="41">
        <v>4</v>
      </c>
      <c r="H19" s="43">
        <f t="shared" si="2"/>
        <v>2.7526449999999998</v>
      </c>
      <c r="I19" s="43">
        <f>H19+I24</f>
        <v>18.835612916666669</v>
      </c>
      <c r="J19" s="43">
        <f t="shared" si="3"/>
        <v>3.9240860243055558</v>
      </c>
      <c r="K19" s="41" t="str">
        <f t="shared" si="4"/>
        <v>PB-11</v>
      </c>
    </row>
    <row r="20" spans="1:11" x14ac:dyDescent="0.2">
      <c r="A20" s="41"/>
      <c r="B20" s="41"/>
      <c r="C20" s="42"/>
      <c r="D20" s="43"/>
      <c r="E20" s="43"/>
      <c r="F20" s="42"/>
      <c r="G20" s="41"/>
      <c r="H20" s="43"/>
      <c r="I20" s="43"/>
      <c r="J20" s="43"/>
      <c r="K20" s="41"/>
    </row>
    <row r="21" spans="1:11" x14ac:dyDescent="0.2">
      <c r="A21" s="41" t="s">
        <v>79</v>
      </c>
      <c r="B21" s="41" t="s">
        <v>80</v>
      </c>
      <c r="C21" s="42">
        <f>210+10</f>
        <v>220</v>
      </c>
      <c r="D21" s="43">
        <f>1180/$C$3</f>
        <v>4.916666666666667</v>
      </c>
      <c r="E21" s="43">
        <f>D21</f>
        <v>4.916666666666667</v>
      </c>
      <c r="F21" s="42">
        <f t="shared" si="0"/>
        <v>1081.6666666666667</v>
      </c>
      <c r="G21" s="41">
        <v>4</v>
      </c>
      <c r="H21" s="43">
        <f t="shared" ref="H21:H32" si="7">IF(G21="","",F21*(2*(VLOOKUP(G21,$R$1:$S$10,2,FALSE)))/1000)</f>
        <v>0.6706333333333333</v>
      </c>
      <c r="I21" s="43">
        <f>H21+I22</f>
        <v>20.266805416666671</v>
      </c>
      <c r="J21" s="43">
        <f t="shared" ref="J21:J32" si="8">IF(G21="","",I21/$B$8*100)</f>
        <v>4.2222511284722231</v>
      </c>
      <c r="K21" s="41" t="str">
        <f t="shared" ref="K21:K32" si="9">A21</f>
        <v>C6</v>
      </c>
    </row>
    <row r="22" spans="1:11" x14ac:dyDescent="0.2">
      <c r="A22" s="41" t="str">
        <f t="shared" si="5"/>
        <v>C5</v>
      </c>
      <c r="B22" s="41" t="s">
        <v>81</v>
      </c>
      <c r="C22" s="42">
        <f>38+10</f>
        <v>48</v>
      </c>
      <c r="D22" s="43">
        <f>1770/$C$3</f>
        <v>7.375</v>
      </c>
      <c r="E22" s="43">
        <f>D22+E21</f>
        <v>12.291666666666668</v>
      </c>
      <c r="F22" s="42">
        <f t="shared" si="0"/>
        <v>590</v>
      </c>
      <c r="G22" s="41">
        <v>4</v>
      </c>
      <c r="H22" s="43">
        <f t="shared" si="7"/>
        <v>0.36580000000000001</v>
      </c>
      <c r="I22" s="43">
        <f t="shared" ref="I22:I26" si="10">H22+I23</f>
        <v>19.596172083333336</v>
      </c>
      <c r="J22" s="43">
        <f t="shared" si="8"/>
        <v>4.0825358506944447</v>
      </c>
      <c r="K22" s="41" t="str">
        <f t="shared" si="9"/>
        <v>C5</v>
      </c>
    </row>
    <row r="23" spans="1:11" x14ac:dyDescent="0.2">
      <c r="A23" s="41" t="str">
        <f>B22</f>
        <v>C4</v>
      </c>
      <c r="B23" s="41" t="s">
        <v>78</v>
      </c>
      <c r="C23" s="42">
        <f>285+10</f>
        <v>295</v>
      </c>
      <c r="D23" s="43">
        <f>1180/$C$3</f>
        <v>4.916666666666667</v>
      </c>
      <c r="E23" s="43">
        <f>D23+E22</f>
        <v>17.208333333333336</v>
      </c>
      <c r="F23" s="42">
        <f t="shared" si="0"/>
        <v>5076.4583333333339</v>
      </c>
      <c r="G23" s="41">
        <v>4</v>
      </c>
      <c r="H23" s="43">
        <f t="shared" si="7"/>
        <v>3.147404166666667</v>
      </c>
      <c r="I23" s="43">
        <f t="shared" si="10"/>
        <v>19.230372083333336</v>
      </c>
      <c r="J23" s="43">
        <f t="shared" si="8"/>
        <v>4.006327517361111</v>
      </c>
      <c r="K23" s="41" t="str">
        <f t="shared" si="9"/>
        <v>C4</v>
      </c>
    </row>
    <row r="24" spans="1:11" x14ac:dyDescent="0.2">
      <c r="A24" s="41" t="str">
        <f t="shared" si="5"/>
        <v>PB-10</v>
      </c>
      <c r="B24" s="41" t="s">
        <v>82</v>
      </c>
      <c r="C24" s="42">
        <f>291+10</f>
        <v>301</v>
      </c>
      <c r="D24" s="43">
        <v>0</v>
      </c>
      <c r="E24" s="43">
        <f>D24+E23+E19</f>
        <v>31.958333333333336</v>
      </c>
      <c r="F24" s="42">
        <f t="shared" si="0"/>
        <v>9619.4583333333339</v>
      </c>
      <c r="G24" s="41">
        <v>4</v>
      </c>
      <c r="H24" s="43">
        <f t="shared" si="7"/>
        <v>5.9640641666666667</v>
      </c>
      <c r="I24" s="43">
        <f t="shared" si="10"/>
        <v>16.082967916666668</v>
      </c>
      <c r="J24" s="43">
        <f t="shared" si="8"/>
        <v>3.3506183159722225</v>
      </c>
      <c r="K24" s="41" t="str">
        <f t="shared" si="9"/>
        <v>PB-10</v>
      </c>
    </row>
    <row r="25" spans="1:11" x14ac:dyDescent="0.2">
      <c r="A25" s="41" t="str">
        <f t="shared" si="5"/>
        <v>C3</v>
      </c>
      <c r="B25" s="41" t="s">
        <v>83</v>
      </c>
      <c r="C25" s="42">
        <f>178+10</f>
        <v>188</v>
      </c>
      <c r="D25" s="43">
        <f t="shared" ref="D25" si="11">175/$C$3</f>
        <v>0.72916666666666663</v>
      </c>
      <c r="E25" s="43">
        <f>D25+E24</f>
        <v>32.6875</v>
      </c>
      <c r="F25" s="42">
        <f t="shared" si="0"/>
        <v>6145.25</v>
      </c>
      <c r="G25" s="41">
        <v>4</v>
      </c>
      <c r="H25" s="43">
        <f t="shared" si="7"/>
        <v>3.8100549999999997</v>
      </c>
      <c r="I25" s="43">
        <f t="shared" si="10"/>
        <v>10.118903749999999</v>
      </c>
      <c r="J25" s="43">
        <f t="shared" si="8"/>
        <v>2.1081049479166665</v>
      </c>
      <c r="K25" s="41" t="str">
        <f t="shared" si="9"/>
        <v>C3</v>
      </c>
    </row>
    <row r="26" spans="1:11" x14ac:dyDescent="0.2">
      <c r="A26" s="41" t="str">
        <f t="shared" si="5"/>
        <v>PB-9</v>
      </c>
      <c r="B26" s="41" t="s">
        <v>84</v>
      </c>
      <c r="C26" s="42">
        <f>45+10</f>
        <v>55</v>
      </c>
      <c r="D26" s="43">
        <v>0</v>
      </c>
      <c r="E26" s="43">
        <f>D26+E25</f>
        <v>32.6875</v>
      </c>
      <c r="F26" s="42">
        <f t="shared" si="0"/>
        <v>1797.8125</v>
      </c>
      <c r="G26" s="41">
        <v>4</v>
      </c>
      <c r="H26" s="43">
        <f t="shared" si="7"/>
        <v>1.1146437499999999</v>
      </c>
      <c r="I26" s="43">
        <f>H26+I29</f>
        <v>6.3088487500000001</v>
      </c>
      <c r="J26" s="43">
        <f t="shared" si="8"/>
        <v>1.3143434895833335</v>
      </c>
      <c r="K26" s="41" t="str">
        <f t="shared" si="9"/>
        <v>PB-9</v>
      </c>
    </row>
    <row r="27" spans="1:11" x14ac:dyDescent="0.2">
      <c r="A27" s="41"/>
      <c r="B27" s="41"/>
      <c r="C27" s="42"/>
      <c r="D27" s="43"/>
      <c r="E27" s="43"/>
      <c r="F27" s="42"/>
      <c r="G27" s="41"/>
      <c r="H27" s="43"/>
      <c r="I27" s="43"/>
      <c r="J27" s="43"/>
      <c r="K27" s="41"/>
    </row>
    <row r="28" spans="1:11" x14ac:dyDescent="0.2">
      <c r="A28" s="41" t="s">
        <v>85</v>
      </c>
      <c r="B28" s="41" t="s">
        <v>84</v>
      </c>
      <c r="C28" s="42">
        <f>250+10</f>
        <v>260</v>
      </c>
      <c r="D28" s="43">
        <f t="shared" ref="D28" si="12">175/$C$3</f>
        <v>0.72916666666666663</v>
      </c>
      <c r="E28" s="43">
        <f>D28</f>
        <v>0.72916666666666663</v>
      </c>
      <c r="F28" s="42">
        <f t="shared" si="0"/>
        <v>189.58333333333331</v>
      </c>
      <c r="G28" s="41">
        <v>4</v>
      </c>
      <c r="H28" s="43">
        <f t="shared" si="7"/>
        <v>0.11754166666666666</v>
      </c>
      <c r="I28" s="43">
        <f>H28+I29</f>
        <v>5.3117466666666671</v>
      </c>
      <c r="J28" s="43">
        <f t="shared" si="8"/>
        <v>1.106613888888889</v>
      </c>
      <c r="K28" s="41" t="str">
        <f t="shared" si="9"/>
        <v>C2</v>
      </c>
    </row>
    <row r="29" spans="1:11" x14ac:dyDescent="0.2">
      <c r="A29" s="41" t="str">
        <f>B28</f>
        <v>PB-8</v>
      </c>
      <c r="B29" s="41" t="s">
        <v>49</v>
      </c>
      <c r="C29" s="42">
        <f>114+10</f>
        <v>124</v>
      </c>
      <c r="D29" s="43">
        <v>0</v>
      </c>
      <c r="E29" s="43">
        <f>D29+E28+E26</f>
        <v>33.416666666666664</v>
      </c>
      <c r="F29" s="42">
        <f t="shared" si="0"/>
        <v>4143.6666666666661</v>
      </c>
      <c r="G29" s="41">
        <v>4</v>
      </c>
      <c r="H29" s="43">
        <f t="shared" si="7"/>
        <v>2.5690733333333329</v>
      </c>
      <c r="I29" s="43">
        <f>H29+I32</f>
        <v>5.1942050000000002</v>
      </c>
      <c r="J29" s="43">
        <f t="shared" si="8"/>
        <v>1.0821260416666667</v>
      </c>
      <c r="K29" s="41" t="str">
        <f t="shared" si="9"/>
        <v>PB-8</v>
      </c>
    </row>
    <row r="30" spans="1:11" x14ac:dyDescent="0.2">
      <c r="A30" s="41"/>
      <c r="B30" s="41"/>
      <c r="C30" s="42"/>
      <c r="D30" s="43"/>
      <c r="E30" s="43"/>
      <c r="F30" s="42"/>
      <c r="G30" s="41"/>
      <c r="H30" s="43"/>
      <c r="I30" s="43"/>
      <c r="J30" s="43"/>
      <c r="K30" s="41"/>
    </row>
    <row r="31" spans="1:11" x14ac:dyDescent="0.2">
      <c r="A31" s="41" t="s">
        <v>73</v>
      </c>
      <c r="B31" s="41" t="s">
        <v>49</v>
      </c>
      <c r="C31" s="42">
        <f>250+10</f>
        <v>260</v>
      </c>
      <c r="D31" s="43">
        <f t="shared" ref="D31" si="13">175/$C$3</f>
        <v>0.72916666666666663</v>
      </c>
      <c r="E31" s="43">
        <f>D31</f>
        <v>0.72916666666666663</v>
      </c>
      <c r="F31" s="42">
        <f t="shared" ref="F31:F32" si="14">IF(E31="","",C31*E31)</f>
        <v>189.58333333333331</v>
      </c>
      <c r="G31" s="41">
        <v>4</v>
      </c>
      <c r="H31" s="43">
        <f t="shared" ref="H31:H32" si="15">IF(G31="","",F31*(2*(VLOOKUP(G31,$R$1:$S$10,2,FALSE)))/1000)</f>
        <v>0.11754166666666666</v>
      </c>
      <c r="I31" s="43">
        <f>H31+I32</f>
        <v>2.7426733333333333</v>
      </c>
      <c r="J31" s="43">
        <f t="shared" ref="J31:J32" si="16">IF(G31="","",I31/$B$8*100)</f>
        <v>0.57139027777777773</v>
      </c>
      <c r="K31" s="41" t="str">
        <f t="shared" ref="K31:K32" si="17">A31</f>
        <v>C1</v>
      </c>
    </row>
    <row r="32" spans="1:11" x14ac:dyDescent="0.2">
      <c r="A32" s="41" t="str">
        <f>B29</f>
        <v>PB-1</v>
      </c>
      <c r="B32" s="41" t="s">
        <v>50</v>
      </c>
      <c r="C32" s="42">
        <f>114+10</f>
        <v>124</v>
      </c>
      <c r="D32" s="43">
        <v>0</v>
      </c>
      <c r="E32" s="43">
        <f>D32+E31+E29</f>
        <v>34.145833333333329</v>
      </c>
      <c r="F32" s="42">
        <f t="shared" si="14"/>
        <v>4234.083333333333</v>
      </c>
      <c r="G32" s="41">
        <v>4</v>
      </c>
      <c r="H32" s="43">
        <f t="shared" si="15"/>
        <v>2.6251316666666669</v>
      </c>
      <c r="I32" s="43">
        <f>H32</f>
        <v>2.6251316666666669</v>
      </c>
      <c r="J32" s="43">
        <f t="shared" si="16"/>
        <v>0.54690243055555565</v>
      </c>
      <c r="K32" s="41" t="str">
        <f t="shared" si="17"/>
        <v>PB-1</v>
      </c>
    </row>
    <row r="33" spans="1:11" x14ac:dyDescent="0.2">
      <c r="A33" s="41"/>
      <c r="B33" s="41"/>
      <c r="C33" s="42"/>
      <c r="D33" s="43"/>
      <c r="E33" s="43"/>
      <c r="F33" s="42"/>
      <c r="G33" s="41"/>
      <c r="H33" s="43"/>
      <c r="I33" s="43"/>
      <c r="J33" s="43"/>
      <c r="K33" s="41"/>
    </row>
    <row r="34" spans="1:11" x14ac:dyDescent="0.2">
      <c r="A34" s="41"/>
      <c r="B34" s="41"/>
      <c r="C34" s="42"/>
      <c r="D34" s="43"/>
      <c r="E34" s="43"/>
      <c r="F34" s="42"/>
      <c r="G34" s="41"/>
      <c r="H34" s="43"/>
      <c r="I34" s="43"/>
      <c r="J34" s="43"/>
      <c r="K34" s="41"/>
    </row>
    <row r="35" spans="1:11" x14ac:dyDescent="0.2">
      <c r="A35" s="41"/>
      <c r="B35" s="41"/>
      <c r="C35" s="40" t="s">
        <v>52</v>
      </c>
      <c r="D35" s="43">
        <f>SUM(D16:D32)</f>
        <v>34.145833333333329</v>
      </c>
      <c r="E35" s="43"/>
      <c r="F35" s="42"/>
      <c r="G35" s="41"/>
      <c r="H35" s="43"/>
      <c r="I35" s="39" t="s">
        <v>51</v>
      </c>
      <c r="J35" s="43">
        <f>MAX(J16:J32)</f>
        <v>4.6868044270833336</v>
      </c>
      <c r="K35" s="41"/>
    </row>
    <row r="36" spans="1:11" x14ac:dyDescent="0.2">
      <c r="A36" s="2"/>
      <c r="B36" s="2"/>
      <c r="C36" s="5"/>
      <c r="D36" s="6"/>
      <c r="E36" s="6"/>
      <c r="F36" s="5"/>
      <c r="G36" s="2"/>
      <c r="H36" s="6"/>
      <c r="I36" s="6"/>
      <c r="J36" s="6"/>
      <c r="K36" s="2"/>
    </row>
    <row r="37" spans="1:11" x14ac:dyDescent="0.2">
      <c r="A37" s="2"/>
      <c r="B37" s="2"/>
      <c r="C37" s="5"/>
      <c r="D37" s="6"/>
      <c r="E37" s="6"/>
      <c r="F37" s="5"/>
      <c r="G37" s="2"/>
      <c r="H37" s="6"/>
      <c r="I37" s="6"/>
      <c r="J37" s="6"/>
      <c r="K37" s="2"/>
    </row>
    <row r="38" spans="1:11" x14ac:dyDescent="0.2">
      <c r="A38" s="2"/>
      <c r="B38" s="2"/>
      <c r="C38" s="5"/>
      <c r="D38" s="6"/>
      <c r="E38" s="6"/>
      <c r="F38" s="5" t="str">
        <f t="shared" si="0"/>
        <v/>
      </c>
      <c r="G38" s="2"/>
      <c r="H38" s="6" t="str">
        <f t="shared" ref="H38:H40" si="18">IF(G38="","",F38*(2*(VLOOKUP(G38,$R$1:$S$10,2,FALSE)))/1000)</f>
        <v/>
      </c>
      <c r="I38" s="6"/>
      <c r="J38" s="6" t="str">
        <f t="shared" ref="J38:J40" si="19">IF(G38="","",I38/$B$8*100)</f>
        <v/>
      </c>
      <c r="K38" s="2"/>
    </row>
    <row r="39" spans="1:11" x14ac:dyDescent="0.2">
      <c r="A39" s="2"/>
      <c r="B39" s="2"/>
      <c r="C39" s="5"/>
      <c r="D39" s="6"/>
      <c r="E39" s="6"/>
      <c r="F39" s="5" t="str">
        <f t="shared" si="0"/>
        <v/>
      </c>
      <c r="G39" s="2"/>
      <c r="H39" s="6" t="str">
        <f t="shared" si="18"/>
        <v/>
      </c>
      <c r="I39" s="6"/>
      <c r="J39" s="6" t="str">
        <f t="shared" si="19"/>
        <v/>
      </c>
      <c r="K39" s="2"/>
    </row>
    <row r="40" spans="1:11" x14ac:dyDescent="0.2">
      <c r="A40" s="2"/>
      <c r="B40" s="2"/>
      <c r="C40" s="5"/>
      <c r="D40" s="6"/>
      <c r="E40" s="6"/>
      <c r="F40" s="5" t="str">
        <f t="shared" si="0"/>
        <v/>
      </c>
      <c r="G40" s="2"/>
      <c r="H40" s="6" t="str">
        <f t="shared" si="18"/>
        <v/>
      </c>
      <c r="I40" s="6" t="str">
        <f>H40</f>
        <v/>
      </c>
      <c r="J40" s="6" t="str">
        <f t="shared" si="19"/>
        <v/>
      </c>
      <c r="K40" s="2"/>
    </row>
    <row r="41" spans="1:11" x14ac:dyDescent="0.2">
      <c r="A41" s="2"/>
      <c r="B41" s="2"/>
      <c r="C41" s="5"/>
      <c r="D41" s="6"/>
      <c r="E41" s="6"/>
      <c r="F41" s="5"/>
      <c r="G41" s="2"/>
      <c r="H41" s="6"/>
      <c r="I41" s="6"/>
      <c r="J41" s="6"/>
      <c r="K41" s="2"/>
    </row>
    <row r="42" spans="1:11" x14ac:dyDescent="0.2">
      <c r="A42" s="2"/>
      <c r="B42" s="2"/>
      <c r="C42" s="5"/>
      <c r="D42" s="6"/>
      <c r="E42" s="6"/>
      <c r="F42" s="5"/>
      <c r="G42" s="2"/>
      <c r="H42" s="6"/>
      <c r="I42" s="6"/>
      <c r="J42" s="6"/>
      <c r="K42" s="2"/>
    </row>
    <row r="43" spans="1:11" x14ac:dyDescent="0.2">
      <c r="A43" s="2"/>
      <c r="B43" s="2"/>
      <c r="C43" s="5"/>
      <c r="D43" s="6"/>
      <c r="E43" s="6"/>
      <c r="F43" s="5"/>
      <c r="G43" s="2"/>
      <c r="H43" s="6"/>
      <c r="I43" s="6"/>
      <c r="J43" s="6"/>
      <c r="K43" s="2"/>
    </row>
    <row r="44" spans="1:11" x14ac:dyDescent="0.2">
      <c r="A44" s="2"/>
      <c r="B44" s="2"/>
      <c r="C44" s="5"/>
      <c r="D44" s="6"/>
      <c r="E44" s="6"/>
      <c r="F44" s="5"/>
      <c r="G44" s="2"/>
      <c r="H44" s="6"/>
      <c r="I44" s="6"/>
      <c r="J44" s="6"/>
      <c r="K44" s="2"/>
    </row>
    <row r="45" spans="1:11" x14ac:dyDescent="0.2">
      <c r="A45" s="2"/>
      <c r="B45" s="2"/>
      <c r="C45" s="5"/>
      <c r="D45" s="6"/>
      <c r="E45" s="6"/>
      <c r="F45" s="5"/>
      <c r="G45" s="2"/>
      <c r="H45" s="6"/>
      <c r="I45" s="6"/>
      <c r="J45" s="6"/>
      <c r="K45" s="2"/>
    </row>
    <row r="46" spans="1:11" x14ac:dyDescent="0.2">
      <c r="A46" s="2"/>
      <c r="B46" s="2"/>
      <c r="C46" s="5"/>
      <c r="D46" s="6"/>
      <c r="E46" s="6"/>
      <c r="F46" s="5"/>
      <c r="G46" s="2"/>
      <c r="H46" s="6"/>
      <c r="I46" s="6"/>
      <c r="J46" s="6"/>
      <c r="K46" s="2"/>
    </row>
    <row r="47" spans="1:11" x14ac:dyDescent="0.2">
      <c r="A47" s="14"/>
      <c r="B47" s="14"/>
      <c r="C47" s="15"/>
      <c r="D47" s="16"/>
      <c r="E47" s="6"/>
      <c r="F47" s="5"/>
      <c r="G47" s="2"/>
      <c r="H47" s="6"/>
      <c r="I47" s="6"/>
      <c r="J47" s="6"/>
      <c r="K47" s="2"/>
    </row>
    <row r="48" spans="1:11" x14ac:dyDescent="0.2">
      <c r="A48" s="2"/>
      <c r="B48" s="2"/>
      <c r="C48" s="5"/>
      <c r="D48" s="6"/>
      <c r="E48" s="6"/>
      <c r="F48" s="5"/>
      <c r="G48" s="2"/>
      <c r="H48" s="6"/>
      <c r="I48" s="6"/>
      <c r="J48" s="6"/>
      <c r="K48" s="2"/>
    </row>
    <row r="49" spans="1:4" x14ac:dyDescent="0.2"/>
    <row r="50" spans="1:4" hidden="1" x14ac:dyDescent="0.2">
      <c r="A50" s="8">
        <v>120</v>
      </c>
    </row>
    <row r="51" spans="1:4" hidden="1" x14ac:dyDescent="0.2">
      <c r="A51" s="8">
        <v>240</v>
      </c>
      <c r="B51" s="8"/>
      <c r="D51" s="17"/>
    </row>
    <row r="52" spans="1:4" hidden="1" x14ac:dyDescent="0.2">
      <c r="A52" s="8">
        <v>480</v>
      </c>
      <c r="B52" s="17"/>
      <c r="D52" s="17"/>
    </row>
    <row r="53" spans="1:4" x14ac:dyDescent="0.2"/>
    <row r="54" spans="1:4" x14ac:dyDescent="0.2"/>
    <row r="55" spans="1:4" x14ac:dyDescent="0.2"/>
    <row r="56" spans="1:4" x14ac:dyDescent="0.2"/>
    <row r="58" spans="1:4" x14ac:dyDescent="0.2"/>
    <row r="59" spans="1:4" x14ac:dyDescent="0.2"/>
  </sheetData>
  <mergeCells count="12">
    <mergeCell ref="J13:J14"/>
    <mergeCell ref="K13:K14"/>
    <mergeCell ref="A1:K1"/>
    <mergeCell ref="C8:G8"/>
    <mergeCell ref="I8:J8"/>
    <mergeCell ref="C9:G9"/>
    <mergeCell ref="I9:J9"/>
    <mergeCell ref="A13:C13"/>
    <mergeCell ref="D13:E13"/>
    <mergeCell ref="F13:F14"/>
    <mergeCell ref="G13:G14"/>
    <mergeCell ref="H13:I13"/>
  </mergeCells>
  <dataValidations count="2">
    <dataValidation type="list" allowBlank="1" showInputMessage="1" showErrorMessage="1" sqref="B8" xr:uid="{983254C5-BCA4-4C05-8EDE-790920F5AE43}">
      <formula1>$A$50:$A$52</formula1>
    </dataValidation>
    <dataValidation type="list" allowBlank="1" showInputMessage="1" showErrorMessage="1" sqref="D5:D6 G15:G48" xr:uid="{8F94E6E6-B5A7-40B2-89C3-35B9C9670A25}">
      <formula1>$R$1:$R$10</formula1>
    </dataValidation>
  </dataValidations>
  <pageMargins left="0.7" right="0.7" top="0.75" bottom="0.75" header="0.3" footer="0.3"/>
  <pageSetup scale="83" orientation="portrait" r:id="rId1"/>
  <headerFooter>
    <oddHeader xml:space="preserve">&amp;R
4/11/16
CALC: KWR
CHKD: DRB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DB2E-D021-40C2-A25D-CECE8CFC2DF9}">
  <dimension ref="A1:J18"/>
  <sheetViews>
    <sheetView showGridLines="0" tabSelected="1" view="pageBreakPreview" zoomScaleNormal="100" zoomScaleSheetLayoutView="100" workbookViewId="0">
      <selection sqref="A1:J5"/>
    </sheetView>
  </sheetViews>
  <sheetFormatPr defaultColWidth="0" defaultRowHeight="15" customHeight="1" zeroHeight="1" x14ac:dyDescent="0.25"/>
  <cols>
    <col min="1" max="1" width="16" style="47" customWidth="1"/>
    <col min="2" max="2" width="10.7109375" style="47" customWidth="1"/>
    <col min="3" max="3" width="17.42578125" style="47" customWidth="1"/>
    <col min="4" max="4" width="18.5703125" style="47" customWidth="1"/>
    <col min="5" max="5" width="17.5703125" style="47" customWidth="1"/>
    <col min="6" max="9" width="12.140625" style="47" customWidth="1"/>
    <col min="10" max="10" width="20.140625" style="47" customWidth="1"/>
    <col min="11" max="16384" width="9.140625" style="47" hidden="1"/>
  </cols>
  <sheetData>
    <row r="1" spans="1:10" ht="30" customHeight="1" x14ac:dyDescent="0.25">
      <c r="A1" s="44" t="s">
        <v>86</v>
      </c>
      <c r="B1" s="45"/>
      <c r="C1" s="45"/>
      <c r="D1" s="45"/>
      <c r="E1" s="45"/>
      <c r="F1" s="45"/>
      <c r="G1" s="45"/>
      <c r="H1" s="45"/>
      <c r="I1" s="45"/>
      <c r="J1" s="46"/>
    </row>
    <row r="2" spans="1:10" ht="60" customHeight="1" x14ac:dyDescent="0.25">
      <c r="A2" s="48" t="s">
        <v>87</v>
      </c>
      <c r="B2" s="48" t="s">
        <v>88</v>
      </c>
      <c r="C2" s="48" t="s">
        <v>89</v>
      </c>
      <c r="D2" s="48" t="s">
        <v>90</v>
      </c>
      <c r="E2" s="48" t="s">
        <v>91</v>
      </c>
      <c r="F2" s="48" t="s">
        <v>92</v>
      </c>
      <c r="G2" s="48" t="s">
        <v>93</v>
      </c>
      <c r="H2" s="48" t="s">
        <v>94</v>
      </c>
      <c r="I2" s="48" t="s">
        <v>95</v>
      </c>
      <c r="J2" s="48" t="s">
        <v>96</v>
      </c>
    </row>
    <row r="3" spans="1:10" ht="12.75" customHeight="1" x14ac:dyDescent="0.25">
      <c r="A3" s="59" t="s">
        <v>98</v>
      </c>
      <c r="B3" s="49">
        <v>240</v>
      </c>
      <c r="C3" s="50">
        <f>IF(B3="-","-",(B3*SUM(G3:G5))/1000)</f>
        <v>19.715</v>
      </c>
      <c r="D3" s="60" t="s">
        <v>26</v>
      </c>
      <c r="E3" s="49">
        <f>IF(G3="-","-",IF(SUM(G3:G5)/0.8&lt;60,60,IF(SUM(G3:G5)/0.8&lt;100,100,200)))</f>
        <v>200</v>
      </c>
      <c r="F3" s="51" t="s">
        <v>30</v>
      </c>
      <c r="G3" s="52">
        <f>'Circuit A'!D38</f>
        <v>22.770833333333336</v>
      </c>
      <c r="H3" s="51">
        <f>IF(G3="-","-",ROUNDUP(G3/0.8,-1))</f>
        <v>30</v>
      </c>
      <c r="I3" s="51">
        <v>4</v>
      </c>
      <c r="J3" s="49" t="s">
        <v>99</v>
      </c>
    </row>
    <row r="4" spans="1:10" ht="12.75" customHeight="1" x14ac:dyDescent="0.25">
      <c r="A4" s="53"/>
      <c r="B4" s="53"/>
      <c r="C4" s="54"/>
      <c r="D4" s="53"/>
      <c r="E4" s="53"/>
      <c r="F4" s="51" t="s">
        <v>56</v>
      </c>
      <c r="G4" s="52">
        <f>'Circuit B'!D37</f>
        <v>25.229166666666668</v>
      </c>
      <c r="H4" s="51">
        <f t="shared" ref="H4:H8" si="0">IF(G4="-","-",ROUNDUP(G4/0.8,-1))</f>
        <v>40</v>
      </c>
      <c r="I4" s="51">
        <v>4</v>
      </c>
      <c r="J4" s="53"/>
    </row>
    <row r="5" spans="1:10" ht="12.75" customHeight="1" x14ac:dyDescent="0.25">
      <c r="A5" s="55"/>
      <c r="B5" s="55"/>
      <c r="C5" s="56"/>
      <c r="D5" s="55"/>
      <c r="E5" s="55"/>
      <c r="F5" s="51" t="s">
        <v>73</v>
      </c>
      <c r="G5" s="52">
        <f>'Circuit C'!D35</f>
        <v>34.145833333333329</v>
      </c>
      <c r="H5" s="51">
        <f t="shared" si="0"/>
        <v>50</v>
      </c>
      <c r="I5" s="51">
        <v>4</v>
      </c>
      <c r="J5" s="55"/>
    </row>
    <row r="6" spans="1:10" ht="12.75" customHeight="1" x14ac:dyDescent="0.25">
      <c r="A6" s="49" t="s">
        <v>97</v>
      </c>
      <c r="B6" s="49" t="s">
        <v>97</v>
      </c>
      <c r="C6" s="50" t="str">
        <f>IF(B6="-","-",(B6*SUM(G6:G8))/1000)</f>
        <v>-</v>
      </c>
      <c r="D6" s="49" t="s">
        <v>97</v>
      </c>
      <c r="E6" s="49" t="str">
        <f>IF(C6="-","-",IF(SUM(G6:G8)/0.8&lt;60,60,IF(SUM(G6:G8)/0.8&lt;100,100,200)))</f>
        <v>-</v>
      </c>
      <c r="F6" s="51" t="s">
        <v>97</v>
      </c>
      <c r="G6" s="52" t="s">
        <v>97</v>
      </c>
      <c r="H6" s="51" t="str">
        <f t="shared" si="0"/>
        <v>-</v>
      </c>
      <c r="I6" s="51" t="s">
        <v>97</v>
      </c>
      <c r="J6" s="49" t="s">
        <v>97</v>
      </c>
    </row>
    <row r="7" spans="1:10" ht="12.75" customHeight="1" x14ac:dyDescent="0.25">
      <c r="A7" s="53"/>
      <c r="B7" s="53"/>
      <c r="C7" s="54"/>
      <c r="D7" s="53"/>
      <c r="E7" s="53"/>
      <c r="F7" s="51" t="s">
        <v>97</v>
      </c>
      <c r="G7" s="52" t="s">
        <v>97</v>
      </c>
      <c r="H7" s="51" t="str">
        <f t="shared" si="0"/>
        <v>-</v>
      </c>
      <c r="I7" s="51" t="s">
        <v>97</v>
      </c>
      <c r="J7" s="53"/>
    </row>
    <row r="8" spans="1:10" ht="12.75" customHeight="1" x14ac:dyDescent="0.25">
      <c r="A8" s="55"/>
      <c r="B8" s="55"/>
      <c r="C8" s="56"/>
      <c r="D8" s="55"/>
      <c r="E8" s="55"/>
      <c r="F8" s="51" t="s">
        <v>97</v>
      </c>
      <c r="G8" s="52" t="s">
        <v>97</v>
      </c>
      <c r="H8" s="51" t="str">
        <f t="shared" si="0"/>
        <v>-</v>
      </c>
      <c r="I8" s="51" t="s">
        <v>97</v>
      </c>
      <c r="J8" s="55"/>
    </row>
    <row r="15" spans="1:10" hidden="1" x14ac:dyDescent="0.25">
      <c r="B15" s="57">
        <v>120</v>
      </c>
      <c r="C15" s="57"/>
      <c r="D15" s="58" t="s">
        <v>26</v>
      </c>
    </row>
    <row r="16" spans="1:10" hidden="1" x14ac:dyDescent="0.25">
      <c r="B16" s="57">
        <v>240</v>
      </c>
      <c r="C16" s="57"/>
      <c r="D16" s="58" t="s">
        <v>27</v>
      </c>
    </row>
    <row r="17" spans="2:4" hidden="1" x14ac:dyDescent="0.25">
      <c r="B17" s="57">
        <v>480</v>
      </c>
      <c r="C17" s="57"/>
      <c r="D17" s="57">
        <v>2</v>
      </c>
    </row>
    <row r="18" spans="2:4" hidden="1" x14ac:dyDescent="0.25">
      <c r="B18" s="57"/>
      <c r="C18" s="57"/>
      <c r="D18" s="57">
        <v>4</v>
      </c>
    </row>
  </sheetData>
  <mergeCells count="13">
    <mergeCell ref="A6:A8"/>
    <mergeCell ref="B6:B8"/>
    <mergeCell ref="C6:C8"/>
    <mergeCell ref="D6:D8"/>
    <mergeCell ref="E6:E8"/>
    <mergeCell ref="J6:J8"/>
    <mergeCell ref="A1:J1"/>
    <mergeCell ref="A3:A5"/>
    <mergeCell ref="B3:B5"/>
    <mergeCell ref="C3:C5"/>
    <mergeCell ref="D3:D5"/>
    <mergeCell ref="E3:E5"/>
    <mergeCell ref="J3:J5"/>
  </mergeCells>
  <dataValidations count="1">
    <dataValidation type="list" allowBlank="1" showInputMessage="1" showErrorMessage="1" sqref="B3:B5" xr:uid="{6119DBAC-24EE-40C9-BB96-603492D2F6C9}">
      <formula1>$B$15:$B$17</formula1>
    </dataValidation>
  </dataValidations>
  <pageMargins left="0.7" right="0.7" top="0.75" bottom="0.75" header="0.3" footer="0.3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A5566A9EF6F54D81FD85FDE38B1A10" ma:contentTypeVersion="9" ma:contentTypeDescription="Create a new document." ma:contentTypeScope="" ma:versionID="65d02c62c6ba6a791774631a983a4334">
  <xsd:schema xmlns:xsd="http://www.w3.org/2001/XMLSchema" xmlns:xs="http://www.w3.org/2001/XMLSchema" xmlns:p="http://schemas.microsoft.com/office/2006/metadata/properties" xmlns:ns2="cdf5cfbf-cf86-4eb7-ac31-a9fd0075546e" targetNamespace="http://schemas.microsoft.com/office/2006/metadata/properties" ma:root="true" ma:fieldsID="5769d7150f2363f74b93521d7e0a0866" ns2:_="">
    <xsd:import namespace="cdf5cfbf-cf86-4eb7-ac31-a9fd0075546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5cfbf-cf86-4eb7-ac31-a9fd007554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990DDF-75FE-4513-BE8D-2917F8F114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BFCE8F8-37CB-4E29-AEDE-09EFF7D0C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5cfbf-cf86-4eb7-ac31-a9fd00755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568D6C-51A5-40F6-A532-7C6BAC697F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Circuit A</vt:lpstr>
      <vt:lpstr>Circuit B</vt:lpstr>
      <vt:lpstr>Circuit C</vt:lpstr>
      <vt:lpstr>CONTROL CENTER DATA TABLE</vt:lpstr>
      <vt:lpstr>'Circuit A'!Print_Area</vt:lpstr>
      <vt:lpstr>'Circuit B'!Print_Area</vt:lpstr>
      <vt:lpstr>'Circuit C'!Print_Area</vt:lpstr>
    </vt:vector>
  </TitlesOfParts>
  <Company>MS Consultants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LDRP - Voltage Drop Calculations</dc:title>
  <dc:creator>ms consultants, inc.</dc:creator>
  <cp:lastModifiedBy>Schneider, Beth</cp:lastModifiedBy>
  <cp:lastPrinted>2016-04-12T14:20:22Z</cp:lastPrinted>
  <dcterms:created xsi:type="dcterms:W3CDTF">2000-12-11T14:28:56Z</dcterms:created>
  <dcterms:modified xsi:type="dcterms:W3CDTF">2025-08-28T18:53:37Z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0x01010077A5566A9EF6F54D81FD85FDE38B1A10</vt:lpwstr>
  </property>
</Properties>
</file>