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ADDServices\ODOTcadd\Standards\Geopak\Road\super\"/>
    </mc:Choice>
  </mc:AlternateContent>
  <bookViews>
    <workbookView xWindow="0" yWindow="75" windowWidth="24735" windowHeight="11955" activeTab="3"/>
  </bookViews>
  <sheets>
    <sheet name="202-7E" sheetId="1" r:id="rId1"/>
    <sheet name="202-8E" sheetId="2" r:id="rId2"/>
    <sheet name="202-9E" sheetId="3" r:id="rId3"/>
    <sheet name="202-10E" sheetId="4" r:id="rId4"/>
  </sheets>
  <calcPr calcId="152511"/>
</workbook>
</file>

<file path=xl/calcChain.xml><?xml version="1.0" encoding="utf-8"?>
<calcChain xmlns="http://schemas.openxmlformats.org/spreadsheetml/2006/main">
  <c r="D4" i="1" l="1"/>
  <c r="AT12" i="2" l="1"/>
  <c r="AS12" i="2"/>
  <c r="AR12" i="2"/>
  <c r="AQ12" i="2"/>
  <c r="AP12" i="2"/>
  <c r="AO12" i="2"/>
  <c r="AT11" i="2"/>
  <c r="AS11" i="2"/>
  <c r="AR11" i="2"/>
  <c r="AQ11" i="2"/>
  <c r="AP11" i="2"/>
  <c r="AO11" i="2"/>
  <c r="AT10" i="2"/>
  <c r="AS10" i="2"/>
  <c r="AR10" i="2"/>
  <c r="AQ10" i="2"/>
  <c r="AP10" i="2"/>
  <c r="AO10" i="2"/>
  <c r="AT9" i="2"/>
  <c r="AS9" i="2"/>
  <c r="AR9" i="2"/>
  <c r="AQ9" i="2"/>
  <c r="AP9" i="2"/>
  <c r="AO9" i="2"/>
  <c r="AT8" i="2"/>
  <c r="AS8" i="2"/>
  <c r="AR8" i="2"/>
  <c r="AQ8" i="2"/>
  <c r="AP8" i="2"/>
  <c r="AO8" i="2"/>
  <c r="AT7" i="2"/>
  <c r="AS7" i="2"/>
  <c r="AR7" i="2"/>
  <c r="AQ7" i="2"/>
  <c r="AP7" i="2"/>
  <c r="AO7" i="2"/>
  <c r="AT6" i="2"/>
  <c r="AS6" i="2"/>
  <c r="AR6" i="2"/>
  <c r="AQ6" i="2"/>
  <c r="AP6" i="2"/>
  <c r="AO6" i="2"/>
  <c r="AT5" i="2"/>
  <c r="AS5" i="2"/>
  <c r="AR5" i="2"/>
  <c r="AQ5" i="2"/>
  <c r="AP5" i="2"/>
  <c r="AO5" i="2"/>
  <c r="AM8" i="2"/>
  <c r="AL8" i="2"/>
  <c r="AK8" i="2"/>
  <c r="AJ8" i="2"/>
  <c r="AI8" i="2"/>
  <c r="AH8" i="2"/>
  <c r="AF8" i="2"/>
  <c r="AE8" i="2"/>
  <c r="AD8" i="2"/>
  <c r="AC8" i="2"/>
  <c r="AB8" i="2"/>
  <c r="AA8" i="2"/>
  <c r="Y14" i="2"/>
  <c r="X14" i="2"/>
  <c r="W14" i="2"/>
  <c r="V14" i="2"/>
  <c r="U14" i="2"/>
  <c r="T14" i="2"/>
  <c r="Y12" i="2"/>
  <c r="X12" i="2"/>
  <c r="W12" i="2"/>
  <c r="V12" i="2"/>
  <c r="U12" i="2"/>
  <c r="T12" i="2"/>
  <c r="Y10" i="2"/>
  <c r="X10" i="2"/>
  <c r="W10" i="2"/>
  <c r="V10" i="2"/>
  <c r="U10" i="2"/>
  <c r="T10" i="2"/>
  <c r="Y8" i="2"/>
  <c r="X8" i="2"/>
  <c r="W8" i="2"/>
  <c r="V8" i="2"/>
  <c r="U8" i="2"/>
  <c r="T8" i="2"/>
  <c r="R14" i="2"/>
  <c r="Q14" i="2"/>
  <c r="P14" i="2"/>
  <c r="O14" i="2"/>
  <c r="N14" i="2"/>
  <c r="M14" i="2"/>
  <c r="R12" i="2"/>
  <c r="Q12" i="2"/>
  <c r="P12" i="2"/>
  <c r="O12" i="2"/>
  <c r="N12" i="2"/>
  <c r="M12" i="2"/>
  <c r="R10" i="2"/>
  <c r="Q10" i="2"/>
  <c r="P10" i="2"/>
  <c r="O10" i="2"/>
  <c r="N10" i="2"/>
  <c r="M10" i="2"/>
  <c r="R8" i="2"/>
  <c r="Q8" i="2"/>
  <c r="P8" i="2"/>
  <c r="O8" i="2"/>
  <c r="N8" i="2"/>
  <c r="M8" i="2"/>
  <c r="K14" i="2"/>
  <c r="J14" i="2"/>
  <c r="I14" i="2"/>
  <c r="K12" i="2"/>
  <c r="J12" i="2"/>
  <c r="I12" i="2"/>
  <c r="K10" i="2"/>
  <c r="J10" i="2"/>
  <c r="I10" i="2"/>
  <c r="K8" i="2"/>
  <c r="J8" i="2"/>
  <c r="I8" i="2"/>
  <c r="H14" i="2"/>
  <c r="H12" i="2"/>
  <c r="H10" i="2"/>
  <c r="H8" i="2"/>
  <c r="G14" i="2"/>
  <c r="G12" i="2"/>
  <c r="G10" i="2"/>
  <c r="G7" i="2"/>
  <c r="G8" i="2"/>
  <c r="F8" i="2"/>
  <c r="F14" i="2"/>
  <c r="F12" i="2"/>
  <c r="F10" i="2"/>
  <c r="F9" i="2"/>
  <c r="AH14" i="2"/>
  <c r="AI14" i="2"/>
  <c r="AJ14" i="2"/>
  <c r="AK14" i="2"/>
  <c r="AL14" i="2"/>
  <c r="AM14" i="2"/>
  <c r="AH12" i="2"/>
  <c r="AI12" i="2"/>
  <c r="AJ12" i="2"/>
  <c r="AK12" i="2"/>
  <c r="AL12" i="2"/>
  <c r="AM12" i="2"/>
  <c r="AH10" i="2"/>
  <c r="AI10" i="2"/>
  <c r="AJ10" i="2"/>
  <c r="AK10" i="2"/>
  <c r="AL10" i="2"/>
  <c r="AM10" i="2"/>
  <c r="AA14" i="2"/>
  <c r="AB14" i="2"/>
  <c r="AC14" i="2"/>
  <c r="AD14" i="2"/>
  <c r="AE14" i="2"/>
  <c r="AF14" i="2"/>
  <c r="AA12" i="2"/>
  <c r="AB12" i="2"/>
  <c r="AC12" i="2"/>
  <c r="AD12" i="2"/>
  <c r="AE12" i="2"/>
  <c r="AF12" i="2"/>
  <c r="AA10" i="2"/>
  <c r="AB10" i="2"/>
  <c r="AC10" i="2"/>
  <c r="AD10" i="2"/>
  <c r="AE10" i="2"/>
  <c r="AF10" i="2"/>
  <c r="D14" i="2"/>
  <c r="D12" i="2"/>
  <c r="D10" i="2"/>
  <c r="D8" i="2"/>
  <c r="CE13" i="1"/>
  <c r="CE12" i="1"/>
  <c r="CE11" i="1"/>
  <c r="CE10" i="1"/>
  <c r="CE9" i="1"/>
  <c r="CE8" i="1"/>
  <c r="CE7" i="1"/>
  <c r="CE6" i="1"/>
  <c r="CE5" i="1"/>
  <c r="CD13" i="1"/>
  <c r="CD12" i="1"/>
  <c r="CD11" i="1"/>
  <c r="CD10" i="1"/>
  <c r="CD9" i="1"/>
  <c r="CD8" i="1"/>
  <c r="CD7" i="1"/>
  <c r="CD6" i="1"/>
  <c r="CD5" i="1"/>
  <c r="CC13" i="1"/>
  <c r="CC12" i="1"/>
  <c r="CC11" i="1"/>
  <c r="CC10" i="1"/>
  <c r="CC9" i="1"/>
  <c r="CC8" i="1"/>
  <c r="CC7" i="1"/>
  <c r="CC6" i="1"/>
  <c r="CC5" i="1"/>
  <c r="CB13" i="1"/>
  <c r="CB12" i="1"/>
  <c r="CB11" i="1"/>
  <c r="CB10" i="1"/>
  <c r="CB9" i="1"/>
  <c r="CB8" i="1"/>
  <c r="CB7" i="1"/>
  <c r="CB6" i="1"/>
  <c r="CB5" i="1"/>
  <c r="CA13" i="1"/>
  <c r="CA12" i="1"/>
  <c r="CA11" i="1"/>
  <c r="CA10" i="1"/>
  <c r="CA9" i="1"/>
  <c r="CA8" i="1"/>
  <c r="CA7" i="1"/>
  <c r="CA6" i="1"/>
  <c r="CA5" i="1"/>
  <c r="BZ13" i="1"/>
  <c r="BZ12" i="1"/>
  <c r="BZ11" i="1"/>
  <c r="BZ10" i="1"/>
  <c r="BZ9" i="1"/>
  <c r="BZ8" i="1"/>
  <c r="BZ7" i="1"/>
  <c r="BZ6" i="1"/>
  <c r="BZ5" i="1"/>
  <c r="D47" i="3" l="1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S7" i="4"/>
  <c r="R7" i="4"/>
  <c r="P8" i="4"/>
  <c r="O8" i="4"/>
  <c r="M8" i="4"/>
  <c r="L8" i="4"/>
  <c r="J9" i="4"/>
  <c r="I9" i="4"/>
  <c r="G11" i="4"/>
  <c r="F11" i="4"/>
  <c r="F43" i="3"/>
  <c r="G43" i="3"/>
  <c r="H43" i="3"/>
  <c r="I43" i="3"/>
  <c r="J43" i="3"/>
  <c r="K43" i="3"/>
  <c r="F44" i="3"/>
  <c r="G44" i="3"/>
  <c r="H44" i="3"/>
  <c r="I44" i="3"/>
  <c r="J44" i="3"/>
  <c r="K44" i="3"/>
  <c r="F45" i="3"/>
  <c r="G45" i="3"/>
  <c r="H45" i="3"/>
  <c r="I45" i="3"/>
  <c r="J45" i="3"/>
  <c r="K45" i="3"/>
  <c r="F46" i="3"/>
  <c r="G46" i="3"/>
  <c r="H46" i="3"/>
  <c r="I46" i="3"/>
  <c r="J46" i="3"/>
  <c r="K46" i="3"/>
  <c r="F47" i="3"/>
  <c r="G47" i="3"/>
  <c r="H47" i="3"/>
  <c r="I47" i="3"/>
  <c r="J47" i="3"/>
  <c r="K47" i="3"/>
  <c r="F48" i="3"/>
  <c r="G48" i="3"/>
  <c r="H48" i="3"/>
  <c r="I48" i="3"/>
  <c r="J48" i="3"/>
  <c r="K48" i="3"/>
  <c r="F49" i="3"/>
  <c r="G49" i="3"/>
  <c r="H49" i="3"/>
  <c r="I49" i="3"/>
  <c r="J49" i="3"/>
  <c r="K49" i="3"/>
  <c r="F50" i="3"/>
  <c r="G50" i="3"/>
  <c r="H50" i="3"/>
  <c r="I50" i="3"/>
  <c r="J50" i="3"/>
  <c r="K50" i="3"/>
  <c r="F51" i="3"/>
  <c r="G51" i="3"/>
  <c r="H51" i="3"/>
  <c r="I51" i="3"/>
  <c r="J51" i="3"/>
  <c r="K51" i="3"/>
  <c r="F52" i="3"/>
  <c r="G52" i="3"/>
  <c r="H52" i="3"/>
  <c r="I52" i="3"/>
  <c r="J52" i="3"/>
  <c r="K52" i="3"/>
  <c r="M34" i="3"/>
  <c r="N34" i="3"/>
  <c r="O34" i="3"/>
  <c r="P34" i="3"/>
  <c r="Q34" i="3"/>
  <c r="R34" i="3"/>
  <c r="M35" i="3"/>
  <c r="N35" i="3"/>
  <c r="O35" i="3"/>
  <c r="P35" i="3"/>
  <c r="Q35" i="3"/>
  <c r="R35" i="3"/>
  <c r="M36" i="3"/>
  <c r="N36" i="3"/>
  <c r="O36" i="3"/>
  <c r="P36" i="3"/>
  <c r="Q36" i="3"/>
  <c r="R36" i="3"/>
  <c r="M37" i="3"/>
  <c r="N37" i="3"/>
  <c r="O37" i="3"/>
  <c r="P37" i="3"/>
  <c r="Q37" i="3"/>
  <c r="R37" i="3"/>
  <c r="M38" i="3"/>
  <c r="N38" i="3"/>
  <c r="O38" i="3"/>
  <c r="P38" i="3"/>
  <c r="Q38" i="3"/>
  <c r="R38" i="3"/>
  <c r="M39" i="3"/>
  <c r="N39" i="3"/>
  <c r="O39" i="3"/>
  <c r="P39" i="3"/>
  <c r="Q39" i="3"/>
  <c r="R39" i="3"/>
  <c r="T26" i="3"/>
  <c r="U26" i="3"/>
  <c r="V26" i="3"/>
  <c r="W26" i="3"/>
  <c r="X26" i="3"/>
  <c r="Y26" i="3"/>
  <c r="T27" i="3"/>
  <c r="U27" i="3"/>
  <c r="V27" i="3"/>
  <c r="W27" i="3"/>
  <c r="X27" i="3"/>
  <c r="Y27" i="3"/>
  <c r="T28" i="3"/>
  <c r="U28" i="3"/>
  <c r="V28" i="3"/>
  <c r="W28" i="3"/>
  <c r="X28" i="3"/>
  <c r="Y28" i="3"/>
  <c r="T29" i="3"/>
  <c r="U29" i="3"/>
  <c r="V29" i="3"/>
  <c r="W29" i="3"/>
  <c r="X29" i="3"/>
  <c r="Y29" i="3"/>
  <c r="T30" i="3"/>
  <c r="U30" i="3"/>
  <c r="V30" i="3"/>
  <c r="W30" i="3"/>
  <c r="X30" i="3"/>
  <c r="Y30" i="3"/>
  <c r="AA18" i="3"/>
  <c r="AB18" i="3"/>
  <c r="AC18" i="3"/>
  <c r="AD18" i="3"/>
  <c r="AE18" i="3"/>
  <c r="AF18" i="3"/>
  <c r="AA19" i="3"/>
  <c r="AB19" i="3"/>
  <c r="AC19" i="3"/>
  <c r="AD19" i="3"/>
  <c r="AE19" i="3"/>
  <c r="AF19" i="3"/>
  <c r="AA20" i="3"/>
  <c r="AB20" i="3"/>
  <c r="AC20" i="3"/>
  <c r="AD20" i="3"/>
  <c r="AE20" i="3"/>
  <c r="AF20" i="3"/>
  <c r="AA21" i="3"/>
  <c r="AB21" i="3"/>
  <c r="AC21" i="3"/>
  <c r="AD21" i="3"/>
  <c r="AE21" i="3"/>
  <c r="AF21" i="3"/>
  <c r="AA22" i="3"/>
  <c r="AB22" i="3"/>
  <c r="AC22" i="3"/>
  <c r="AD22" i="3"/>
  <c r="AE22" i="3"/>
  <c r="AF22" i="3"/>
  <c r="AH11" i="3"/>
  <c r="AI11" i="3"/>
  <c r="AJ11" i="3"/>
  <c r="AK11" i="3"/>
  <c r="AL11" i="3"/>
  <c r="AM11" i="3"/>
  <c r="AH12" i="3"/>
  <c r="AI12" i="3"/>
  <c r="AJ12" i="3"/>
  <c r="AK12" i="3"/>
  <c r="AL12" i="3"/>
  <c r="AM12" i="3"/>
  <c r="AH13" i="3"/>
  <c r="AI13" i="3"/>
  <c r="AJ13" i="3"/>
  <c r="AK13" i="3"/>
  <c r="AL13" i="3"/>
  <c r="AM13" i="3"/>
  <c r="AH14" i="3"/>
  <c r="AI14" i="3"/>
  <c r="AJ14" i="3"/>
  <c r="AK14" i="3"/>
  <c r="AL14" i="3"/>
  <c r="AM14" i="3"/>
  <c r="AO7" i="3"/>
  <c r="AP7" i="3"/>
  <c r="AQ7" i="3"/>
  <c r="AR7" i="3"/>
  <c r="AS7" i="3"/>
  <c r="AT7" i="3"/>
  <c r="AO8" i="3"/>
  <c r="AP8" i="3"/>
  <c r="AQ8" i="3"/>
  <c r="AR8" i="3"/>
  <c r="AS8" i="3"/>
  <c r="AT8" i="3"/>
  <c r="AT6" i="3"/>
  <c r="AS6" i="3"/>
  <c r="AR6" i="3"/>
  <c r="AQ6" i="3"/>
  <c r="AP6" i="3"/>
  <c r="AO6" i="3"/>
  <c r="AM10" i="3"/>
  <c r="AL10" i="3"/>
  <c r="AK10" i="3"/>
  <c r="AJ10" i="3"/>
  <c r="AI10" i="3"/>
  <c r="AH10" i="3"/>
  <c r="AF17" i="3"/>
  <c r="AE17" i="3"/>
  <c r="AD17" i="3"/>
  <c r="AC17" i="3"/>
  <c r="AB17" i="3"/>
  <c r="AA17" i="3"/>
  <c r="Y25" i="3"/>
  <c r="X25" i="3"/>
  <c r="W25" i="3"/>
  <c r="V25" i="3"/>
  <c r="U25" i="3"/>
  <c r="T25" i="3"/>
  <c r="R33" i="3"/>
  <c r="Q33" i="3"/>
  <c r="P33" i="3"/>
  <c r="O33" i="3"/>
  <c r="N33" i="3"/>
  <c r="M33" i="3"/>
  <c r="K42" i="3"/>
  <c r="J42" i="3"/>
  <c r="I42" i="3"/>
  <c r="H42" i="3"/>
  <c r="G42" i="3"/>
  <c r="F42" i="3"/>
  <c r="AH6" i="2"/>
  <c r="AI6" i="2"/>
  <c r="AJ6" i="2"/>
  <c r="AK6" i="2"/>
  <c r="AL6" i="2"/>
  <c r="AM6" i="2"/>
  <c r="AH7" i="2"/>
  <c r="AI7" i="2"/>
  <c r="AJ7" i="2"/>
  <c r="AK7" i="2"/>
  <c r="AL7" i="2"/>
  <c r="AM7" i="2"/>
  <c r="AH9" i="2"/>
  <c r="AI9" i="2"/>
  <c r="AJ9" i="2"/>
  <c r="AK9" i="2"/>
  <c r="AL9" i="2"/>
  <c r="AM9" i="2"/>
  <c r="AH11" i="2"/>
  <c r="AI11" i="2"/>
  <c r="AJ11" i="2"/>
  <c r="AK11" i="2"/>
  <c r="AL11" i="2"/>
  <c r="AM11" i="2"/>
  <c r="AH13" i="2"/>
  <c r="AI13" i="2"/>
  <c r="AJ13" i="2"/>
  <c r="AK13" i="2"/>
  <c r="AL13" i="2"/>
  <c r="AM13" i="2"/>
  <c r="AM5" i="2"/>
  <c r="AL5" i="2"/>
  <c r="AK5" i="2"/>
  <c r="AJ5" i="2"/>
  <c r="AI5" i="2"/>
  <c r="AH5" i="2"/>
  <c r="AA6" i="2"/>
  <c r="AB6" i="2"/>
  <c r="AC6" i="2"/>
  <c r="AD6" i="2"/>
  <c r="AE6" i="2"/>
  <c r="AF6" i="2"/>
  <c r="AA7" i="2"/>
  <c r="AB7" i="2"/>
  <c r="AC7" i="2"/>
  <c r="AD7" i="2"/>
  <c r="AE7" i="2"/>
  <c r="AF7" i="2"/>
  <c r="AA9" i="2"/>
  <c r="AB9" i="2"/>
  <c r="AC9" i="2"/>
  <c r="AD9" i="2"/>
  <c r="AE9" i="2"/>
  <c r="AF9" i="2"/>
  <c r="AA11" i="2"/>
  <c r="AB11" i="2"/>
  <c r="AC11" i="2"/>
  <c r="AD11" i="2"/>
  <c r="AE11" i="2"/>
  <c r="AF11" i="2"/>
  <c r="AA13" i="2"/>
  <c r="AB13" i="2"/>
  <c r="AC13" i="2"/>
  <c r="AD13" i="2"/>
  <c r="AE13" i="2"/>
  <c r="AF13" i="2"/>
  <c r="AA15" i="2"/>
  <c r="AB15" i="2"/>
  <c r="AC15" i="2"/>
  <c r="AD15" i="2"/>
  <c r="AE15" i="2"/>
  <c r="AF15" i="2"/>
  <c r="AA16" i="2"/>
  <c r="AB16" i="2"/>
  <c r="AC16" i="2"/>
  <c r="AD16" i="2"/>
  <c r="AE16" i="2"/>
  <c r="AF16" i="2"/>
  <c r="AF5" i="2"/>
  <c r="AE5" i="2"/>
  <c r="AD5" i="2"/>
  <c r="AC5" i="2"/>
  <c r="AB5" i="2"/>
  <c r="AA5" i="2"/>
  <c r="T7" i="2"/>
  <c r="U7" i="2"/>
  <c r="V7" i="2"/>
  <c r="W7" i="2"/>
  <c r="X7" i="2"/>
  <c r="Y7" i="2"/>
  <c r="T9" i="2"/>
  <c r="U9" i="2"/>
  <c r="V9" i="2"/>
  <c r="W9" i="2"/>
  <c r="X9" i="2"/>
  <c r="Y9" i="2"/>
  <c r="T11" i="2"/>
  <c r="U11" i="2"/>
  <c r="V11" i="2"/>
  <c r="W11" i="2"/>
  <c r="X11" i="2"/>
  <c r="Y11" i="2"/>
  <c r="T13" i="2"/>
  <c r="U13" i="2"/>
  <c r="V13" i="2"/>
  <c r="W13" i="2"/>
  <c r="X13" i="2"/>
  <c r="Y13" i="2"/>
  <c r="T15" i="2"/>
  <c r="U15" i="2"/>
  <c r="V15" i="2"/>
  <c r="W15" i="2"/>
  <c r="X15" i="2"/>
  <c r="Y15" i="2"/>
  <c r="T16" i="2"/>
  <c r="U16" i="2"/>
  <c r="V16" i="2"/>
  <c r="W16" i="2"/>
  <c r="X16" i="2"/>
  <c r="Y16" i="2"/>
  <c r="T17" i="2"/>
  <c r="U17" i="2"/>
  <c r="V17" i="2"/>
  <c r="W17" i="2"/>
  <c r="X17" i="2"/>
  <c r="Y17" i="2"/>
  <c r="Y6" i="2"/>
  <c r="X6" i="2"/>
  <c r="W6" i="2"/>
  <c r="V6" i="2"/>
  <c r="U6" i="2"/>
  <c r="T6" i="2"/>
  <c r="M7" i="2"/>
  <c r="N7" i="2"/>
  <c r="O7" i="2"/>
  <c r="P7" i="2"/>
  <c r="Q7" i="2"/>
  <c r="R7" i="2"/>
  <c r="M9" i="2"/>
  <c r="N9" i="2"/>
  <c r="O9" i="2"/>
  <c r="P9" i="2"/>
  <c r="Q9" i="2"/>
  <c r="R9" i="2"/>
  <c r="M11" i="2"/>
  <c r="N11" i="2"/>
  <c r="O11" i="2"/>
  <c r="P11" i="2"/>
  <c r="Q11" i="2"/>
  <c r="R11" i="2"/>
  <c r="M13" i="2"/>
  <c r="N13" i="2"/>
  <c r="O13" i="2"/>
  <c r="P13" i="2"/>
  <c r="Q13" i="2"/>
  <c r="R13" i="2"/>
  <c r="M15" i="2"/>
  <c r="N15" i="2"/>
  <c r="O15" i="2"/>
  <c r="P15" i="2"/>
  <c r="Q15" i="2"/>
  <c r="R15" i="2"/>
  <c r="M16" i="2"/>
  <c r="N16" i="2"/>
  <c r="O16" i="2"/>
  <c r="P16" i="2"/>
  <c r="Q16" i="2"/>
  <c r="R16" i="2"/>
  <c r="M17" i="2"/>
  <c r="N17" i="2"/>
  <c r="O17" i="2"/>
  <c r="P17" i="2"/>
  <c r="Q17" i="2"/>
  <c r="R17" i="2"/>
  <c r="M18" i="2"/>
  <c r="N18" i="2"/>
  <c r="O18" i="2"/>
  <c r="P18" i="2"/>
  <c r="Q18" i="2"/>
  <c r="R18" i="2"/>
  <c r="M19" i="2"/>
  <c r="N19" i="2"/>
  <c r="O19" i="2"/>
  <c r="P19" i="2"/>
  <c r="Q19" i="2"/>
  <c r="R19" i="2"/>
  <c r="M20" i="2"/>
  <c r="N20" i="2"/>
  <c r="O20" i="2"/>
  <c r="P20" i="2"/>
  <c r="Q20" i="2"/>
  <c r="R20" i="2"/>
  <c r="R6" i="2"/>
  <c r="Q6" i="2"/>
  <c r="P6" i="2"/>
  <c r="O6" i="2"/>
  <c r="N6" i="2"/>
  <c r="M6" i="2"/>
  <c r="G9" i="2"/>
  <c r="H9" i="2"/>
  <c r="I9" i="2"/>
  <c r="J9" i="2"/>
  <c r="K9" i="2"/>
  <c r="F11" i="2"/>
  <c r="G11" i="2"/>
  <c r="H11" i="2"/>
  <c r="I11" i="2"/>
  <c r="J11" i="2"/>
  <c r="K11" i="2"/>
  <c r="F13" i="2"/>
  <c r="G13" i="2"/>
  <c r="H13" i="2"/>
  <c r="I13" i="2"/>
  <c r="J13" i="2"/>
  <c r="K13" i="2"/>
  <c r="F15" i="2"/>
  <c r="G15" i="2"/>
  <c r="H15" i="2"/>
  <c r="I15" i="2"/>
  <c r="J15" i="2"/>
  <c r="K15" i="2"/>
  <c r="F16" i="2"/>
  <c r="G16" i="2"/>
  <c r="H16" i="2"/>
  <c r="I16" i="2"/>
  <c r="J16" i="2"/>
  <c r="K16" i="2"/>
  <c r="F17" i="2"/>
  <c r="G17" i="2"/>
  <c r="H17" i="2"/>
  <c r="I17" i="2"/>
  <c r="J17" i="2"/>
  <c r="K17" i="2"/>
  <c r="F18" i="2"/>
  <c r="G18" i="2"/>
  <c r="H18" i="2"/>
  <c r="I18" i="2"/>
  <c r="J18" i="2"/>
  <c r="K18" i="2"/>
  <c r="F19" i="2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K7" i="2"/>
  <c r="J7" i="2"/>
  <c r="I7" i="2"/>
  <c r="H7" i="2"/>
  <c r="F7" i="2"/>
  <c r="BS6" i="1"/>
  <c r="BT6" i="1"/>
  <c r="BU6" i="1"/>
  <c r="BV6" i="1"/>
  <c r="BW6" i="1"/>
  <c r="BX6" i="1"/>
  <c r="BS7" i="1"/>
  <c r="BT7" i="1"/>
  <c r="BU7" i="1"/>
  <c r="BV7" i="1"/>
  <c r="BW7" i="1"/>
  <c r="BX7" i="1"/>
  <c r="BS8" i="1"/>
  <c r="BT8" i="1"/>
  <c r="BU8" i="1"/>
  <c r="BV8" i="1"/>
  <c r="BW8" i="1"/>
  <c r="BX8" i="1"/>
  <c r="BS9" i="1"/>
  <c r="BT9" i="1"/>
  <c r="BU9" i="1"/>
  <c r="BV9" i="1"/>
  <c r="BW9" i="1"/>
  <c r="BX9" i="1"/>
  <c r="BS10" i="1"/>
  <c r="BT10" i="1"/>
  <c r="BU10" i="1"/>
  <c r="BV10" i="1"/>
  <c r="BW10" i="1"/>
  <c r="BX10" i="1"/>
  <c r="BS11" i="1"/>
  <c r="BT11" i="1"/>
  <c r="BU11" i="1"/>
  <c r="BV11" i="1"/>
  <c r="BW11" i="1"/>
  <c r="BX11" i="1"/>
  <c r="BS12" i="1"/>
  <c r="BT12" i="1"/>
  <c r="BU12" i="1"/>
  <c r="BV12" i="1"/>
  <c r="BW12" i="1"/>
  <c r="BX12" i="1"/>
  <c r="BS13" i="1"/>
  <c r="BT13" i="1"/>
  <c r="BU13" i="1"/>
  <c r="BV13" i="1"/>
  <c r="BW13" i="1"/>
  <c r="BX13" i="1"/>
  <c r="BS14" i="1"/>
  <c r="BT14" i="1"/>
  <c r="BU14" i="1"/>
  <c r="BV14" i="1"/>
  <c r="BW14" i="1"/>
  <c r="BX14" i="1"/>
  <c r="BS15" i="1"/>
  <c r="BT15" i="1"/>
  <c r="BU15" i="1"/>
  <c r="BV15" i="1"/>
  <c r="BW15" i="1"/>
  <c r="BX15" i="1"/>
  <c r="BX5" i="1"/>
  <c r="BW5" i="1"/>
  <c r="BV5" i="1"/>
  <c r="BU5" i="1"/>
  <c r="BT5" i="1"/>
  <c r="BS5" i="1"/>
  <c r="BL6" i="1"/>
  <c r="BM6" i="1"/>
  <c r="BN6" i="1"/>
  <c r="BO6" i="1"/>
  <c r="BP6" i="1"/>
  <c r="BQ6" i="1"/>
  <c r="BL7" i="1"/>
  <c r="BM7" i="1"/>
  <c r="BN7" i="1"/>
  <c r="BO7" i="1"/>
  <c r="BP7" i="1"/>
  <c r="BQ7" i="1"/>
  <c r="BL8" i="1"/>
  <c r="BM8" i="1"/>
  <c r="BN8" i="1"/>
  <c r="BO8" i="1"/>
  <c r="BP8" i="1"/>
  <c r="BQ8" i="1"/>
  <c r="BL9" i="1"/>
  <c r="BM9" i="1"/>
  <c r="BN9" i="1"/>
  <c r="BO9" i="1"/>
  <c r="BP9" i="1"/>
  <c r="BQ9" i="1"/>
  <c r="BL10" i="1"/>
  <c r="BM10" i="1"/>
  <c r="BN10" i="1"/>
  <c r="BO10" i="1"/>
  <c r="BP10" i="1"/>
  <c r="BQ10" i="1"/>
  <c r="BL11" i="1"/>
  <c r="BM11" i="1"/>
  <c r="BN11" i="1"/>
  <c r="BO11" i="1"/>
  <c r="BP11" i="1"/>
  <c r="BQ11" i="1"/>
  <c r="BL12" i="1"/>
  <c r="BM12" i="1"/>
  <c r="BN12" i="1"/>
  <c r="BO12" i="1"/>
  <c r="BP12" i="1"/>
  <c r="BQ12" i="1"/>
  <c r="BL13" i="1"/>
  <c r="BM13" i="1"/>
  <c r="BN13" i="1"/>
  <c r="BO13" i="1"/>
  <c r="BP13" i="1"/>
  <c r="BQ13" i="1"/>
  <c r="BL14" i="1"/>
  <c r="BM14" i="1"/>
  <c r="BN14" i="1"/>
  <c r="BO14" i="1"/>
  <c r="BP14" i="1"/>
  <c r="BQ14" i="1"/>
  <c r="BL15" i="1"/>
  <c r="BM15" i="1"/>
  <c r="BN15" i="1"/>
  <c r="BO15" i="1"/>
  <c r="BP15" i="1"/>
  <c r="BQ15" i="1"/>
  <c r="BL16" i="1"/>
  <c r="BM16" i="1"/>
  <c r="BN16" i="1"/>
  <c r="BO16" i="1"/>
  <c r="BP16" i="1"/>
  <c r="BQ16" i="1"/>
  <c r="BL17" i="1"/>
  <c r="BM17" i="1"/>
  <c r="BN17" i="1"/>
  <c r="BO17" i="1"/>
  <c r="BP17" i="1"/>
  <c r="BQ17" i="1"/>
  <c r="BL18" i="1"/>
  <c r="BM18" i="1"/>
  <c r="BN18" i="1"/>
  <c r="BO18" i="1"/>
  <c r="BP18" i="1"/>
  <c r="BQ18" i="1"/>
  <c r="BQ5" i="1"/>
  <c r="BP5" i="1"/>
  <c r="BO5" i="1"/>
  <c r="BN5" i="1"/>
  <c r="BM5" i="1"/>
  <c r="BL5" i="1"/>
  <c r="BC7" i="1"/>
  <c r="BD7" i="1"/>
  <c r="BE7" i="1"/>
  <c r="BF7" i="1"/>
  <c r="BG7" i="1"/>
  <c r="BH7" i="1"/>
  <c r="BC8" i="1"/>
  <c r="BD8" i="1"/>
  <c r="BE8" i="1"/>
  <c r="BF8" i="1"/>
  <c r="BG8" i="1"/>
  <c r="BH8" i="1"/>
  <c r="BC9" i="1"/>
  <c r="BD9" i="1"/>
  <c r="BE9" i="1"/>
  <c r="BF9" i="1"/>
  <c r="BG9" i="1"/>
  <c r="BH9" i="1"/>
  <c r="BC10" i="1"/>
  <c r="BD10" i="1"/>
  <c r="BE10" i="1"/>
  <c r="BF10" i="1"/>
  <c r="BG10" i="1"/>
  <c r="BH10" i="1"/>
  <c r="BC11" i="1"/>
  <c r="BD11" i="1"/>
  <c r="BE11" i="1"/>
  <c r="BF11" i="1"/>
  <c r="BG11" i="1"/>
  <c r="BH11" i="1"/>
  <c r="BC12" i="1"/>
  <c r="BD12" i="1"/>
  <c r="BE12" i="1"/>
  <c r="BF12" i="1"/>
  <c r="BG12" i="1"/>
  <c r="BH12" i="1"/>
  <c r="BC13" i="1"/>
  <c r="BD13" i="1"/>
  <c r="BE13" i="1"/>
  <c r="BF13" i="1"/>
  <c r="BG13" i="1"/>
  <c r="BH13" i="1"/>
  <c r="BC14" i="1"/>
  <c r="BD14" i="1"/>
  <c r="BE14" i="1"/>
  <c r="BF14" i="1"/>
  <c r="BG14" i="1"/>
  <c r="BH14" i="1"/>
  <c r="BH6" i="1"/>
  <c r="BG6" i="1"/>
  <c r="BF6" i="1"/>
  <c r="BE6" i="1"/>
  <c r="BD6" i="1"/>
  <c r="BC6" i="1"/>
  <c r="AV7" i="1"/>
  <c r="AW7" i="1"/>
  <c r="AX7" i="1"/>
  <c r="AY7" i="1"/>
  <c r="AZ7" i="1"/>
  <c r="BA7" i="1"/>
  <c r="AV8" i="1"/>
  <c r="AW8" i="1"/>
  <c r="AX8" i="1"/>
  <c r="AY8" i="1"/>
  <c r="AZ8" i="1"/>
  <c r="BA8" i="1"/>
  <c r="AV9" i="1"/>
  <c r="AW9" i="1"/>
  <c r="AX9" i="1"/>
  <c r="AY9" i="1"/>
  <c r="AZ9" i="1"/>
  <c r="BA9" i="1"/>
  <c r="AV10" i="1"/>
  <c r="AW10" i="1"/>
  <c r="AX10" i="1"/>
  <c r="AY10" i="1"/>
  <c r="AZ10" i="1"/>
  <c r="BA10" i="1"/>
  <c r="AV11" i="1"/>
  <c r="AW11" i="1"/>
  <c r="AX11" i="1"/>
  <c r="AY11" i="1"/>
  <c r="AZ11" i="1"/>
  <c r="BA11" i="1"/>
  <c r="AV12" i="1"/>
  <c r="AW12" i="1"/>
  <c r="AX12" i="1"/>
  <c r="AY12" i="1"/>
  <c r="AZ12" i="1"/>
  <c r="BA12" i="1"/>
  <c r="AV13" i="1"/>
  <c r="AW13" i="1"/>
  <c r="AX13" i="1"/>
  <c r="AY13" i="1"/>
  <c r="AZ13" i="1"/>
  <c r="BA13" i="1"/>
  <c r="AV14" i="1"/>
  <c r="AW14" i="1"/>
  <c r="AX14" i="1"/>
  <c r="AY14" i="1"/>
  <c r="AZ14" i="1"/>
  <c r="BA14" i="1"/>
  <c r="AV15" i="1"/>
  <c r="AW15" i="1"/>
  <c r="AX15" i="1"/>
  <c r="AY15" i="1"/>
  <c r="AZ15" i="1"/>
  <c r="BA15" i="1"/>
  <c r="AV16" i="1"/>
  <c r="AW16" i="1"/>
  <c r="AX16" i="1"/>
  <c r="AY16" i="1"/>
  <c r="AZ16" i="1"/>
  <c r="BA16" i="1"/>
  <c r="AV17" i="1"/>
  <c r="AW17" i="1"/>
  <c r="AX17" i="1"/>
  <c r="AY17" i="1"/>
  <c r="AZ17" i="1"/>
  <c r="BA17" i="1"/>
  <c r="BA6" i="1"/>
  <c r="AZ6" i="1"/>
  <c r="AY6" i="1"/>
  <c r="AX6" i="1"/>
  <c r="AW6" i="1"/>
  <c r="AV6" i="1"/>
  <c r="AO7" i="1"/>
  <c r="AP7" i="1"/>
  <c r="AQ7" i="1"/>
  <c r="AR7" i="1"/>
  <c r="AS7" i="1"/>
  <c r="AT7" i="1"/>
  <c r="AO8" i="1"/>
  <c r="AP8" i="1"/>
  <c r="AQ8" i="1"/>
  <c r="AR8" i="1"/>
  <c r="AS8" i="1"/>
  <c r="AT8" i="1"/>
  <c r="AO9" i="1"/>
  <c r="AP9" i="1"/>
  <c r="AQ9" i="1"/>
  <c r="AR9" i="1"/>
  <c r="AS9" i="1"/>
  <c r="AT9" i="1"/>
  <c r="AO10" i="1"/>
  <c r="AP10" i="1"/>
  <c r="AQ10" i="1"/>
  <c r="AR10" i="1"/>
  <c r="AS10" i="1"/>
  <c r="AT10" i="1"/>
  <c r="AO11" i="1"/>
  <c r="AP11" i="1"/>
  <c r="AQ11" i="1"/>
  <c r="AR11" i="1"/>
  <c r="AS11" i="1"/>
  <c r="AT11" i="1"/>
  <c r="AO12" i="1"/>
  <c r="AP12" i="1"/>
  <c r="AQ12" i="1"/>
  <c r="AR12" i="1"/>
  <c r="AS12" i="1"/>
  <c r="AT12" i="1"/>
  <c r="AO13" i="1"/>
  <c r="AP13" i="1"/>
  <c r="AQ13" i="1"/>
  <c r="AR13" i="1"/>
  <c r="AS13" i="1"/>
  <c r="AT13" i="1"/>
  <c r="AO14" i="1"/>
  <c r="AP14" i="1"/>
  <c r="AQ14" i="1"/>
  <c r="AR14" i="1"/>
  <c r="AS14" i="1"/>
  <c r="AT14" i="1"/>
  <c r="AO15" i="1"/>
  <c r="AP15" i="1"/>
  <c r="AQ15" i="1"/>
  <c r="AR15" i="1"/>
  <c r="AS15" i="1"/>
  <c r="AT15" i="1"/>
  <c r="AO16" i="1"/>
  <c r="AP16" i="1"/>
  <c r="AQ16" i="1"/>
  <c r="AR16" i="1"/>
  <c r="AS16" i="1"/>
  <c r="AT16" i="1"/>
  <c r="AO17" i="1"/>
  <c r="AP17" i="1"/>
  <c r="AQ17" i="1"/>
  <c r="AR17" i="1"/>
  <c r="AS17" i="1"/>
  <c r="AT17" i="1"/>
  <c r="AO18" i="1"/>
  <c r="AP18" i="1"/>
  <c r="AQ18" i="1"/>
  <c r="AR18" i="1"/>
  <c r="AS18" i="1"/>
  <c r="AT18" i="1"/>
  <c r="AO19" i="1"/>
  <c r="AP19" i="1"/>
  <c r="AQ19" i="1"/>
  <c r="AR19" i="1"/>
  <c r="AS19" i="1"/>
  <c r="AT19" i="1"/>
  <c r="AO20" i="1"/>
  <c r="AP20" i="1"/>
  <c r="AQ20" i="1"/>
  <c r="AR20" i="1"/>
  <c r="AS20" i="1"/>
  <c r="AT20" i="1"/>
  <c r="AT6" i="1"/>
  <c r="AS6" i="1"/>
  <c r="AR6" i="1"/>
  <c r="AQ6" i="1"/>
  <c r="AP6" i="1"/>
  <c r="AO6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7" i="1"/>
  <c r="AH8" i="1"/>
  <c r="AI8" i="1"/>
  <c r="AJ8" i="1"/>
  <c r="AK8" i="1"/>
  <c r="AM8" i="1"/>
  <c r="AH9" i="1"/>
  <c r="AI9" i="1"/>
  <c r="AJ9" i="1"/>
  <c r="AK9" i="1"/>
  <c r="AM9" i="1"/>
  <c r="AH10" i="1"/>
  <c r="AI10" i="1"/>
  <c r="AJ10" i="1"/>
  <c r="AK10" i="1"/>
  <c r="AM10" i="1"/>
  <c r="AH11" i="1"/>
  <c r="AI11" i="1"/>
  <c r="AJ11" i="1"/>
  <c r="AK11" i="1"/>
  <c r="AM11" i="1"/>
  <c r="AH12" i="1"/>
  <c r="AI12" i="1"/>
  <c r="AJ12" i="1"/>
  <c r="AK12" i="1"/>
  <c r="AM12" i="1"/>
  <c r="AH13" i="1"/>
  <c r="AI13" i="1"/>
  <c r="AJ13" i="1"/>
  <c r="AK13" i="1"/>
  <c r="AM13" i="1"/>
  <c r="AH14" i="1"/>
  <c r="AI14" i="1"/>
  <c r="AJ14" i="1"/>
  <c r="AK14" i="1"/>
  <c r="AM14" i="1"/>
  <c r="AH15" i="1"/>
  <c r="AI15" i="1"/>
  <c r="AJ15" i="1"/>
  <c r="AK15" i="1"/>
  <c r="AM15" i="1"/>
  <c r="AH16" i="1"/>
  <c r="AI16" i="1"/>
  <c r="AJ16" i="1"/>
  <c r="AK16" i="1"/>
  <c r="AM16" i="1"/>
  <c r="AH17" i="1"/>
  <c r="AI17" i="1"/>
  <c r="AJ17" i="1"/>
  <c r="AK17" i="1"/>
  <c r="AM17" i="1"/>
  <c r="AH18" i="1"/>
  <c r="AI18" i="1"/>
  <c r="AJ18" i="1"/>
  <c r="AK18" i="1"/>
  <c r="AM18" i="1"/>
  <c r="AH19" i="1"/>
  <c r="AI19" i="1"/>
  <c r="AJ19" i="1"/>
  <c r="AK19" i="1"/>
  <c r="AM19" i="1"/>
  <c r="AH20" i="1"/>
  <c r="AI20" i="1"/>
  <c r="AJ20" i="1"/>
  <c r="AK20" i="1"/>
  <c r="AM20" i="1"/>
  <c r="AH21" i="1"/>
  <c r="AI21" i="1"/>
  <c r="AJ21" i="1"/>
  <c r="AK21" i="1"/>
  <c r="AM21" i="1"/>
  <c r="AH22" i="1"/>
  <c r="AI22" i="1"/>
  <c r="AJ22" i="1"/>
  <c r="AK22" i="1"/>
  <c r="AM22" i="1"/>
  <c r="AH23" i="1"/>
  <c r="AI23" i="1"/>
  <c r="AJ23" i="1"/>
  <c r="AK23" i="1"/>
  <c r="AM23" i="1"/>
  <c r="AH24" i="1"/>
  <c r="AI24" i="1"/>
  <c r="AJ24" i="1"/>
  <c r="AK24" i="1"/>
  <c r="AM24" i="1"/>
  <c r="AM7" i="1"/>
  <c r="AK7" i="1"/>
  <c r="AJ7" i="1"/>
  <c r="AI7" i="1"/>
  <c r="AH7" i="1"/>
  <c r="AA9" i="1"/>
  <c r="AB9" i="1"/>
  <c r="AC9" i="1"/>
  <c r="AD9" i="1"/>
  <c r="AE9" i="1"/>
  <c r="AF9" i="1"/>
  <c r="AA10" i="1"/>
  <c r="AB10" i="1"/>
  <c r="AC10" i="1"/>
  <c r="AD10" i="1"/>
  <c r="AE10" i="1"/>
  <c r="AF10" i="1"/>
  <c r="AA11" i="1"/>
  <c r="AB11" i="1"/>
  <c r="AC11" i="1"/>
  <c r="AD11" i="1"/>
  <c r="AE11" i="1"/>
  <c r="AF11" i="1"/>
  <c r="AA12" i="1"/>
  <c r="AB12" i="1"/>
  <c r="AC12" i="1"/>
  <c r="AD12" i="1"/>
  <c r="AE12" i="1"/>
  <c r="AF12" i="1"/>
  <c r="AA13" i="1"/>
  <c r="AB13" i="1"/>
  <c r="AC13" i="1"/>
  <c r="AD13" i="1"/>
  <c r="AE13" i="1"/>
  <c r="AF13" i="1"/>
  <c r="AA14" i="1"/>
  <c r="AB14" i="1"/>
  <c r="AC14" i="1"/>
  <c r="AD14" i="1"/>
  <c r="AE14" i="1"/>
  <c r="AF14" i="1"/>
  <c r="AA15" i="1"/>
  <c r="AB15" i="1"/>
  <c r="AC15" i="1"/>
  <c r="AD15" i="1"/>
  <c r="AE15" i="1"/>
  <c r="AF15" i="1"/>
  <c r="AA16" i="1"/>
  <c r="AB16" i="1"/>
  <c r="AC16" i="1"/>
  <c r="AD16" i="1"/>
  <c r="AE16" i="1"/>
  <c r="AF16" i="1"/>
  <c r="AA17" i="1"/>
  <c r="AB17" i="1"/>
  <c r="AC17" i="1"/>
  <c r="AD17" i="1"/>
  <c r="AE17" i="1"/>
  <c r="AF17" i="1"/>
  <c r="AA18" i="1"/>
  <c r="AB18" i="1"/>
  <c r="AC18" i="1"/>
  <c r="AD18" i="1"/>
  <c r="AE18" i="1"/>
  <c r="AF18" i="1"/>
  <c r="AA19" i="1"/>
  <c r="AB19" i="1"/>
  <c r="AC19" i="1"/>
  <c r="AD19" i="1"/>
  <c r="AE19" i="1"/>
  <c r="AF19" i="1"/>
  <c r="AA20" i="1"/>
  <c r="AB20" i="1"/>
  <c r="AC20" i="1"/>
  <c r="AD20" i="1"/>
  <c r="AE20" i="1"/>
  <c r="AF20" i="1"/>
  <c r="AA21" i="1"/>
  <c r="AB21" i="1"/>
  <c r="AC21" i="1"/>
  <c r="AD21" i="1"/>
  <c r="AE21" i="1"/>
  <c r="AF21" i="1"/>
  <c r="AA22" i="1"/>
  <c r="AB22" i="1"/>
  <c r="AC22" i="1"/>
  <c r="AD22" i="1"/>
  <c r="AE22" i="1"/>
  <c r="AF22" i="1"/>
  <c r="AA23" i="1"/>
  <c r="AB23" i="1"/>
  <c r="AC23" i="1"/>
  <c r="AD23" i="1"/>
  <c r="AE23" i="1"/>
  <c r="AF23" i="1"/>
  <c r="AA24" i="1"/>
  <c r="AB24" i="1"/>
  <c r="AC24" i="1"/>
  <c r="AD24" i="1"/>
  <c r="AE24" i="1"/>
  <c r="AF24" i="1"/>
  <c r="AA25" i="1"/>
  <c r="AB25" i="1"/>
  <c r="AC25" i="1"/>
  <c r="AD25" i="1"/>
  <c r="AE25" i="1"/>
  <c r="AF25" i="1"/>
  <c r="AA26" i="1"/>
  <c r="AB26" i="1"/>
  <c r="AC26" i="1"/>
  <c r="AD26" i="1"/>
  <c r="AE26" i="1"/>
  <c r="AF26" i="1"/>
  <c r="AA27" i="1"/>
  <c r="AB27" i="1"/>
  <c r="AC27" i="1"/>
  <c r="AD27" i="1"/>
  <c r="AE27" i="1"/>
  <c r="AF27" i="1"/>
  <c r="AA28" i="1"/>
  <c r="AB28" i="1"/>
  <c r="AC28" i="1"/>
  <c r="AD28" i="1"/>
  <c r="AE28" i="1"/>
  <c r="AF28" i="1"/>
  <c r="AA29" i="1"/>
  <c r="AB29" i="1"/>
  <c r="AC29" i="1"/>
  <c r="AD29" i="1"/>
  <c r="AE29" i="1"/>
  <c r="AF29" i="1"/>
  <c r="AA30" i="1"/>
  <c r="AB30" i="1"/>
  <c r="AC30" i="1"/>
  <c r="AD30" i="1"/>
  <c r="AE30" i="1"/>
  <c r="AF30" i="1"/>
  <c r="AF8" i="1"/>
  <c r="AE8" i="1"/>
  <c r="AD8" i="1"/>
  <c r="AC8" i="1"/>
  <c r="AB8" i="1"/>
  <c r="AA8" i="1"/>
  <c r="T9" i="1"/>
  <c r="U9" i="1"/>
  <c r="V9" i="1"/>
  <c r="W9" i="1"/>
  <c r="X9" i="1"/>
  <c r="Y9" i="1"/>
  <c r="T10" i="1"/>
  <c r="U10" i="1"/>
  <c r="V10" i="1"/>
  <c r="W10" i="1"/>
  <c r="X10" i="1"/>
  <c r="Y10" i="1"/>
  <c r="T11" i="1"/>
  <c r="U11" i="1"/>
  <c r="V11" i="1"/>
  <c r="W11" i="1"/>
  <c r="X11" i="1"/>
  <c r="Y11" i="1"/>
  <c r="T12" i="1"/>
  <c r="U12" i="1"/>
  <c r="V12" i="1"/>
  <c r="W12" i="1"/>
  <c r="X12" i="1"/>
  <c r="Y12" i="1"/>
  <c r="T13" i="1"/>
  <c r="U13" i="1"/>
  <c r="V13" i="1"/>
  <c r="W13" i="1"/>
  <c r="X13" i="1"/>
  <c r="Y13" i="1"/>
  <c r="T14" i="1"/>
  <c r="U14" i="1"/>
  <c r="V14" i="1"/>
  <c r="W14" i="1"/>
  <c r="X14" i="1"/>
  <c r="Y14" i="1"/>
  <c r="T15" i="1"/>
  <c r="U15" i="1"/>
  <c r="V15" i="1"/>
  <c r="W15" i="1"/>
  <c r="X15" i="1"/>
  <c r="Y15" i="1"/>
  <c r="T16" i="1"/>
  <c r="U16" i="1"/>
  <c r="V16" i="1"/>
  <c r="W16" i="1"/>
  <c r="X16" i="1"/>
  <c r="Y16" i="1"/>
  <c r="T17" i="1"/>
  <c r="U17" i="1"/>
  <c r="V17" i="1"/>
  <c r="W17" i="1"/>
  <c r="X17" i="1"/>
  <c r="Y17" i="1"/>
  <c r="T18" i="1"/>
  <c r="U18" i="1"/>
  <c r="V18" i="1"/>
  <c r="W18" i="1"/>
  <c r="X18" i="1"/>
  <c r="Y18" i="1"/>
  <c r="T19" i="1"/>
  <c r="U19" i="1"/>
  <c r="V19" i="1"/>
  <c r="W19" i="1"/>
  <c r="X19" i="1"/>
  <c r="Y19" i="1"/>
  <c r="T20" i="1"/>
  <c r="U20" i="1"/>
  <c r="V20" i="1"/>
  <c r="W20" i="1"/>
  <c r="X20" i="1"/>
  <c r="Y20" i="1"/>
  <c r="T21" i="1"/>
  <c r="U21" i="1"/>
  <c r="V21" i="1"/>
  <c r="W21" i="1"/>
  <c r="X21" i="1"/>
  <c r="Y21" i="1"/>
  <c r="T22" i="1"/>
  <c r="U22" i="1"/>
  <c r="V22" i="1"/>
  <c r="W22" i="1"/>
  <c r="X22" i="1"/>
  <c r="Y22" i="1"/>
  <c r="T23" i="1"/>
  <c r="U23" i="1"/>
  <c r="V23" i="1"/>
  <c r="W23" i="1"/>
  <c r="X23" i="1"/>
  <c r="Y23" i="1"/>
  <c r="T24" i="1"/>
  <c r="U24" i="1"/>
  <c r="V24" i="1"/>
  <c r="W24" i="1"/>
  <c r="X24" i="1"/>
  <c r="Y24" i="1"/>
  <c r="T25" i="1"/>
  <c r="U25" i="1"/>
  <c r="V25" i="1"/>
  <c r="W25" i="1"/>
  <c r="X25" i="1"/>
  <c r="Y25" i="1"/>
  <c r="T26" i="1"/>
  <c r="U26" i="1"/>
  <c r="V26" i="1"/>
  <c r="W26" i="1"/>
  <c r="X26" i="1"/>
  <c r="Y26" i="1"/>
  <c r="T27" i="1"/>
  <c r="U27" i="1"/>
  <c r="V27" i="1"/>
  <c r="W27" i="1"/>
  <c r="X27" i="1"/>
  <c r="Y27" i="1"/>
  <c r="T28" i="1"/>
  <c r="U28" i="1"/>
  <c r="V28" i="1"/>
  <c r="W28" i="1"/>
  <c r="X28" i="1"/>
  <c r="Y28" i="1"/>
  <c r="T29" i="1"/>
  <c r="U29" i="1"/>
  <c r="V29" i="1"/>
  <c r="W29" i="1"/>
  <c r="X29" i="1"/>
  <c r="Y29" i="1"/>
  <c r="T30" i="1"/>
  <c r="U30" i="1"/>
  <c r="V30" i="1"/>
  <c r="W30" i="1"/>
  <c r="X30" i="1"/>
  <c r="Y30" i="1"/>
  <c r="T31" i="1"/>
  <c r="U31" i="1"/>
  <c r="V31" i="1"/>
  <c r="W31" i="1"/>
  <c r="X31" i="1"/>
  <c r="Y31" i="1"/>
  <c r="T32" i="1"/>
  <c r="U32" i="1"/>
  <c r="V32" i="1"/>
  <c r="W32" i="1"/>
  <c r="X32" i="1"/>
  <c r="Y32" i="1"/>
  <c r="T33" i="1"/>
  <c r="U33" i="1"/>
  <c r="V33" i="1"/>
  <c r="W33" i="1"/>
  <c r="X33" i="1"/>
  <c r="Y33" i="1"/>
  <c r="T34" i="1"/>
  <c r="U34" i="1"/>
  <c r="V34" i="1"/>
  <c r="W34" i="1"/>
  <c r="X34" i="1"/>
  <c r="Y34" i="1"/>
  <c r="T35" i="1"/>
  <c r="U35" i="1"/>
  <c r="V35" i="1"/>
  <c r="W35" i="1"/>
  <c r="X35" i="1"/>
  <c r="Y35" i="1"/>
  <c r="T36" i="1"/>
  <c r="U36" i="1"/>
  <c r="V36" i="1"/>
  <c r="W36" i="1"/>
  <c r="X36" i="1"/>
  <c r="Y36" i="1"/>
  <c r="T37" i="1"/>
  <c r="U37" i="1"/>
  <c r="V37" i="1"/>
  <c r="W37" i="1"/>
  <c r="X37" i="1"/>
  <c r="Y37" i="1"/>
  <c r="Y8" i="1"/>
  <c r="X8" i="1"/>
  <c r="W8" i="1"/>
  <c r="V8" i="1"/>
  <c r="U8" i="1"/>
  <c r="T8" i="1"/>
  <c r="M9" i="1"/>
  <c r="M10" i="1"/>
  <c r="N10" i="1"/>
  <c r="O10" i="1"/>
  <c r="P10" i="1"/>
  <c r="Q10" i="1"/>
  <c r="R10" i="1"/>
  <c r="M11" i="1"/>
  <c r="N11" i="1"/>
  <c r="O11" i="1"/>
  <c r="P11" i="1"/>
  <c r="Q11" i="1"/>
  <c r="R11" i="1"/>
  <c r="M12" i="1"/>
  <c r="N12" i="1"/>
  <c r="O12" i="1"/>
  <c r="P12" i="1"/>
  <c r="Q12" i="1"/>
  <c r="R12" i="1"/>
  <c r="M13" i="1"/>
  <c r="N13" i="1"/>
  <c r="O13" i="1"/>
  <c r="P13" i="1"/>
  <c r="Q13" i="1"/>
  <c r="R13" i="1"/>
  <c r="M14" i="1"/>
  <c r="N14" i="1"/>
  <c r="O14" i="1"/>
  <c r="P14" i="1"/>
  <c r="Q14" i="1"/>
  <c r="R14" i="1"/>
  <c r="M15" i="1"/>
  <c r="N15" i="1"/>
  <c r="O15" i="1"/>
  <c r="P15" i="1"/>
  <c r="Q15" i="1"/>
  <c r="R15" i="1"/>
  <c r="M16" i="1"/>
  <c r="N16" i="1"/>
  <c r="O16" i="1"/>
  <c r="P16" i="1"/>
  <c r="Q16" i="1"/>
  <c r="R16" i="1"/>
  <c r="M17" i="1"/>
  <c r="N17" i="1"/>
  <c r="O17" i="1"/>
  <c r="P17" i="1"/>
  <c r="Q17" i="1"/>
  <c r="R17" i="1"/>
  <c r="M18" i="1"/>
  <c r="N18" i="1"/>
  <c r="O18" i="1"/>
  <c r="P18" i="1"/>
  <c r="Q18" i="1"/>
  <c r="R18" i="1"/>
  <c r="M19" i="1"/>
  <c r="N19" i="1"/>
  <c r="O19" i="1"/>
  <c r="P19" i="1"/>
  <c r="Q19" i="1"/>
  <c r="R19" i="1"/>
  <c r="M20" i="1"/>
  <c r="N20" i="1"/>
  <c r="O20" i="1"/>
  <c r="P20" i="1"/>
  <c r="Q20" i="1"/>
  <c r="R20" i="1"/>
  <c r="M21" i="1"/>
  <c r="N21" i="1"/>
  <c r="O21" i="1"/>
  <c r="P21" i="1"/>
  <c r="Q21" i="1"/>
  <c r="R21" i="1"/>
  <c r="M22" i="1"/>
  <c r="N22" i="1"/>
  <c r="O22" i="1"/>
  <c r="P22" i="1"/>
  <c r="Q22" i="1"/>
  <c r="R22" i="1"/>
  <c r="M23" i="1"/>
  <c r="N23" i="1"/>
  <c r="O23" i="1"/>
  <c r="P23" i="1"/>
  <c r="Q23" i="1"/>
  <c r="R23" i="1"/>
  <c r="M24" i="1"/>
  <c r="N24" i="1"/>
  <c r="O24" i="1"/>
  <c r="P24" i="1"/>
  <c r="Q24" i="1"/>
  <c r="R24" i="1"/>
  <c r="M25" i="1"/>
  <c r="N25" i="1"/>
  <c r="O25" i="1"/>
  <c r="P25" i="1"/>
  <c r="Q25" i="1"/>
  <c r="R25" i="1"/>
  <c r="M26" i="1"/>
  <c r="N26" i="1"/>
  <c r="O26" i="1"/>
  <c r="P26" i="1"/>
  <c r="Q26" i="1"/>
  <c r="R26" i="1"/>
  <c r="M27" i="1"/>
  <c r="N27" i="1"/>
  <c r="O27" i="1"/>
  <c r="P27" i="1"/>
  <c r="Q27" i="1"/>
  <c r="R27" i="1"/>
  <c r="M28" i="1"/>
  <c r="N28" i="1"/>
  <c r="O28" i="1"/>
  <c r="P28" i="1"/>
  <c r="Q28" i="1"/>
  <c r="R28" i="1"/>
  <c r="M29" i="1"/>
  <c r="N29" i="1"/>
  <c r="O29" i="1"/>
  <c r="P29" i="1"/>
  <c r="Q29" i="1"/>
  <c r="R29" i="1"/>
  <c r="M30" i="1"/>
  <c r="N30" i="1"/>
  <c r="O30" i="1"/>
  <c r="P30" i="1"/>
  <c r="Q30" i="1"/>
  <c r="R30" i="1"/>
  <c r="M31" i="1"/>
  <c r="N31" i="1"/>
  <c r="O31" i="1"/>
  <c r="P31" i="1"/>
  <c r="Q31" i="1"/>
  <c r="R31" i="1"/>
  <c r="M32" i="1"/>
  <c r="N32" i="1"/>
  <c r="O32" i="1"/>
  <c r="P32" i="1"/>
  <c r="Q32" i="1"/>
  <c r="R32" i="1"/>
  <c r="M33" i="1"/>
  <c r="N33" i="1"/>
  <c r="O33" i="1"/>
  <c r="P33" i="1"/>
  <c r="Q33" i="1"/>
  <c r="R33" i="1"/>
  <c r="M34" i="1"/>
  <c r="N34" i="1"/>
  <c r="O34" i="1"/>
  <c r="P34" i="1"/>
  <c r="Q34" i="1"/>
  <c r="R34" i="1"/>
  <c r="M35" i="1"/>
  <c r="N35" i="1"/>
  <c r="O35" i="1"/>
  <c r="P35" i="1"/>
  <c r="Q35" i="1"/>
  <c r="R35" i="1"/>
  <c r="M36" i="1"/>
  <c r="N36" i="1"/>
  <c r="O36" i="1"/>
  <c r="P36" i="1"/>
  <c r="Q36" i="1"/>
  <c r="R36" i="1"/>
  <c r="M37" i="1"/>
  <c r="N37" i="1"/>
  <c r="O37" i="1"/>
  <c r="P37" i="1"/>
  <c r="Q37" i="1"/>
  <c r="R37" i="1"/>
  <c r="M38" i="1"/>
  <c r="N38" i="1"/>
  <c r="O38" i="1"/>
  <c r="P38" i="1"/>
  <c r="Q38" i="1"/>
  <c r="R38" i="1"/>
  <c r="M39" i="1"/>
  <c r="N39" i="1"/>
  <c r="O39" i="1"/>
  <c r="P39" i="1"/>
  <c r="Q39" i="1"/>
  <c r="R39" i="1"/>
  <c r="M40" i="1"/>
  <c r="N40" i="1"/>
  <c r="O40" i="1"/>
  <c r="P40" i="1"/>
  <c r="Q40" i="1"/>
  <c r="R40" i="1"/>
  <c r="M41" i="1"/>
  <c r="N41" i="1"/>
  <c r="O41" i="1"/>
  <c r="P41" i="1"/>
  <c r="Q41" i="1"/>
  <c r="R41" i="1"/>
  <c r="M42" i="1"/>
  <c r="N42" i="1"/>
  <c r="O42" i="1"/>
  <c r="P42" i="1"/>
  <c r="Q42" i="1"/>
  <c r="R42" i="1"/>
  <c r="R9" i="1"/>
  <c r="Q9" i="1"/>
  <c r="P9" i="1"/>
  <c r="O9" i="1"/>
  <c r="N9" i="1"/>
  <c r="F12" i="1"/>
  <c r="G12" i="1"/>
  <c r="H12" i="1"/>
  <c r="I12" i="1"/>
  <c r="J12" i="1"/>
  <c r="K12" i="1"/>
  <c r="F13" i="1"/>
  <c r="G13" i="1"/>
  <c r="H13" i="1"/>
  <c r="I13" i="1"/>
  <c r="J13" i="1"/>
  <c r="K13" i="1"/>
  <c r="F14" i="1"/>
  <c r="G14" i="1"/>
  <c r="H14" i="1"/>
  <c r="I14" i="1"/>
  <c r="J14" i="1"/>
  <c r="K14" i="1"/>
  <c r="F15" i="1"/>
  <c r="G15" i="1"/>
  <c r="H15" i="1"/>
  <c r="I15" i="1"/>
  <c r="J15" i="1"/>
  <c r="K15" i="1"/>
  <c r="F16" i="1"/>
  <c r="G16" i="1"/>
  <c r="H16" i="1"/>
  <c r="I16" i="1"/>
  <c r="J16" i="1"/>
  <c r="K16" i="1"/>
  <c r="F17" i="1"/>
  <c r="G17" i="1"/>
  <c r="H17" i="1"/>
  <c r="I17" i="1"/>
  <c r="J17" i="1"/>
  <c r="K17" i="1"/>
  <c r="F18" i="1"/>
  <c r="G18" i="1"/>
  <c r="H18" i="1"/>
  <c r="I18" i="1"/>
  <c r="J18" i="1"/>
  <c r="K18" i="1"/>
  <c r="F19" i="1"/>
  <c r="G19" i="1"/>
  <c r="H19" i="1"/>
  <c r="I19" i="1"/>
  <c r="J19" i="1"/>
  <c r="K19" i="1"/>
  <c r="F20" i="1"/>
  <c r="G20" i="1"/>
  <c r="H20" i="1"/>
  <c r="I20" i="1"/>
  <c r="J20" i="1"/>
  <c r="K20" i="1"/>
  <c r="F21" i="1"/>
  <c r="G21" i="1"/>
  <c r="H21" i="1"/>
  <c r="I21" i="1"/>
  <c r="J21" i="1"/>
  <c r="K21" i="1"/>
  <c r="F22" i="1"/>
  <c r="G22" i="1"/>
  <c r="H22" i="1"/>
  <c r="I22" i="1"/>
  <c r="J22" i="1"/>
  <c r="K22" i="1"/>
  <c r="F23" i="1"/>
  <c r="G23" i="1"/>
  <c r="H23" i="1"/>
  <c r="I23" i="1"/>
  <c r="J23" i="1"/>
  <c r="K23" i="1"/>
  <c r="F24" i="1"/>
  <c r="G24" i="1"/>
  <c r="H24" i="1"/>
  <c r="I24" i="1"/>
  <c r="J24" i="1"/>
  <c r="K24" i="1"/>
  <c r="F25" i="1"/>
  <c r="G25" i="1"/>
  <c r="H25" i="1"/>
  <c r="I25" i="1"/>
  <c r="J25" i="1"/>
  <c r="K25" i="1"/>
  <c r="F26" i="1"/>
  <c r="G26" i="1"/>
  <c r="H26" i="1"/>
  <c r="I26" i="1"/>
  <c r="J26" i="1"/>
  <c r="K26" i="1"/>
  <c r="F27" i="1"/>
  <c r="G27" i="1"/>
  <c r="H27" i="1"/>
  <c r="I27" i="1"/>
  <c r="J27" i="1"/>
  <c r="K27" i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F48" i="1"/>
  <c r="G48" i="1"/>
  <c r="H48" i="1"/>
  <c r="I48" i="1"/>
  <c r="J48" i="1"/>
  <c r="K48" i="1"/>
  <c r="F49" i="1"/>
  <c r="G49" i="1"/>
  <c r="H49" i="1"/>
  <c r="I49" i="1"/>
  <c r="J49" i="1"/>
  <c r="K49" i="1"/>
  <c r="K11" i="1"/>
  <c r="J11" i="1"/>
  <c r="I11" i="1"/>
  <c r="H11" i="1"/>
  <c r="G11" i="1"/>
  <c r="F11" i="1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52" i="3"/>
  <c r="D51" i="3"/>
  <c r="D50" i="3"/>
  <c r="D49" i="3"/>
  <c r="D48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14" i="3"/>
  <c r="D22" i="3"/>
  <c r="D21" i="3"/>
  <c r="D20" i="3"/>
  <c r="D19" i="3"/>
  <c r="D18" i="3"/>
  <c r="D17" i="3"/>
  <c r="D16" i="3"/>
  <c r="D15" i="3"/>
  <c r="D13" i="3"/>
  <c r="D12" i="3"/>
  <c r="D11" i="3"/>
  <c r="D10" i="3"/>
  <c r="D9" i="3"/>
  <c r="D8" i="3"/>
  <c r="D7" i="3"/>
  <c r="D6" i="3"/>
  <c r="D5" i="3"/>
  <c r="D4" i="3"/>
  <c r="D22" i="2"/>
  <c r="D21" i="2"/>
  <c r="D20" i="2"/>
  <c r="D19" i="2"/>
  <c r="D18" i="2"/>
  <c r="D17" i="2"/>
  <c r="D16" i="2"/>
  <c r="D15" i="2"/>
  <c r="D13" i="2"/>
  <c r="D11" i="2"/>
  <c r="D9" i="2"/>
  <c r="D7" i="2"/>
  <c r="D6" i="2"/>
  <c r="D5" i="2"/>
  <c r="D4" i="2"/>
  <c r="BJ18" i="1" l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8" i="1"/>
  <c r="D49" i="1"/>
</calcChain>
</file>

<file path=xl/sharedStrings.xml><?xml version="1.0" encoding="utf-8"?>
<sst xmlns="http://schemas.openxmlformats.org/spreadsheetml/2006/main" count="725" uniqueCount="109">
  <si>
    <t>Lr</t>
  </si>
  <si>
    <t>G</t>
  </si>
  <si>
    <t>Dc</t>
  </si>
  <si>
    <t>Radius</t>
  </si>
  <si>
    <t>0°15'</t>
  </si>
  <si>
    <t>0°30'</t>
  </si>
  <si>
    <t>0°45'</t>
  </si>
  <si>
    <t>1°00'</t>
  </si>
  <si>
    <t>1°15'</t>
  </si>
  <si>
    <t>1°30'</t>
  </si>
  <si>
    <t>1°45'</t>
  </si>
  <si>
    <t>2°00'</t>
  </si>
  <si>
    <t>2°15'</t>
  </si>
  <si>
    <t>2°30'</t>
  </si>
  <si>
    <t>2°45'</t>
  </si>
  <si>
    <t>3°00'</t>
  </si>
  <si>
    <t>3°15'</t>
  </si>
  <si>
    <t>3°45'</t>
  </si>
  <si>
    <t>4°00'</t>
  </si>
  <si>
    <t>4°30'</t>
  </si>
  <si>
    <t>5°00'</t>
  </si>
  <si>
    <t>3°30'</t>
  </si>
  <si>
    <t>5°30'</t>
  </si>
  <si>
    <t>6°00'</t>
  </si>
  <si>
    <t>6°30'</t>
  </si>
  <si>
    <t>7°00'</t>
  </si>
  <si>
    <t>7°30'</t>
  </si>
  <si>
    <t>8°00'</t>
  </si>
  <si>
    <t>8°30'</t>
  </si>
  <si>
    <t>9°00'</t>
  </si>
  <si>
    <t>9°30'</t>
  </si>
  <si>
    <t>10°00'</t>
  </si>
  <si>
    <t>10°30'</t>
  </si>
  <si>
    <t>11°00'</t>
  </si>
  <si>
    <t>11°30'</t>
  </si>
  <si>
    <t>12°00'</t>
  </si>
  <si>
    <t>12°30'</t>
  </si>
  <si>
    <t>13°00'</t>
  </si>
  <si>
    <t>13°30'</t>
  </si>
  <si>
    <t>14°00'</t>
  </si>
  <si>
    <t>14°30'</t>
  </si>
  <si>
    <t>15°00'</t>
  </si>
  <si>
    <t>16°30'</t>
  </si>
  <si>
    <t>18°00'</t>
  </si>
  <si>
    <t>20°00'</t>
  </si>
  <si>
    <t>22°00'</t>
  </si>
  <si>
    <t>23°00'</t>
  </si>
  <si>
    <t>25°00'</t>
  </si>
  <si>
    <t>26°30'</t>
  </si>
  <si>
    <t>28°00'</t>
  </si>
  <si>
    <t>31°00'</t>
  </si>
  <si>
    <t>34°00'</t>
  </si>
  <si>
    <t>36°00'</t>
  </si>
  <si>
    <t>38°00'</t>
  </si>
  <si>
    <t>40°00'</t>
  </si>
  <si>
    <t>42°00'</t>
  </si>
  <si>
    <t>25 MPH</t>
  </si>
  <si>
    <t>Ed</t>
  </si>
  <si>
    <t>30 MPH</t>
  </si>
  <si>
    <t>35 MPH</t>
  </si>
  <si>
    <t>40 MPH</t>
  </si>
  <si>
    <t>Speed</t>
  </si>
  <si>
    <t>2 Lane</t>
  </si>
  <si>
    <t>4 Lane</t>
  </si>
  <si>
    <t>45 MPH</t>
  </si>
  <si>
    <t>50 MPH</t>
  </si>
  <si>
    <t>55 MPH</t>
  </si>
  <si>
    <t>60 MPH</t>
  </si>
  <si>
    <t>65 MPH</t>
  </si>
  <si>
    <t>70 MPH</t>
  </si>
  <si>
    <t>nc</t>
  </si>
  <si>
    <t>15°30'</t>
  </si>
  <si>
    <t>17°00'</t>
  </si>
  <si>
    <t>17°30'</t>
  </si>
  <si>
    <t>20°30'</t>
  </si>
  <si>
    <t>21°00'</t>
  </si>
  <si>
    <t>22°45'</t>
  </si>
  <si>
    <t>29°00'</t>
  </si>
  <si>
    <t>29°30'</t>
  </si>
  <si>
    <t>30°00'</t>
  </si>
  <si>
    <t>33°00'</t>
  </si>
  <si>
    <t>33°45'</t>
  </si>
  <si>
    <t>35°00'</t>
  </si>
  <si>
    <t>37°00'</t>
  </si>
  <si>
    <t>50°00'</t>
  </si>
  <si>
    <t>54°30'</t>
  </si>
  <si>
    <t>56°00'</t>
  </si>
  <si>
    <t>58°00'</t>
  </si>
  <si>
    <t>61°00'</t>
  </si>
  <si>
    <t>61°15'</t>
  </si>
  <si>
    <t>62°00'</t>
  </si>
  <si>
    <t>63°00'</t>
  </si>
  <si>
    <t>64°00'</t>
  </si>
  <si>
    <t>65°00'</t>
  </si>
  <si>
    <t>66°00'</t>
  </si>
  <si>
    <t>66°30'</t>
  </si>
  <si>
    <t>20 MPH</t>
  </si>
  <si>
    <t>39°30'</t>
  </si>
  <si>
    <t>1 Lane</t>
  </si>
  <si>
    <t>3 Lane</t>
  </si>
  <si>
    <t>5 Lane</t>
  </si>
  <si>
    <t>6 Lane</t>
  </si>
  <si>
    <t>7 Lane</t>
  </si>
  <si>
    <t>w</t>
  </si>
  <si>
    <t>Lr computation is based on Figures 202-4E and 202-8E. All values are for undivided highways with a lane width of 12'.</t>
  </si>
  <si>
    <t>Lr computation is based on Figures 202-4E and 202-7E. All values are for undivided highways with a lane width of 12'.</t>
  </si>
  <si>
    <t>Lr computation is based on Figures 202-4E and 202-9E. All values are for undivided highways with a lane width of 12'.</t>
  </si>
  <si>
    <t>Lr computation is based on Figures 202-4E and 202-10E. All values are for ramps with a lane width of 16'.</t>
  </si>
  <si>
    <t>75 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</si>
</sst>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/>
    <xf numFmtId="2" fontId="0" fillId="2" borderId="0" xfId="0" applyNumberFormat="1" applyFill="1"/>
    <xf numFmtId="165" fontId="0" fillId="0" borderId="0" xfId="0" applyNumberFormat="1"/>
    <xf numFmtId="165" fontId="0" fillId="2" borderId="0" xfId="0" applyNumberFormat="1" applyFill="1"/>
    <xf numFmtId="165" fontId="0" fillId="0" borderId="1" xfId="0" applyNumberFormat="1" applyBorder="1"/>
    <xf numFmtId="2" fontId="0" fillId="2" borderId="1" xfId="0" applyNumberFormat="1" applyFill="1" applyBorder="1"/>
    <xf numFmtId="165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49"/>
  <sheetViews>
    <sheetView zoomScale="90" zoomScaleNormal="90" workbookViewId="0">
      <pane xSplit="4" topLeftCell="BH1" activePane="topRight" state="frozen"/>
      <selection pane="topRight" activeCell="D24" sqref="D24"/>
    </sheetView>
  </sheetViews>
  <sheetFormatPr defaultRowHeight="12.75" x14ac:dyDescent="0.2"/>
  <cols>
    <col min="1" max="1" width="6.42578125" bestFit="1" customWidth="1"/>
    <col min="2" max="2" width="4" bestFit="1" customWidth="1"/>
    <col min="3" max="3" width="6" bestFit="1" customWidth="1"/>
    <col min="4" max="4" width="12.42578125" style="5" bestFit="1" customWidth="1"/>
    <col min="5" max="5" width="7.28515625" bestFit="1" customWidth="1"/>
    <col min="6" max="6" width="6.7109375" bestFit="1" customWidth="1"/>
    <col min="7" max="7" width="6.7109375" customWidth="1"/>
    <col min="8" max="8" width="6.7109375" bestFit="1" customWidth="1"/>
    <col min="9" max="11" width="6.7109375" customWidth="1"/>
    <col min="12" max="12" width="7.28515625" bestFit="1" customWidth="1"/>
    <col min="13" max="13" width="6.7109375" bestFit="1" customWidth="1"/>
    <col min="14" max="14" width="6.7109375" customWidth="1"/>
    <col min="15" max="15" width="6.7109375" bestFit="1" customWidth="1"/>
    <col min="16" max="18" width="6.7109375" customWidth="1"/>
    <col min="19" max="19" width="7.28515625" bestFit="1" customWidth="1"/>
    <col min="20" max="20" width="6.7109375" bestFit="1" customWidth="1"/>
    <col min="21" max="21" width="6.7109375" customWidth="1"/>
    <col min="22" max="22" width="6.7109375" bestFit="1" customWidth="1"/>
    <col min="23" max="25" width="6.7109375" customWidth="1"/>
    <col min="26" max="26" width="7.28515625" bestFit="1" customWidth="1"/>
    <col min="27" max="27" width="6.7109375" bestFit="1" customWidth="1"/>
    <col min="28" max="28" width="6.7109375" customWidth="1"/>
    <col min="29" max="29" width="6.7109375" bestFit="1" customWidth="1"/>
    <col min="30" max="32" width="6.7109375" customWidth="1"/>
    <col min="33" max="33" width="7.28515625" bestFit="1" customWidth="1"/>
    <col min="34" max="34" width="6.7109375" bestFit="1" customWidth="1"/>
    <col min="35" max="35" width="6.7109375" customWidth="1"/>
    <col min="36" max="36" width="6.7109375" bestFit="1" customWidth="1"/>
    <col min="37" max="39" width="6.7109375" customWidth="1"/>
    <col min="40" max="40" width="7.28515625" bestFit="1" customWidth="1"/>
    <col min="41" max="41" width="6.7109375" bestFit="1" customWidth="1"/>
    <col min="42" max="42" width="6.7109375" customWidth="1"/>
    <col min="43" max="43" width="6.7109375" bestFit="1" customWidth="1"/>
    <col min="44" max="46" width="6.7109375" customWidth="1"/>
    <col min="47" max="47" width="7.28515625" bestFit="1" customWidth="1"/>
    <col min="48" max="48" width="6.7109375" bestFit="1" customWidth="1"/>
    <col min="49" max="49" width="6.7109375" customWidth="1"/>
    <col min="50" max="50" width="6.7109375" bestFit="1" customWidth="1"/>
    <col min="51" max="53" width="6.7109375" customWidth="1"/>
    <col min="54" max="54" width="7.28515625" bestFit="1" customWidth="1"/>
    <col min="55" max="55" width="6.7109375" bestFit="1" customWidth="1"/>
    <col min="56" max="56" width="6.7109375" customWidth="1"/>
    <col min="57" max="57" width="6.7109375" bestFit="1" customWidth="1"/>
    <col min="58" max="60" width="6.7109375" customWidth="1"/>
    <col min="61" max="61" width="5" bestFit="1" customWidth="1"/>
    <col min="62" max="62" width="10.42578125" bestFit="1" customWidth="1"/>
    <col min="63" max="63" width="7.28515625" bestFit="1" customWidth="1"/>
    <col min="64" max="64" width="6.7109375" bestFit="1" customWidth="1"/>
    <col min="65" max="65" width="6.7109375" customWidth="1"/>
    <col min="66" max="66" width="6.7109375" bestFit="1" customWidth="1"/>
    <col min="67" max="69" width="6.7109375" customWidth="1"/>
    <col min="70" max="70" width="7.28515625" bestFit="1" customWidth="1"/>
    <col min="71" max="71" width="6.7109375" bestFit="1" customWidth="1"/>
    <col min="72" max="72" width="6.7109375" customWidth="1"/>
    <col min="73" max="76" width="6.7109375" bestFit="1" customWidth="1"/>
  </cols>
  <sheetData>
    <row r="1" spans="1:83" x14ac:dyDescent="0.2">
      <c r="A1" s="2" t="s">
        <v>105</v>
      </c>
      <c r="BI1" s="3"/>
      <c r="BJ1" s="3"/>
    </row>
    <row r="2" spans="1:83" x14ac:dyDescent="0.2">
      <c r="A2" t="s">
        <v>103</v>
      </c>
      <c r="B2">
        <v>12</v>
      </c>
      <c r="E2" s="2" t="s">
        <v>56</v>
      </c>
      <c r="F2" t="s">
        <v>62</v>
      </c>
      <c r="G2" t="s">
        <v>99</v>
      </c>
      <c r="H2" t="s">
        <v>63</v>
      </c>
      <c r="I2" t="s">
        <v>100</v>
      </c>
      <c r="J2" t="s">
        <v>101</v>
      </c>
      <c r="K2" t="s">
        <v>102</v>
      </c>
      <c r="L2" s="2" t="s">
        <v>58</v>
      </c>
      <c r="M2" t="s">
        <v>62</v>
      </c>
      <c r="N2" t="s">
        <v>99</v>
      </c>
      <c r="O2" t="s">
        <v>63</v>
      </c>
      <c r="P2" t="s">
        <v>100</v>
      </c>
      <c r="Q2" t="s">
        <v>101</v>
      </c>
      <c r="R2" t="s">
        <v>102</v>
      </c>
      <c r="S2" s="2" t="s">
        <v>59</v>
      </c>
      <c r="T2" t="s">
        <v>62</v>
      </c>
      <c r="U2" t="s">
        <v>99</v>
      </c>
      <c r="V2" t="s">
        <v>63</v>
      </c>
      <c r="W2" t="s">
        <v>100</v>
      </c>
      <c r="X2" t="s">
        <v>101</v>
      </c>
      <c r="Y2" t="s">
        <v>102</v>
      </c>
      <c r="Z2" s="2" t="s">
        <v>60</v>
      </c>
      <c r="AA2" t="s">
        <v>62</v>
      </c>
      <c r="AB2" t="s">
        <v>99</v>
      </c>
      <c r="AC2" t="s">
        <v>63</v>
      </c>
      <c r="AD2" t="s">
        <v>100</v>
      </c>
      <c r="AE2" t="s">
        <v>101</v>
      </c>
      <c r="AF2" t="s">
        <v>102</v>
      </c>
      <c r="AG2" s="2" t="s">
        <v>64</v>
      </c>
      <c r="AH2" t="s">
        <v>62</v>
      </c>
      <c r="AI2" t="s">
        <v>99</v>
      </c>
      <c r="AJ2" t="s">
        <v>63</v>
      </c>
      <c r="AK2" t="s">
        <v>100</v>
      </c>
      <c r="AL2" t="s">
        <v>101</v>
      </c>
      <c r="AM2" t="s">
        <v>102</v>
      </c>
      <c r="AN2" s="2" t="s">
        <v>65</v>
      </c>
      <c r="AO2" t="s">
        <v>62</v>
      </c>
      <c r="AP2" t="s">
        <v>99</v>
      </c>
      <c r="AQ2" t="s">
        <v>63</v>
      </c>
      <c r="AR2" t="s">
        <v>100</v>
      </c>
      <c r="AS2" t="s">
        <v>101</v>
      </c>
      <c r="AT2" t="s">
        <v>102</v>
      </c>
      <c r="AU2" s="2" t="s">
        <v>66</v>
      </c>
      <c r="AV2" t="s">
        <v>62</v>
      </c>
      <c r="AW2" t="s">
        <v>99</v>
      </c>
      <c r="AX2" t="s">
        <v>63</v>
      </c>
      <c r="AY2" t="s">
        <v>100</v>
      </c>
      <c r="AZ2" t="s">
        <v>101</v>
      </c>
      <c r="BA2" t="s">
        <v>102</v>
      </c>
      <c r="BB2" s="2" t="s">
        <v>67</v>
      </c>
      <c r="BC2" t="s">
        <v>62</v>
      </c>
      <c r="BD2" t="s">
        <v>99</v>
      </c>
      <c r="BE2" t="s">
        <v>63</v>
      </c>
      <c r="BF2" t="s">
        <v>100</v>
      </c>
      <c r="BG2" t="s">
        <v>101</v>
      </c>
      <c r="BH2" t="s">
        <v>102</v>
      </c>
      <c r="BI2" s="3"/>
      <c r="BJ2" s="3"/>
      <c r="BK2" s="2" t="s">
        <v>68</v>
      </c>
      <c r="BL2" t="s">
        <v>62</v>
      </c>
      <c r="BM2" t="s">
        <v>99</v>
      </c>
      <c r="BN2" t="s">
        <v>63</v>
      </c>
      <c r="BO2" t="s">
        <v>100</v>
      </c>
      <c r="BP2" t="s">
        <v>101</v>
      </c>
      <c r="BQ2" t="s">
        <v>102</v>
      </c>
      <c r="BR2" s="2" t="s">
        <v>69</v>
      </c>
      <c r="BS2" t="s">
        <v>62</v>
      </c>
      <c r="BT2" t="s">
        <v>99</v>
      </c>
      <c r="BU2" t="s">
        <v>63</v>
      </c>
      <c r="BV2" t="s">
        <v>100</v>
      </c>
      <c r="BW2" t="s">
        <v>101</v>
      </c>
      <c r="BX2" t="s">
        <v>102</v>
      </c>
      <c r="BY2" s="2" t="s">
        <v>108</v>
      </c>
      <c r="BZ2" t="s">
        <v>62</v>
      </c>
      <c r="CA2" t="s">
        <v>99</v>
      </c>
      <c r="CB2" t="s">
        <v>63</v>
      </c>
      <c r="CC2" t="s">
        <v>100</v>
      </c>
      <c r="CD2" t="s">
        <v>101</v>
      </c>
      <c r="CE2" t="s">
        <v>102</v>
      </c>
    </row>
    <row r="3" spans="1:83" x14ac:dyDescent="0.2">
      <c r="A3" t="s">
        <v>61</v>
      </c>
      <c r="B3" t="s">
        <v>1</v>
      </c>
      <c r="C3" t="s">
        <v>2</v>
      </c>
      <c r="D3" s="5" t="s">
        <v>3</v>
      </c>
      <c r="E3" t="s">
        <v>57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57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57</v>
      </c>
      <c r="T3" t="s">
        <v>0</v>
      </c>
      <c r="U3" t="s">
        <v>0</v>
      </c>
      <c r="V3" t="s">
        <v>0</v>
      </c>
      <c r="W3" t="s">
        <v>0</v>
      </c>
      <c r="X3" t="s">
        <v>0</v>
      </c>
      <c r="Y3" t="s">
        <v>0</v>
      </c>
      <c r="Z3" t="s">
        <v>57</v>
      </c>
      <c r="AA3" t="s">
        <v>0</v>
      </c>
      <c r="AB3" t="s">
        <v>0</v>
      </c>
      <c r="AC3" t="s">
        <v>0</v>
      </c>
      <c r="AD3" t="s">
        <v>0</v>
      </c>
      <c r="AE3" t="s">
        <v>0</v>
      </c>
      <c r="AF3" t="s">
        <v>0</v>
      </c>
      <c r="AG3" t="s">
        <v>57</v>
      </c>
      <c r="AH3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57</v>
      </c>
      <c r="AO3" t="s">
        <v>0</v>
      </c>
      <c r="AP3" t="s">
        <v>0</v>
      </c>
      <c r="AQ3" t="s">
        <v>0</v>
      </c>
      <c r="AR3" t="s">
        <v>0</v>
      </c>
      <c r="AS3" t="s">
        <v>0</v>
      </c>
      <c r="AT3" t="s">
        <v>0</v>
      </c>
      <c r="AU3" t="s">
        <v>57</v>
      </c>
      <c r="AV3" t="s">
        <v>0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57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  <c r="BI3" s="3" t="s">
        <v>2</v>
      </c>
      <c r="BJ3" s="4" t="s">
        <v>3</v>
      </c>
      <c r="BK3" t="s">
        <v>57</v>
      </c>
      <c r="BL3" t="s">
        <v>0</v>
      </c>
      <c r="BM3" t="s">
        <v>0</v>
      </c>
      <c r="BN3" t="s">
        <v>0</v>
      </c>
      <c r="BO3" t="s">
        <v>0</v>
      </c>
      <c r="BP3" t="s">
        <v>0</v>
      </c>
      <c r="BQ3" t="s">
        <v>0</v>
      </c>
      <c r="BR3" t="s">
        <v>57</v>
      </c>
      <c r="BS3" t="s">
        <v>0</v>
      </c>
      <c r="BT3" t="s">
        <v>0</v>
      </c>
      <c r="BU3" t="s">
        <v>0</v>
      </c>
      <c r="BV3" t="s">
        <v>0</v>
      </c>
      <c r="BW3" t="s">
        <v>0</v>
      </c>
      <c r="BX3" t="s">
        <v>0</v>
      </c>
      <c r="BY3" t="s">
        <v>57</v>
      </c>
      <c r="BZ3" t="s">
        <v>0</v>
      </c>
      <c r="CA3" t="s">
        <v>0</v>
      </c>
      <c r="CB3" t="s">
        <v>0</v>
      </c>
      <c r="CC3" t="s">
        <v>0</v>
      </c>
      <c r="CD3" t="s">
        <v>0</v>
      </c>
      <c r="CE3" t="s">
        <v>0</v>
      </c>
    </row>
    <row r="4" spans="1:83" x14ac:dyDescent="0.2">
      <c r="A4">
        <v>20</v>
      </c>
      <c r="B4">
        <v>135</v>
      </c>
      <c r="C4" t="s">
        <v>4</v>
      </c>
      <c r="D4" s="5">
        <f>5729.578/0.25</f>
        <v>22918.312000000002</v>
      </c>
      <c r="E4" s="1" t="s">
        <v>70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1" t="s">
        <v>70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s="1" t="s">
        <v>70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 s="1" t="s">
        <v>70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 s="1" t="s">
        <v>70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1" t="s">
        <v>70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 s="1" t="s">
        <v>70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 s="1" t="s">
        <v>70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 s="3" t="s">
        <v>4</v>
      </c>
      <c r="BJ4" s="6">
        <f>5729.578/0.25</f>
        <v>22918.312000000002</v>
      </c>
      <c r="BK4" s="1" t="s">
        <v>70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 s="1" t="s">
        <v>70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 s="1" t="s">
        <v>70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</row>
    <row r="5" spans="1:83" x14ac:dyDescent="0.2">
      <c r="A5">
        <v>25</v>
      </c>
      <c r="B5">
        <v>143</v>
      </c>
      <c r="C5" t="s">
        <v>5</v>
      </c>
      <c r="D5" s="5">
        <f>5729.578/0.5</f>
        <v>11459.156000000001</v>
      </c>
      <c r="E5" s="1" t="s">
        <v>70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1" t="s">
        <v>70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 s="1" t="s">
        <v>70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 s="1" t="s">
        <v>70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 s="1" t="s">
        <v>70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1" t="s">
        <v>70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 s="1" t="s">
        <v>70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 s="1" t="s">
        <v>70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 s="3" t="s">
        <v>5</v>
      </c>
      <c r="BJ5" s="6">
        <f>5729.578/0.5</f>
        <v>11459.156000000001</v>
      </c>
      <c r="BK5" s="1">
        <v>1.7000000000000001E-2</v>
      </c>
      <c r="BL5">
        <f>ROUNDUP($B$2*$BK5*$B$13,0)</f>
        <v>48</v>
      </c>
      <c r="BM5">
        <f>ROUNDUP($B$2*1.5*$BK5*$B$13*0.83,0)</f>
        <v>60</v>
      </c>
      <c r="BN5">
        <f>ROUNDUP($B$2*2*$BK5*$B$13*0.75,0)</f>
        <v>72</v>
      </c>
      <c r="BO5">
        <f>ROUNDUP($B$2*2.5*$BK5*$B$13*0.7,0)</f>
        <v>84</v>
      </c>
      <c r="BP5">
        <f>ROUNDUP($B$2*3*$BK5*$B$13*0.67,0)</f>
        <v>96</v>
      </c>
      <c r="BQ5">
        <f>ROUNDUP($B$2*3.5*$BK5*$B$13*0.64,0)</f>
        <v>107</v>
      </c>
      <c r="BR5" s="1">
        <v>1.9E-2</v>
      </c>
      <c r="BS5">
        <f>ROUNDUP($B$2*$BR5*$B$14,0)</f>
        <v>57</v>
      </c>
      <c r="BT5">
        <f>ROUNDUP($B$2*1.5*$BR5*$B$14*0.83,0)</f>
        <v>71</v>
      </c>
      <c r="BU5">
        <f>ROUNDUP($B$2*2*$BR5*$B$14*0.75,0)</f>
        <v>86</v>
      </c>
      <c r="BV5">
        <f>ROUNDUP($B$2*2.5*$BR5*$B$14*0.7,0)</f>
        <v>100</v>
      </c>
      <c r="BW5">
        <f>ROUNDUP($B$2*3*$BR5*$B$14*0.67,0)</f>
        <v>115</v>
      </c>
      <c r="BX5">
        <f>ROUNDUP($B$2*3.5*$BR5*$B$14*0.64,0)</f>
        <v>128</v>
      </c>
      <c r="BY5" s="1">
        <v>2.1000000000000001E-2</v>
      </c>
      <c r="BZ5">
        <f t="shared" ref="BZ5:BZ13" si="0">ROUNDUP($B$2*$BY5*$B$15,0)</f>
        <v>67</v>
      </c>
      <c r="CA5">
        <f t="shared" ref="CA5:CA13" si="1">ROUNDUP($B$2*1.5*$BY5*$B$15*0.83,0)</f>
        <v>83</v>
      </c>
      <c r="CB5">
        <f t="shared" ref="CB5:CB13" si="2">ROUNDUP($B$2*2*$BY5*$B$15*0.75,0)</f>
        <v>100</v>
      </c>
      <c r="CC5">
        <f t="shared" ref="CC5:CC13" si="3">ROUNDUP($B$2*2.5*$BY5*$B$15*0.7,0)</f>
        <v>116</v>
      </c>
      <c r="CD5">
        <f t="shared" ref="CD5:CD13" si="4">ROUNDUP($B$2*3*$BY5*$B$15*0.67,0)</f>
        <v>134</v>
      </c>
      <c r="CE5">
        <f t="shared" ref="CE5:CE13" si="5">ROUNDUP($B$2*3.5*$BY5*$B$15*0.64,0)</f>
        <v>149</v>
      </c>
    </row>
    <row r="6" spans="1:83" x14ac:dyDescent="0.2">
      <c r="A6">
        <v>30</v>
      </c>
      <c r="B6">
        <v>152</v>
      </c>
      <c r="C6" t="s">
        <v>6</v>
      </c>
      <c r="D6" s="5">
        <f>5729.578/0.75</f>
        <v>7639.4373333333342</v>
      </c>
      <c r="E6" s="1" t="s">
        <v>70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1" t="s">
        <v>70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 s="1" t="s">
        <v>70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1" t="s">
        <v>70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 s="1" t="s">
        <v>70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1">
        <v>1.6E-2</v>
      </c>
      <c r="AO6">
        <f>ROUNDUP(1*$B$2*$AN6*$B$10,0)</f>
        <v>39</v>
      </c>
      <c r="AP6">
        <f>ROUNDUP($B$2*1.5*$AN6*$B$10*0.83,0)</f>
        <v>48</v>
      </c>
      <c r="AQ6">
        <f>ROUNDUP($B$2*2*$AN6*$B$10*0.75,0)</f>
        <v>58</v>
      </c>
      <c r="AR6">
        <f>ROUNDUP($B$2*2.5*$AN6*$B$10*0.7,0)</f>
        <v>68</v>
      </c>
      <c r="AS6">
        <f>ROUNDUP($B$2*3*$AN6*$B$10*0.67,0)</f>
        <v>78</v>
      </c>
      <c r="AT6">
        <f>ROUNDUP($B$2*3.5*$AN6*$B$10*0.64,0)</f>
        <v>87</v>
      </c>
      <c r="AU6" s="1">
        <v>1.9E-2</v>
      </c>
      <c r="AV6">
        <f>ROUNDUP($B$2*$AU6*$B$11,0)</f>
        <v>49</v>
      </c>
      <c r="AW6">
        <f>ROUNDUP($B$2*1.5*$AU6*$B$11*0.83,0)</f>
        <v>61</v>
      </c>
      <c r="AX6">
        <f>ROUNDUP($B$2*2*$AU6*$B$11*0.75,0)</f>
        <v>73</v>
      </c>
      <c r="AY6">
        <f>ROUNDUP($B$2*2.5*$AU6*$B$11*0.7,0)</f>
        <v>85</v>
      </c>
      <c r="AZ6">
        <f>ROUNDUP($B$2*3*$AU6*$B$11*0.67,0)</f>
        <v>98</v>
      </c>
      <c r="BA6">
        <f>ROUNDUP($B$2*3.5*$AU6*$B$11*0.64,0)</f>
        <v>109</v>
      </c>
      <c r="BB6" s="1">
        <v>2.1999999999999999E-2</v>
      </c>
      <c r="BC6">
        <f>ROUNDUP($B$2*$BB6*$B$12,0)</f>
        <v>59</v>
      </c>
      <c r="BD6">
        <f>ROUNDUP($B$2*1.5*$BB6*$B$12*0.83,0)</f>
        <v>73</v>
      </c>
      <c r="BE6">
        <f>ROUNDUP($B$2*2*$BB6*$B$12*0.75,0)</f>
        <v>88</v>
      </c>
      <c r="BF6">
        <f>ROUNDUP($B$2*2.5*$BB6*$B$12*0.7,0)</f>
        <v>103</v>
      </c>
      <c r="BG6">
        <f>ROUNDUP($B$2*3*$BB6*$B$12*0.67,0)</f>
        <v>118</v>
      </c>
      <c r="BH6">
        <f>ROUNDUP($B$2*3.5*$BB6*$B$12*0.64,0)</f>
        <v>132</v>
      </c>
      <c r="BI6" s="3" t="s">
        <v>6</v>
      </c>
      <c r="BJ6" s="6">
        <f>5729.578/0.75</f>
        <v>7639.4373333333342</v>
      </c>
      <c r="BK6" s="1">
        <v>2.5000000000000001E-2</v>
      </c>
      <c r="BL6">
        <f t="shared" ref="BL6:BL18" si="6">ROUNDUP($B$2*$BK6*$B$13,0)</f>
        <v>70</v>
      </c>
      <c r="BM6">
        <f t="shared" ref="BM6:BM18" si="7">ROUNDUP($B$2*1.5*$BK6*$B$13*0.83,0)</f>
        <v>88</v>
      </c>
      <c r="BN6">
        <f t="shared" ref="BN6:BN18" si="8">ROUNDUP($B$2*2*$BK6*$B$13*0.75,0)</f>
        <v>105</v>
      </c>
      <c r="BO6">
        <f t="shared" ref="BO6:BO18" si="9">ROUNDUP($B$2*2.5*$BK6*$B$13*0.7,0)</f>
        <v>123</v>
      </c>
      <c r="BP6">
        <f t="shared" ref="BP6:BP18" si="10">ROUNDUP($B$2*3*$BK6*$B$13*0.67,0)</f>
        <v>141</v>
      </c>
      <c r="BQ6">
        <f t="shared" ref="BQ6:BQ18" si="11">ROUNDUP($B$2*3.5*$BK6*$B$13*0.64,0)</f>
        <v>157</v>
      </c>
      <c r="BR6" s="1">
        <v>2.8000000000000001E-2</v>
      </c>
      <c r="BS6">
        <f t="shared" ref="BS6:BS15" si="12">ROUNDUP($B$2*$BR6*$B$14,0)</f>
        <v>84</v>
      </c>
      <c r="BT6">
        <f t="shared" ref="BT6:BT15" si="13">ROUNDUP($B$2*1.5*$BR6*$B$14*0.83,0)</f>
        <v>105</v>
      </c>
      <c r="BU6">
        <f t="shared" ref="BU6:BU15" si="14">ROUNDUP($B$2*2*$BR6*$B$14*0.75,0)</f>
        <v>126</v>
      </c>
      <c r="BV6">
        <f t="shared" ref="BV6:BV15" si="15">ROUNDUP($B$2*2.5*$BR6*$B$14*0.7,0)</f>
        <v>147</v>
      </c>
      <c r="BW6">
        <f t="shared" ref="BW6:BW15" si="16">ROUNDUP($B$2*3*$BR6*$B$14*0.67,0)</f>
        <v>169</v>
      </c>
      <c r="BX6">
        <f t="shared" ref="BX6:BX15" si="17">ROUNDUP($B$2*3.5*$BR6*$B$14*0.64,0)</f>
        <v>189</v>
      </c>
      <c r="BY6" s="1">
        <v>3.1E-2</v>
      </c>
      <c r="BZ6">
        <f t="shared" si="0"/>
        <v>98</v>
      </c>
      <c r="CA6">
        <f t="shared" si="1"/>
        <v>122</v>
      </c>
      <c r="CB6">
        <f t="shared" si="2"/>
        <v>147</v>
      </c>
      <c r="CC6">
        <f t="shared" si="3"/>
        <v>172</v>
      </c>
      <c r="CD6">
        <f t="shared" si="4"/>
        <v>197</v>
      </c>
      <c r="CE6">
        <f t="shared" si="5"/>
        <v>220</v>
      </c>
    </row>
    <row r="7" spans="1:83" x14ac:dyDescent="0.2">
      <c r="A7">
        <v>35</v>
      </c>
      <c r="B7">
        <v>161</v>
      </c>
      <c r="C7" t="s">
        <v>7</v>
      </c>
      <c r="D7" s="5">
        <f>5729.578/1</f>
        <v>5729.5780000000004</v>
      </c>
      <c r="E7" s="1" t="s">
        <v>70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1" t="s">
        <v>70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 s="1" t="s">
        <v>70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1" t="s">
        <v>70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 s="1">
        <v>1.7000000000000001E-2</v>
      </c>
      <c r="AH7">
        <f>ROUNDUP(1*$B$2*$AG7*$B$9,0)</f>
        <v>38</v>
      </c>
      <c r="AI7">
        <f>ROUNDUP(1.5*$B$2*$AG7*$B$9*0.83,0)</f>
        <v>47</v>
      </c>
      <c r="AJ7">
        <f>ROUNDUP(2*$B$2*$AG7*$B$9*0.75,0)</f>
        <v>57</v>
      </c>
      <c r="AK7">
        <f>ROUNDUP(2.5*$B$2*$AG7*$B$9*0.7,0)</f>
        <v>67</v>
      </c>
      <c r="AL7">
        <f>ROUNDUP(3*$B$2*$AG7*$B$9*0.67,0)</f>
        <v>76</v>
      </c>
      <c r="AM7">
        <f>ROUNDUP(3.5*$B$2*$AG7*$B$9*0.64,0)</f>
        <v>85</v>
      </c>
      <c r="AN7" s="1">
        <v>2.1000000000000001E-2</v>
      </c>
      <c r="AO7">
        <f t="shared" ref="AO7:AO20" si="18">ROUNDUP(1*$B$2*$AN7*$B$10,0)</f>
        <v>51</v>
      </c>
      <c r="AP7">
        <f t="shared" ref="AP7:AP20" si="19">ROUNDUP($B$2*1.5*$AN7*$B$10*0.83,0)</f>
        <v>63</v>
      </c>
      <c r="AQ7">
        <f t="shared" ref="AQ7:AQ20" si="20">ROUNDUP($B$2*2*$AN7*$B$10*0.75,0)</f>
        <v>76</v>
      </c>
      <c r="AR7">
        <f t="shared" ref="AR7:AR20" si="21">ROUNDUP($B$2*2.5*$AN7*$B$10*0.7,0)</f>
        <v>89</v>
      </c>
      <c r="AS7">
        <f t="shared" ref="AS7:AS20" si="22">ROUNDUP($B$2*3*$AN7*$B$10*0.67,0)</f>
        <v>102</v>
      </c>
      <c r="AT7">
        <f t="shared" ref="AT7:AT20" si="23">ROUNDUP($B$2*3.5*$AN7*$B$10*0.64,0)</f>
        <v>113</v>
      </c>
      <c r="AU7" s="1">
        <v>2.5000000000000001E-2</v>
      </c>
      <c r="AV7">
        <f t="shared" ref="AV7:AV17" si="24">ROUNDUP($B$2*$AU7*$B$11,0)</f>
        <v>64</v>
      </c>
      <c r="AW7">
        <f t="shared" ref="AW7:AW17" si="25">ROUNDUP($B$2*1.5*$AU7*$B$11*0.83,0)</f>
        <v>80</v>
      </c>
      <c r="AX7">
        <f t="shared" ref="AX7:AX17" si="26">ROUNDUP($B$2*2*$AU7*$B$11*0.75,0)</f>
        <v>96</v>
      </c>
      <c r="AY7">
        <f t="shared" ref="AY7:AY17" si="27">ROUNDUP($B$2*2.5*$AU7*$B$11*0.7,0)</f>
        <v>112</v>
      </c>
      <c r="AZ7">
        <f t="shared" ref="AZ7:AZ17" si="28">ROUNDUP($B$2*3*$AU7*$B$11*0.67,0)</f>
        <v>129</v>
      </c>
      <c r="BA7">
        <f t="shared" ref="BA7:BA17" si="29">ROUNDUP($B$2*3.5*$AU7*$B$11*0.64,0)</f>
        <v>144</v>
      </c>
      <c r="BB7" s="1">
        <v>2.9000000000000001E-2</v>
      </c>
      <c r="BC7">
        <f t="shared" ref="BC7:BC14" si="30">ROUNDUP($B$2*$BB7*$B$12,0)</f>
        <v>78</v>
      </c>
      <c r="BD7">
        <f t="shared" ref="BD7:BD14" si="31">ROUNDUP($B$2*1.5*$BB7*$B$12*0.83,0)</f>
        <v>97</v>
      </c>
      <c r="BE7">
        <f t="shared" ref="BE7:BE14" si="32">ROUNDUP($B$2*2*$BB7*$B$12*0.75,0)</f>
        <v>116</v>
      </c>
      <c r="BF7">
        <f t="shared" ref="BF7:BF14" si="33">ROUNDUP($B$2*2.5*$BB7*$B$12*0.7,0)</f>
        <v>136</v>
      </c>
      <c r="BG7">
        <f t="shared" ref="BG7:BG14" si="34">ROUNDUP($B$2*3*$BB7*$B$12*0.67,0)</f>
        <v>156</v>
      </c>
      <c r="BH7">
        <f t="shared" ref="BH7:BH14" si="35">ROUNDUP($B$2*3.5*$BB7*$B$12*0.64,0)</f>
        <v>174</v>
      </c>
      <c r="BI7" s="3" t="s">
        <v>7</v>
      </c>
      <c r="BJ7" s="6">
        <f>5729.578/1</f>
        <v>5729.5780000000004</v>
      </c>
      <c r="BK7" s="1">
        <v>3.2000000000000001E-2</v>
      </c>
      <c r="BL7">
        <f t="shared" si="6"/>
        <v>90</v>
      </c>
      <c r="BM7">
        <f t="shared" si="7"/>
        <v>112</v>
      </c>
      <c r="BN7">
        <f t="shared" si="8"/>
        <v>135</v>
      </c>
      <c r="BO7">
        <f t="shared" si="9"/>
        <v>157</v>
      </c>
      <c r="BP7">
        <f t="shared" si="10"/>
        <v>180</v>
      </c>
      <c r="BQ7">
        <f t="shared" si="11"/>
        <v>201</v>
      </c>
      <c r="BR7" s="1">
        <v>3.5999999999999997E-2</v>
      </c>
      <c r="BS7">
        <f t="shared" si="12"/>
        <v>108</v>
      </c>
      <c r="BT7">
        <f t="shared" si="13"/>
        <v>135</v>
      </c>
      <c r="BU7">
        <f t="shared" si="14"/>
        <v>162</v>
      </c>
      <c r="BV7">
        <f t="shared" si="15"/>
        <v>189</v>
      </c>
      <c r="BW7">
        <f t="shared" si="16"/>
        <v>218</v>
      </c>
      <c r="BX7">
        <f t="shared" si="17"/>
        <v>242</v>
      </c>
      <c r="BY7" s="1">
        <v>0.04</v>
      </c>
      <c r="BZ7">
        <f t="shared" si="0"/>
        <v>127</v>
      </c>
      <c r="CA7">
        <f t="shared" si="1"/>
        <v>158</v>
      </c>
      <c r="CB7">
        <f t="shared" si="2"/>
        <v>190</v>
      </c>
      <c r="CC7">
        <f t="shared" si="3"/>
        <v>221</v>
      </c>
      <c r="CD7">
        <f t="shared" si="4"/>
        <v>254</v>
      </c>
      <c r="CE7">
        <f t="shared" si="5"/>
        <v>283</v>
      </c>
    </row>
    <row r="8" spans="1:83" x14ac:dyDescent="0.2">
      <c r="A8">
        <v>40</v>
      </c>
      <c r="B8">
        <v>172</v>
      </c>
      <c r="C8" t="s">
        <v>9</v>
      </c>
      <c r="D8" s="5">
        <f>5729.578/1.5</f>
        <v>3819.7186666666671</v>
      </c>
      <c r="E8" s="1" t="s">
        <v>70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1" t="s">
        <v>70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1">
        <v>1.7000000000000001E-2</v>
      </c>
      <c r="T8">
        <f>ROUNDUP(1*$B$2*$S8*$B$7,0)</f>
        <v>33</v>
      </c>
      <c r="U8">
        <f>ROUNDUP(1.5*$B$2*$S8*$B$7*0.83,0)</f>
        <v>41</v>
      </c>
      <c r="V8">
        <f>ROUNDUP(2*$B$2*$S8*$B$7*0.75,0)</f>
        <v>50</v>
      </c>
      <c r="W8">
        <f>ROUNDUP(2.5*$B$2*$S8*$B$7*0.7,0)</f>
        <v>58</v>
      </c>
      <c r="X8">
        <f>ROUNDUP(3*$B$2*$S8*$B$7*0.67,0)</f>
        <v>67</v>
      </c>
      <c r="Y8">
        <f>ROUNDUP(3.5*$B$2*$S8*$B$7*0.64,0)</f>
        <v>74</v>
      </c>
      <c r="Z8" s="1">
        <v>2.1000000000000001E-2</v>
      </c>
      <c r="AA8">
        <f>ROUNDUP(1*$B$2*$Z8*$B$8,0)</f>
        <v>44</v>
      </c>
      <c r="AB8">
        <f>ROUNDUP(1.5*$B$2*$Z8*$B$8*0.83,0)</f>
        <v>54</v>
      </c>
      <c r="AC8">
        <f>ROUNDUP(2*$B$2*$Z8*$B$8*0.75,0)</f>
        <v>66</v>
      </c>
      <c r="AD8">
        <f>ROUNDUP(2.5*$B$2*$Z8*$B$8*0.7,0)</f>
        <v>76</v>
      </c>
      <c r="AE8">
        <f>ROUNDUP(3*$B$2*$Z8*$B$8*0.67,0)</f>
        <v>88</v>
      </c>
      <c r="AF8">
        <f>ROUNDUP(3.5*$B$2*$Z8*$B$8*0.64,0)</f>
        <v>98</v>
      </c>
      <c r="AG8" s="1">
        <v>2.5000000000000001E-2</v>
      </c>
      <c r="AH8">
        <f t="shared" ref="AH8:AH24" si="36">ROUNDUP(1*$B$2*$AG8*$B$9,0)</f>
        <v>56</v>
      </c>
      <c r="AI8">
        <f t="shared" ref="AI8:AI24" si="37">ROUNDUP(1.5*$B$2*$AG8*$B$9*0.83,0)</f>
        <v>70</v>
      </c>
      <c r="AJ8">
        <f t="shared" ref="AJ8:AJ24" si="38">ROUNDUP(2*$B$2*$AG8*$B$9*0.75,0)</f>
        <v>84</v>
      </c>
      <c r="AK8">
        <f t="shared" ref="AK8:AK24" si="39">ROUNDUP(2.5*$B$2*$AG8*$B$9*0.7,0)</f>
        <v>98</v>
      </c>
      <c r="AL8">
        <f t="shared" ref="AL8:AL24" si="40">ROUNDUP(3*$B$2*$AG8*$B$9*0.67,0)</f>
        <v>112</v>
      </c>
      <c r="AM8">
        <f t="shared" ref="AM8:AM24" si="41">ROUNDUP(3.5*$B$2*$AG8*$B$9*0.64,0)</f>
        <v>125</v>
      </c>
      <c r="AN8" s="1">
        <v>0.03</v>
      </c>
      <c r="AO8">
        <f t="shared" si="18"/>
        <v>72</v>
      </c>
      <c r="AP8">
        <f t="shared" si="19"/>
        <v>90</v>
      </c>
      <c r="AQ8">
        <f t="shared" si="20"/>
        <v>108</v>
      </c>
      <c r="AR8">
        <f t="shared" si="21"/>
        <v>126</v>
      </c>
      <c r="AS8">
        <f t="shared" si="22"/>
        <v>145</v>
      </c>
      <c r="AT8">
        <f t="shared" si="23"/>
        <v>162</v>
      </c>
      <c r="AU8" s="1">
        <v>3.5000000000000003E-2</v>
      </c>
      <c r="AV8">
        <f t="shared" si="24"/>
        <v>90</v>
      </c>
      <c r="AW8">
        <f t="shared" si="25"/>
        <v>112</v>
      </c>
      <c r="AX8">
        <f t="shared" si="26"/>
        <v>135</v>
      </c>
      <c r="AY8">
        <f t="shared" si="27"/>
        <v>157</v>
      </c>
      <c r="AZ8">
        <f t="shared" si="28"/>
        <v>180</v>
      </c>
      <c r="BA8">
        <f t="shared" si="29"/>
        <v>201</v>
      </c>
      <c r="BB8" s="1">
        <v>4.1000000000000002E-2</v>
      </c>
      <c r="BC8">
        <f t="shared" si="30"/>
        <v>110</v>
      </c>
      <c r="BD8">
        <f t="shared" si="31"/>
        <v>136</v>
      </c>
      <c r="BE8">
        <f t="shared" si="32"/>
        <v>164</v>
      </c>
      <c r="BF8">
        <f t="shared" si="33"/>
        <v>192</v>
      </c>
      <c r="BG8">
        <f t="shared" si="34"/>
        <v>220</v>
      </c>
      <c r="BH8">
        <f t="shared" si="35"/>
        <v>245</v>
      </c>
      <c r="BI8" s="3" t="s">
        <v>8</v>
      </c>
      <c r="BJ8" s="6">
        <f>5729.578/1.25</f>
        <v>4583.6624000000002</v>
      </c>
      <c r="BK8" s="1">
        <v>3.9E-2</v>
      </c>
      <c r="BL8">
        <f t="shared" si="6"/>
        <v>110</v>
      </c>
      <c r="BM8">
        <f t="shared" si="7"/>
        <v>136</v>
      </c>
      <c r="BN8">
        <f t="shared" si="8"/>
        <v>164</v>
      </c>
      <c r="BO8">
        <f t="shared" si="9"/>
        <v>191</v>
      </c>
      <c r="BP8">
        <f t="shared" si="10"/>
        <v>220</v>
      </c>
      <c r="BQ8">
        <f t="shared" si="11"/>
        <v>245</v>
      </c>
      <c r="BR8" s="1">
        <v>4.3999999999999997E-2</v>
      </c>
      <c r="BS8">
        <f t="shared" si="12"/>
        <v>132</v>
      </c>
      <c r="BT8">
        <f t="shared" si="13"/>
        <v>165</v>
      </c>
      <c r="BU8">
        <f t="shared" si="14"/>
        <v>198</v>
      </c>
      <c r="BV8">
        <f t="shared" si="15"/>
        <v>231</v>
      </c>
      <c r="BW8">
        <f t="shared" si="16"/>
        <v>266</v>
      </c>
      <c r="BX8">
        <f t="shared" si="17"/>
        <v>296</v>
      </c>
      <c r="BY8" s="1">
        <v>4.9000000000000002E-2</v>
      </c>
      <c r="BZ8">
        <f t="shared" si="0"/>
        <v>155</v>
      </c>
      <c r="CA8">
        <f t="shared" si="1"/>
        <v>193</v>
      </c>
      <c r="CB8">
        <f t="shared" si="2"/>
        <v>232</v>
      </c>
      <c r="CC8">
        <f t="shared" si="3"/>
        <v>271</v>
      </c>
      <c r="CD8">
        <f t="shared" si="4"/>
        <v>311</v>
      </c>
      <c r="CE8">
        <f t="shared" si="5"/>
        <v>347</v>
      </c>
    </row>
    <row r="9" spans="1:83" x14ac:dyDescent="0.2">
      <c r="A9">
        <v>45</v>
      </c>
      <c r="B9">
        <v>185</v>
      </c>
      <c r="C9" t="s">
        <v>11</v>
      </c>
      <c r="D9" s="5">
        <f>5729.578/2</f>
        <v>2864.7890000000002</v>
      </c>
      <c r="E9" s="1" t="s">
        <v>70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1">
        <v>1.7000000000000001E-2</v>
      </c>
      <c r="M9">
        <f>ROUNDUP(1*$B$2*$L9*$B$6,0)</f>
        <v>32</v>
      </c>
      <c r="N9">
        <f>ROUNDUP(1.5*$B$2*$L9*$B$6*0.83,0)</f>
        <v>39</v>
      </c>
      <c r="O9">
        <f>ROUNDUP(2*$B$2*$L9*$B$6*0.75,0)</f>
        <v>47</v>
      </c>
      <c r="P9">
        <f>ROUNDUP(2.5*$B$2*$L9*$B$6*0.7,0)</f>
        <v>55</v>
      </c>
      <c r="Q9">
        <f>ROUNDUP(3*$B$2*$L9*$B$6*0.67,0)</f>
        <v>63</v>
      </c>
      <c r="R9">
        <f>ROUNDUP(3.5*$B$2*$L9*$B$6*0.64,0)</f>
        <v>70</v>
      </c>
      <c r="S9" s="1">
        <v>2.1999999999999999E-2</v>
      </c>
      <c r="T9">
        <f t="shared" ref="T9:T37" si="42">ROUNDUP(1*$B$2*$S9*$B$7,0)</f>
        <v>43</v>
      </c>
      <c r="U9">
        <f t="shared" ref="U9:U37" si="43">ROUNDUP(1.5*$B$2*$S9*$B$7*0.83,0)</f>
        <v>53</v>
      </c>
      <c r="V9">
        <f t="shared" ref="V9:V37" si="44">ROUNDUP(2*$B$2*$S9*$B$7*0.75,0)</f>
        <v>64</v>
      </c>
      <c r="W9">
        <f t="shared" ref="W9:W37" si="45">ROUNDUP(2.5*$B$2*$S9*$B$7*0.7,0)</f>
        <v>75</v>
      </c>
      <c r="X9">
        <f t="shared" ref="X9:X37" si="46">ROUNDUP(3*$B$2*$S9*$B$7*0.67,0)</f>
        <v>86</v>
      </c>
      <c r="Y9">
        <f t="shared" ref="Y9:Y37" si="47">ROUNDUP(3.5*$B$2*$S9*$B$7*0.64,0)</f>
        <v>96</v>
      </c>
      <c r="Z9" s="1">
        <v>2.7E-2</v>
      </c>
      <c r="AA9">
        <f t="shared" ref="AA9:AA30" si="48">ROUNDUP(1*$B$2*$Z9*$B$8,0)</f>
        <v>56</v>
      </c>
      <c r="AB9">
        <f t="shared" ref="AB9:AB30" si="49">ROUNDUP(1.5*$B$2*$Z9*$B$8*0.83,0)</f>
        <v>70</v>
      </c>
      <c r="AC9">
        <f t="shared" ref="AC9:AC30" si="50">ROUNDUP(2*$B$2*$Z9*$B$8*0.75,0)</f>
        <v>84</v>
      </c>
      <c r="AD9">
        <f t="shared" ref="AD9:AD30" si="51">ROUNDUP(2.5*$B$2*$Z9*$B$8*0.7,0)</f>
        <v>98</v>
      </c>
      <c r="AE9">
        <f t="shared" ref="AE9:AE30" si="52">ROUNDUP(3*$B$2*$Z9*$B$8*0.67,0)</f>
        <v>113</v>
      </c>
      <c r="AF9">
        <f t="shared" ref="AF9:AF30" si="53">ROUNDUP(3.5*$B$2*$Z9*$B$8*0.64,0)</f>
        <v>125</v>
      </c>
      <c r="AG9" s="1">
        <v>3.2000000000000001E-2</v>
      </c>
      <c r="AH9">
        <f t="shared" si="36"/>
        <v>72</v>
      </c>
      <c r="AI9">
        <f t="shared" si="37"/>
        <v>89</v>
      </c>
      <c r="AJ9">
        <f t="shared" si="38"/>
        <v>107</v>
      </c>
      <c r="AK9">
        <f t="shared" si="39"/>
        <v>125</v>
      </c>
      <c r="AL9">
        <f t="shared" si="40"/>
        <v>143</v>
      </c>
      <c r="AM9">
        <f t="shared" si="41"/>
        <v>160</v>
      </c>
      <c r="AN9" s="1">
        <v>3.7999999999999999E-2</v>
      </c>
      <c r="AO9">
        <f t="shared" si="18"/>
        <v>92</v>
      </c>
      <c r="AP9">
        <f t="shared" si="19"/>
        <v>114</v>
      </c>
      <c r="AQ9">
        <f t="shared" si="20"/>
        <v>137</v>
      </c>
      <c r="AR9">
        <f t="shared" si="21"/>
        <v>160</v>
      </c>
      <c r="AS9">
        <f t="shared" si="22"/>
        <v>184</v>
      </c>
      <c r="AT9">
        <f t="shared" si="23"/>
        <v>205</v>
      </c>
      <c r="AU9" s="1">
        <v>4.4999999999999998E-2</v>
      </c>
      <c r="AV9">
        <f t="shared" si="24"/>
        <v>116</v>
      </c>
      <c r="AW9">
        <f t="shared" si="25"/>
        <v>144</v>
      </c>
      <c r="AX9">
        <f t="shared" si="26"/>
        <v>173</v>
      </c>
      <c r="AY9">
        <f t="shared" si="27"/>
        <v>202</v>
      </c>
      <c r="AZ9">
        <f t="shared" si="28"/>
        <v>232</v>
      </c>
      <c r="BA9">
        <f t="shared" si="29"/>
        <v>258</v>
      </c>
      <c r="BB9" s="1">
        <v>5.0999999999999997E-2</v>
      </c>
      <c r="BC9">
        <f t="shared" si="30"/>
        <v>136</v>
      </c>
      <c r="BD9">
        <f t="shared" si="31"/>
        <v>170</v>
      </c>
      <c r="BE9">
        <f t="shared" si="32"/>
        <v>204</v>
      </c>
      <c r="BF9">
        <f t="shared" si="33"/>
        <v>238</v>
      </c>
      <c r="BG9">
        <f t="shared" si="34"/>
        <v>274</v>
      </c>
      <c r="BH9">
        <f t="shared" si="35"/>
        <v>305</v>
      </c>
      <c r="BI9" s="3" t="s">
        <v>9</v>
      </c>
      <c r="BJ9" s="6">
        <f>5729.578/1.5</f>
        <v>3819.7186666666671</v>
      </c>
      <c r="BK9" s="1">
        <v>4.5999999999999999E-2</v>
      </c>
      <c r="BL9">
        <f t="shared" si="6"/>
        <v>129</v>
      </c>
      <c r="BM9">
        <f t="shared" si="7"/>
        <v>161</v>
      </c>
      <c r="BN9">
        <f t="shared" si="8"/>
        <v>193</v>
      </c>
      <c r="BO9">
        <f t="shared" si="9"/>
        <v>226</v>
      </c>
      <c r="BP9">
        <f t="shared" si="10"/>
        <v>259</v>
      </c>
      <c r="BQ9">
        <f t="shared" si="11"/>
        <v>289</v>
      </c>
      <c r="BR9" s="1">
        <v>5.0999999999999997E-2</v>
      </c>
      <c r="BS9">
        <f t="shared" si="12"/>
        <v>153</v>
      </c>
      <c r="BT9">
        <f t="shared" si="13"/>
        <v>191</v>
      </c>
      <c r="BU9">
        <f t="shared" si="14"/>
        <v>230</v>
      </c>
      <c r="BV9">
        <f t="shared" si="15"/>
        <v>268</v>
      </c>
      <c r="BW9">
        <f t="shared" si="16"/>
        <v>308</v>
      </c>
      <c r="BX9">
        <f t="shared" si="17"/>
        <v>343</v>
      </c>
      <c r="BY9" s="1">
        <v>5.8000000000000003E-2</v>
      </c>
      <c r="BZ9">
        <f t="shared" si="0"/>
        <v>184</v>
      </c>
      <c r="CA9">
        <f t="shared" si="1"/>
        <v>228</v>
      </c>
      <c r="CB9">
        <f t="shared" si="2"/>
        <v>275</v>
      </c>
      <c r="CC9">
        <f t="shared" si="3"/>
        <v>321</v>
      </c>
      <c r="CD9">
        <f t="shared" si="4"/>
        <v>368</v>
      </c>
      <c r="CE9">
        <f t="shared" si="5"/>
        <v>411</v>
      </c>
    </row>
    <row r="10" spans="1:83" x14ac:dyDescent="0.2">
      <c r="A10">
        <v>50</v>
      </c>
      <c r="B10">
        <v>200</v>
      </c>
      <c r="C10" t="s">
        <v>13</v>
      </c>
      <c r="D10" s="5">
        <f>5729.578/2.5</f>
        <v>2291.8312000000001</v>
      </c>
      <c r="E10" s="1" t="s">
        <v>70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1">
        <v>2.1000000000000001E-2</v>
      </c>
      <c r="M10">
        <f t="shared" ref="M10:M42" si="54">ROUNDUP(1*$B$2*$L10*$B$6,0)</f>
        <v>39</v>
      </c>
      <c r="N10">
        <f t="shared" ref="N10:N42" si="55">ROUNDUP(1.5*$B$2*$L10*$B$6*0.83,0)</f>
        <v>48</v>
      </c>
      <c r="O10">
        <f t="shared" ref="O10:O42" si="56">ROUNDUP(2*$B$2*$L10*$B$6*0.75,0)</f>
        <v>58</v>
      </c>
      <c r="P10">
        <f t="shared" ref="P10:P42" si="57">ROUNDUP(2.5*$B$2*$L10*$B$6*0.7,0)</f>
        <v>68</v>
      </c>
      <c r="Q10">
        <f t="shared" ref="Q10:Q42" si="58">ROUNDUP(3*$B$2*$L10*$B$6*0.67,0)</f>
        <v>77</v>
      </c>
      <c r="R10">
        <f t="shared" ref="R10:R42" si="59">ROUNDUP(3.5*$B$2*$L10*$B$6*0.64,0)</f>
        <v>86</v>
      </c>
      <c r="S10" s="1">
        <v>2.5999999999999999E-2</v>
      </c>
      <c r="T10">
        <f t="shared" si="42"/>
        <v>51</v>
      </c>
      <c r="U10">
        <f t="shared" si="43"/>
        <v>63</v>
      </c>
      <c r="V10">
        <f t="shared" si="44"/>
        <v>76</v>
      </c>
      <c r="W10">
        <f t="shared" si="45"/>
        <v>88</v>
      </c>
      <c r="X10">
        <f t="shared" si="46"/>
        <v>101</v>
      </c>
      <c r="Y10">
        <f t="shared" si="47"/>
        <v>113</v>
      </c>
      <c r="Z10" s="1">
        <v>3.3000000000000002E-2</v>
      </c>
      <c r="AA10">
        <f t="shared" si="48"/>
        <v>69</v>
      </c>
      <c r="AB10">
        <f t="shared" si="49"/>
        <v>85</v>
      </c>
      <c r="AC10">
        <f t="shared" si="50"/>
        <v>103</v>
      </c>
      <c r="AD10">
        <f t="shared" si="51"/>
        <v>120</v>
      </c>
      <c r="AE10">
        <f t="shared" si="52"/>
        <v>137</v>
      </c>
      <c r="AF10">
        <f t="shared" si="53"/>
        <v>153</v>
      </c>
      <c r="AG10" s="1">
        <v>3.9E-2</v>
      </c>
      <c r="AH10">
        <f t="shared" si="36"/>
        <v>87</v>
      </c>
      <c r="AI10">
        <f t="shared" si="37"/>
        <v>108</v>
      </c>
      <c r="AJ10">
        <f t="shared" si="38"/>
        <v>130</v>
      </c>
      <c r="AK10">
        <f t="shared" si="39"/>
        <v>152</v>
      </c>
      <c r="AL10">
        <f t="shared" si="40"/>
        <v>175</v>
      </c>
      <c r="AM10">
        <f t="shared" si="41"/>
        <v>194</v>
      </c>
      <c r="AN10" s="1">
        <v>4.5999999999999999E-2</v>
      </c>
      <c r="AO10">
        <f t="shared" si="18"/>
        <v>111</v>
      </c>
      <c r="AP10">
        <f t="shared" si="19"/>
        <v>138</v>
      </c>
      <c r="AQ10">
        <f t="shared" si="20"/>
        <v>166</v>
      </c>
      <c r="AR10">
        <f t="shared" si="21"/>
        <v>194</v>
      </c>
      <c r="AS10">
        <f t="shared" si="22"/>
        <v>222</v>
      </c>
      <c r="AT10">
        <f t="shared" si="23"/>
        <v>248</v>
      </c>
      <c r="AU10" s="1">
        <v>5.2999999999999999E-2</v>
      </c>
      <c r="AV10">
        <f t="shared" si="24"/>
        <v>136</v>
      </c>
      <c r="AW10">
        <f t="shared" si="25"/>
        <v>169</v>
      </c>
      <c r="AX10">
        <f t="shared" si="26"/>
        <v>204</v>
      </c>
      <c r="AY10">
        <f t="shared" si="27"/>
        <v>238</v>
      </c>
      <c r="AZ10">
        <f t="shared" si="28"/>
        <v>273</v>
      </c>
      <c r="BA10">
        <f t="shared" si="29"/>
        <v>304</v>
      </c>
      <c r="BB10" s="1">
        <v>6.0999999999999999E-2</v>
      </c>
      <c r="BC10">
        <f t="shared" si="30"/>
        <v>163</v>
      </c>
      <c r="BD10">
        <f t="shared" si="31"/>
        <v>203</v>
      </c>
      <c r="BE10">
        <f t="shared" si="32"/>
        <v>244</v>
      </c>
      <c r="BF10">
        <f t="shared" si="33"/>
        <v>285</v>
      </c>
      <c r="BG10">
        <f t="shared" si="34"/>
        <v>327</v>
      </c>
      <c r="BH10">
        <f t="shared" si="35"/>
        <v>365</v>
      </c>
      <c r="BI10" s="3" t="s">
        <v>10</v>
      </c>
      <c r="BJ10" s="6">
        <f>5729.578/1.75</f>
        <v>3274.0445714285715</v>
      </c>
      <c r="BK10" s="1">
        <v>5.1999999999999998E-2</v>
      </c>
      <c r="BL10">
        <f t="shared" si="6"/>
        <v>146</v>
      </c>
      <c r="BM10">
        <f t="shared" si="7"/>
        <v>182</v>
      </c>
      <c r="BN10">
        <f t="shared" si="8"/>
        <v>219</v>
      </c>
      <c r="BO10">
        <f t="shared" si="9"/>
        <v>255</v>
      </c>
      <c r="BP10">
        <f t="shared" si="10"/>
        <v>293</v>
      </c>
      <c r="BQ10">
        <f t="shared" si="11"/>
        <v>326</v>
      </c>
      <c r="BR10" s="1">
        <v>5.8000000000000003E-2</v>
      </c>
      <c r="BS10">
        <f t="shared" si="12"/>
        <v>174</v>
      </c>
      <c r="BT10">
        <f t="shared" si="13"/>
        <v>217</v>
      </c>
      <c r="BU10">
        <f t="shared" si="14"/>
        <v>261</v>
      </c>
      <c r="BV10">
        <f t="shared" si="15"/>
        <v>305</v>
      </c>
      <c r="BW10">
        <f t="shared" si="16"/>
        <v>350</v>
      </c>
      <c r="BX10">
        <f t="shared" si="17"/>
        <v>390</v>
      </c>
      <c r="BY10" s="1">
        <v>6.6000000000000003E-2</v>
      </c>
      <c r="BZ10">
        <f t="shared" si="0"/>
        <v>209</v>
      </c>
      <c r="CA10">
        <f t="shared" si="1"/>
        <v>260</v>
      </c>
      <c r="CB10">
        <f t="shared" si="2"/>
        <v>313</v>
      </c>
      <c r="CC10">
        <f t="shared" si="3"/>
        <v>365</v>
      </c>
      <c r="CD10">
        <f t="shared" si="4"/>
        <v>419</v>
      </c>
      <c r="CE10">
        <f t="shared" si="5"/>
        <v>467</v>
      </c>
    </row>
    <row r="11" spans="1:83" x14ac:dyDescent="0.2">
      <c r="A11">
        <v>55</v>
      </c>
      <c r="B11">
        <v>213</v>
      </c>
      <c r="C11" t="s">
        <v>15</v>
      </c>
      <c r="D11" s="5">
        <f>5729.578/3</f>
        <v>1909.8593333333336</v>
      </c>
      <c r="E11" s="1">
        <v>1.7999999999999999E-2</v>
      </c>
      <c r="F11">
        <f>ROUNDUP($B$2*1*$E11*$B$5,0)</f>
        <v>31</v>
      </c>
      <c r="G11">
        <f>ROUNDUP($B$2*1.5*$E11*$B$5*0.83,0)</f>
        <v>39</v>
      </c>
      <c r="H11">
        <f>ROUNDUP($B$2*2*$E11*$B$5*0.75,0)</f>
        <v>47</v>
      </c>
      <c r="I11">
        <f>ROUNDUP($B$2*2.5*$E11*$B$5*0.7,0)</f>
        <v>55</v>
      </c>
      <c r="J11">
        <f>ROUNDUP(3*$B$2*$E11*$B$5*0.67,0)</f>
        <v>63</v>
      </c>
      <c r="K11">
        <f>ROUNDUP(3.5*$B$2*$E11*$B$5*0.64,0)</f>
        <v>70</v>
      </c>
      <c r="L11" s="1">
        <v>2.4E-2</v>
      </c>
      <c r="M11">
        <f t="shared" si="54"/>
        <v>44</v>
      </c>
      <c r="N11">
        <f t="shared" si="55"/>
        <v>55</v>
      </c>
      <c r="O11">
        <f t="shared" si="56"/>
        <v>66</v>
      </c>
      <c r="P11">
        <f t="shared" si="57"/>
        <v>77</v>
      </c>
      <c r="Q11">
        <f t="shared" si="58"/>
        <v>88</v>
      </c>
      <c r="R11">
        <f t="shared" si="59"/>
        <v>99</v>
      </c>
      <c r="S11" s="1">
        <v>3.1E-2</v>
      </c>
      <c r="T11">
        <f t="shared" si="42"/>
        <v>60</v>
      </c>
      <c r="U11">
        <f t="shared" si="43"/>
        <v>75</v>
      </c>
      <c r="V11">
        <f t="shared" si="44"/>
        <v>90</v>
      </c>
      <c r="W11">
        <f t="shared" si="45"/>
        <v>105</v>
      </c>
      <c r="X11">
        <f t="shared" si="46"/>
        <v>121</v>
      </c>
      <c r="Y11">
        <f t="shared" si="47"/>
        <v>135</v>
      </c>
      <c r="Z11" s="1">
        <v>3.7999999999999999E-2</v>
      </c>
      <c r="AA11">
        <f t="shared" si="48"/>
        <v>79</v>
      </c>
      <c r="AB11">
        <f t="shared" si="49"/>
        <v>98</v>
      </c>
      <c r="AC11">
        <f t="shared" si="50"/>
        <v>118</v>
      </c>
      <c r="AD11">
        <f t="shared" si="51"/>
        <v>138</v>
      </c>
      <c r="AE11">
        <f t="shared" si="52"/>
        <v>158</v>
      </c>
      <c r="AF11">
        <f t="shared" si="53"/>
        <v>176</v>
      </c>
      <c r="AG11" s="1">
        <v>4.4999999999999998E-2</v>
      </c>
      <c r="AH11">
        <f t="shared" si="36"/>
        <v>100</v>
      </c>
      <c r="AI11">
        <f t="shared" si="37"/>
        <v>125</v>
      </c>
      <c r="AJ11">
        <f t="shared" si="38"/>
        <v>150</v>
      </c>
      <c r="AK11">
        <f t="shared" si="39"/>
        <v>175</v>
      </c>
      <c r="AL11">
        <f t="shared" si="40"/>
        <v>201</v>
      </c>
      <c r="AM11">
        <f t="shared" si="41"/>
        <v>224</v>
      </c>
      <c r="AN11" s="1">
        <v>5.2999999999999999E-2</v>
      </c>
      <c r="AO11">
        <f t="shared" si="18"/>
        <v>128</v>
      </c>
      <c r="AP11">
        <f t="shared" si="19"/>
        <v>159</v>
      </c>
      <c r="AQ11">
        <f t="shared" si="20"/>
        <v>191</v>
      </c>
      <c r="AR11">
        <f t="shared" si="21"/>
        <v>223</v>
      </c>
      <c r="AS11">
        <f t="shared" si="22"/>
        <v>256</v>
      </c>
      <c r="AT11">
        <f t="shared" si="23"/>
        <v>285</v>
      </c>
      <c r="AU11" s="1">
        <v>0.06</v>
      </c>
      <c r="AV11">
        <f t="shared" si="24"/>
        <v>154</v>
      </c>
      <c r="AW11">
        <f t="shared" si="25"/>
        <v>191</v>
      </c>
      <c r="AX11">
        <f t="shared" si="26"/>
        <v>231</v>
      </c>
      <c r="AY11">
        <f t="shared" si="27"/>
        <v>269</v>
      </c>
      <c r="AZ11">
        <f t="shared" si="28"/>
        <v>309</v>
      </c>
      <c r="BA11">
        <f t="shared" si="29"/>
        <v>344</v>
      </c>
      <c r="BB11" s="1">
        <v>6.8000000000000005E-2</v>
      </c>
      <c r="BC11">
        <f t="shared" si="30"/>
        <v>182</v>
      </c>
      <c r="BD11">
        <f t="shared" si="31"/>
        <v>226</v>
      </c>
      <c r="BE11">
        <f t="shared" si="32"/>
        <v>272</v>
      </c>
      <c r="BF11">
        <f t="shared" si="33"/>
        <v>318</v>
      </c>
      <c r="BG11">
        <f t="shared" si="34"/>
        <v>365</v>
      </c>
      <c r="BH11">
        <f t="shared" si="35"/>
        <v>406</v>
      </c>
      <c r="BI11" s="3" t="s">
        <v>11</v>
      </c>
      <c r="BJ11" s="6">
        <f>5729.578/2</f>
        <v>2864.7890000000002</v>
      </c>
      <c r="BK11" s="1">
        <v>5.8000000000000003E-2</v>
      </c>
      <c r="BL11">
        <f t="shared" si="6"/>
        <v>163</v>
      </c>
      <c r="BM11">
        <f t="shared" si="7"/>
        <v>202</v>
      </c>
      <c r="BN11">
        <f t="shared" si="8"/>
        <v>244</v>
      </c>
      <c r="BO11">
        <f t="shared" si="9"/>
        <v>284</v>
      </c>
      <c r="BP11">
        <f t="shared" si="10"/>
        <v>326</v>
      </c>
      <c r="BQ11">
        <f t="shared" si="11"/>
        <v>364</v>
      </c>
      <c r="BR11" s="1">
        <v>6.5000000000000002E-2</v>
      </c>
      <c r="BS11">
        <f t="shared" si="12"/>
        <v>195</v>
      </c>
      <c r="BT11">
        <f t="shared" si="13"/>
        <v>243</v>
      </c>
      <c r="BU11">
        <f t="shared" si="14"/>
        <v>293</v>
      </c>
      <c r="BV11">
        <f t="shared" si="15"/>
        <v>342</v>
      </c>
      <c r="BW11">
        <f t="shared" si="16"/>
        <v>392</v>
      </c>
      <c r="BX11">
        <f t="shared" si="17"/>
        <v>437</v>
      </c>
      <c r="BY11" s="1">
        <v>7.2999999999999995E-2</v>
      </c>
      <c r="BZ11">
        <f t="shared" si="0"/>
        <v>231</v>
      </c>
      <c r="CA11">
        <f t="shared" si="1"/>
        <v>287</v>
      </c>
      <c r="CB11">
        <f t="shared" si="2"/>
        <v>346</v>
      </c>
      <c r="CC11">
        <f t="shared" si="3"/>
        <v>404</v>
      </c>
      <c r="CD11">
        <f t="shared" si="4"/>
        <v>464</v>
      </c>
      <c r="CE11">
        <f t="shared" si="5"/>
        <v>517</v>
      </c>
    </row>
    <row r="12" spans="1:83" x14ac:dyDescent="0.2">
      <c r="A12">
        <v>60</v>
      </c>
      <c r="B12">
        <v>222</v>
      </c>
      <c r="C12" t="s">
        <v>21</v>
      </c>
      <c r="D12" s="5">
        <f>5729.578/3.5</f>
        <v>1637.0222857142858</v>
      </c>
      <c r="E12" s="1">
        <v>2.1000000000000001E-2</v>
      </c>
      <c r="F12">
        <f t="shared" ref="F12:F49" si="60">ROUNDUP($B$2*1*$E12*$B$5,0)</f>
        <v>37</v>
      </c>
      <c r="G12">
        <f t="shared" ref="G12:G49" si="61">ROUNDUP($B$2*1.5*$E12*$B$5*0.83,0)</f>
        <v>45</v>
      </c>
      <c r="H12">
        <f t="shared" ref="H12:H49" si="62">ROUNDUP($B$2*2*$E12*$B$5*0.75,0)</f>
        <v>55</v>
      </c>
      <c r="I12">
        <f t="shared" ref="I12:I49" si="63">ROUNDUP($B$2*2.5*$E12*$B$5*0.7,0)</f>
        <v>64</v>
      </c>
      <c r="J12">
        <f t="shared" ref="J12:J49" si="64">ROUNDUP(3*$B$2*$E12*$B$5*0.67,0)</f>
        <v>73</v>
      </c>
      <c r="K12">
        <f t="shared" ref="K12:K49" si="65">ROUNDUP(3.5*$B$2*$E12*$B$5*0.64,0)</f>
        <v>81</v>
      </c>
      <c r="L12" s="1">
        <v>2.8000000000000001E-2</v>
      </c>
      <c r="M12">
        <f t="shared" si="54"/>
        <v>52</v>
      </c>
      <c r="N12">
        <f t="shared" si="55"/>
        <v>64</v>
      </c>
      <c r="O12">
        <f t="shared" si="56"/>
        <v>77</v>
      </c>
      <c r="P12">
        <f t="shared" si="57"/>
        <v>90</v>
      </c>
      <c r="Q12">
        <f t="shared" si="58"/>
        <v>103</v>
      </c>
      <c r="R12">
        <f t="shared" si="59"/>
        <v>115</v>
      </c>
      <c r="S12" s="1">
        <v>3.5000000000000003E-2</v>
      </c>
      <c r="T12">
        <f t="shared" si="42"/>
        <v>68</v>
      </c>
      <c r="U12">
        <f t="shared" si="43"/>
        <v>85</v>
      </c>
      <c r="V12">
        <f t="shared" si="44"/>
        <v>102</v>
      </c>
      <c r="W12">
        <f t="shared" si="45"/>
        <v>119</v>
      </c>
      <c r="X12">
        <f t="shared" si="46"/>
        <v>136</v>
      </c>
      <c r="Y12">
        <f t="shared" si="47"/>
        <v>152</v>
      </c>
      <c r="Z12" s="1">
        <v>4.2999999999999997E-2</v>
      </c>
      <c r="AA12">
        <f t="shared" si="48"/>
        <v>89</v>
      </c>
      <c r="AB12">
        <f t="shared" si="49"/>
        <v>111</v>
      </c>
      <c r="AC12">
        <f t="shared" si="50"/>
        <v>134</v>
      </c>
      <c r="AD12">
        <f t="shared" si="51"/>
        <v>156</v>
      </c>
      <c r="AE12">
        <f t="shared" si="52"/>
        <v>179</v>
      </c>
      <c r="AF12">
        <f t="shared" si="53"/>
        <v>199</v>
      </c>
      <c r="AG12" s="1">
        <v>0.05</v>
      </c>
      <c r="AH12">
        <f t="shared" si="36"/>
        <v>111</v>
      </c>
      <c r="AI12">
        <f t="shared" si="37"/>
        <v>139</v>
      </c>
      <c r="AJ12">
        <f t="shared" si="38"/>
        <v>167</v>
      </c>
      <c r="AK12">
        <f t="shared" si="39"/>
        <v>195</v>
      </c>
      <c r="AL12">
        <f t="shared" si="40"/>
        <v>224</v>
      </c>
      <c r="AM12">
        <f t="shared" si="41"/>
        <v>249</v>
      </c>
      <c r="AN12" s="1">
        <v>5.8000000000000003E-2</v>
      </c>
      <c r="AO12">
        <f t="shared" si="18"/>
        <v>140</v>
      </c>
      <c r="AP12">
        <f t="shared" si="19"/>
        <v>174</v>
      </c>
      <c r="AQ12">
        <f t="shared" si="20"/>
        <v>209</v>
      </c>
      <c r="AR12">
        <f t="shared" si="21"/>
        <v>244</v>
      </c>
      <c r="AS12">
        <f t="shared" si="22"/>
        <v>280</v>
      </c>
      <c r="AT12">
        <f t="shared" si="23"/>
        <v>312</v>
      </c>
      <c r="AU12" s="1">
        <v>6.6000000000000003E-2</v>
      </c>
      <c r="AV12">
        <f t="shared" si="24"/>
        <v>169</v>
      </c>
      <c r="AW12">
        <f t="shared" si="25"/>
        <v>211</v>
      </c>
      <c r="AX12">
        <f t="shared" si="26"/>
        <v>254</v>
      </c>
      <c r="AY12">
        <f t="shared" si="27"/>
        <v>296</v>
      </c>
      <c r="AZ12">
        <f t="shared" si="28"/>
        <v>340</v>
      </c>
      <c r="BA12">
        <f t="shared" si="29"/>
        <v>378</v>
      </c>
      <c r="BB12" s="1">
        <v>7.3999999999999996E-2</v>
      </c>
      <c r="BC12">
        <f t="shared" si="30"/>
        <v>198</v>
      </c>
      <c r="BD12">
        <f t="shared" si="31"/>
        <v>246</v>
      </c>
      <c r="BE12">
        <f t="shared" si="32"/>
        <v>296</v>
      </c>
      <c r="BF12">
        <f t="shared" si="33"/>
        <v>345</v>
      </c>
      <c r="BG12">
        <f t="shared" si="34"/>
        <v>397</v>
      </c>
      <c r="BH12">
        <f t="shared" si="35"/>
        <v>442</v>
      </c>
      <c r="BI12" s="3" t="s">
        <v>12</v>
      </c>
      <c r="BJ12" s="6">
        <f>5729.578/2.25</f>
        <v>2546.4791111111113</v>
      </c>
      <c r="BK12" s="1">
        <v>6.3E-2</v>
      </c>
      <c r="BL12">
        <f t="shared" si="6"/>
        <v>177</v>
      </c>
      <c r="BM12">
        <f t="shared" si="7"/>
        <v>220</v>
      </c>
      <c r="BN12">
        <f t="shared" si="8"/>
        <v>265</v>
      </c>
      <c r="BO12">
        <f t="shared" si="9"/>
        <v>309</v>
      </c>
      <c r="BP12">
        <f t="shared" si="10"/>
        <v>355</v>
      </c>
      <c r="BQ12">
        <f t="shared" si="11"/>
        <v>395</v>
      </c>
      <c r="BR12" s="1">
        <v>7.0999999999999994E-2</v>
      </c>
      <c r="BS12">
        <f t="shared" si="12"/>
        <v>213</v>
      </c>
      <c r="BT12">
        <f t="shared" si="13"/>
        <v>266</v>
      </c>
      <c r="BU12">
        <f t="shared" si="14"/>
        <v>320</v>
      </c>
      <c r="BV12">
        <f t="shared" si="15"/>
        <v>373</v>
      </c>
      <c r="BW12">
        <f t="shared" si="16"/>
        <v>429</v>
      </c>
      <c r="BX12">
        <f t="shared" si="17"/>
        <v>478</v>
      </c>
      <c r="BY12" s="1">
        <v>7.8E-2</v>
      </c>
      <c r="BZ12">
        <f t="shared" si="0"/>
        <v>247</v>
      </c>
      <c r="CA12">
        <f t="shared" si="1"/>
        <v>307</v>
      </c>
      <c r="CB12">
        <f t="shared" si="2"/>
        <v>370</v>
      </c>
      <c r="CC12">
        <f t="shared" si="3"/>
        <v>431</v>
      </c>
      <c r="CD12">
        <f t="shared" si="4"/>
        <v>495</v>
      </c>
      <c r="CE12">
        <f t="shared" si="5"/>
        <v>552</v>
      </c>
    </row>
    <row r="13" spans="1:83" x14ac:dyDescent="0.2">
      <c r="A13">
        <v>65</v>
      </c>
      <c r="B13">
        <v>233</v>
      </c>
      <c r="C13" t="s">
        <v>18</v>
      </c>
      <c r="D13" s="5">
        <f>5729.578/4</f>
        <v>1432.3945000000001</v>
      </c>
      <c r="E13" s="1">
        <v>2.4E-2</v>
      </c>
      <c r="F13">
        <f t="shared" si="60"/>
        <v>42</v>
      </c>
      <c r="G13">
        <f t="shared" si="61"/>
        <v>52</v>
      </c>
      <c r="H13">
        <f t="shared" si="62"/>
        <v>62</v>
      </c>
      <c r="I13">
        <f t="shared" si="63"/>
        <v>73</v>
      </c>
      <c r="J13">
        <f t="shared" si="64"/>
        <v>83</v>
      </c>
      <c r="K13">
        <f t="shared" si="65"/>
        <v>93</v>
      </c>
      <c r="L13" s="1">
        <v>3.1E-2</v>
      </c>
      <c r="M13">
        <f t="shared" si="54"/>
        <v>57</v>
      </c>
      <c r="N13">
        <f t="shared" si="55"/>
        <v>71</v>
      </c>
      <c r="O13">
        <f t="shared" si="56"/>
        <v>85</v>
      </c>
      <c r="P13">
        <f t="shared" si="57"/>
        <v>99</v>
      </c>
      <c r="Q13">
        <f t="shared" si="58"/>
        <v>114</v>
      </c>
      <c r="R13">
        <f t="shared" si="59"/>
        <v>127</v>
      </c>
      <c r="S13" s="1">
        <v>3.9E-2</v>
      </c>
      <c r="T13">
        <f t="shared" si="42"/>
        <v>76</v>
      </c>
      <c r="U13">
        <f t="shared" si="43"/>
        <v>94</v>
      </c>
      <c r="V13">
        <f t="shared" si="44"/>
        <v>114</v>
      </c>
      <c r="W13">
        <f t="shared" si="45"/>
        <v>132</v>
      </c>
      <c r="X13">
        <f t="shared" si="46"/>
        <v>152</v>
      </c>
      <c r="Y13">
        <f t="shared" si="47"/>
        <v>169</v>
      </c>
      <c r="Z13" s="1">
        <v>4.7E-2</v>
      </c>
      <c r="AA13">
        <f t="shared" si="48"/>
        <v>98</v>
      </c>
      <c r="AB13">
        <f t="shared" si="49"/>
        <v>121</v>
      </c>
      <c r="AC13">
        <f t="shared" si="50"/>
        <v>146</v>
      </c>
      <c r="AD13">
        <f t="shared" si="51"/>
        <v>170</v>
      </c>
      <c r="AE13">
        <f t="shared" si="52"/>
        <v>195</v>
      </c>
      <c r="AF13">
        <f t="shared" si="53"/>
        <v>218</v>
      </c>
      <c r="AG13" s="1">
        <v>5.5E-2</v>
      </c>
      <c r="AH13">
        <f t="shared" si="36"/>
        <v>123</v>
      </c>
      <c r="AI13">
        <f t="shared" si="37"/>
        <v>153</v>
      </c>
      <c r="AJ13">
        <f t="shared" si="38"/>
        <v>184</v>
      </c>
      <c r="AK13">
        <f t="shared" si="39"/>
        <v>214</v>
      </c>
      <c r="AL13">
        <f t="shared" si="40"/>
        <v>246</v>
      </c>
      <c r="AM13">
        <f t="shared" si="41"/>
        <v>274</v>
      </c>
      <c r="AN13" s="1">
        <v>6.3E-2</v>
      </c>
      <c r="AO13">
        <f t="shared" si="18"/>
        <v>152</v>
      </c>
      <c r="AP13">
        <f t="shared" si="19"/>
        <v>189</v>
      </c>
      <c r="AQ13">
        <f t="shared" si="20"/>
        <v>227</v>
      </c>
      <c r="AR13">
        <f t="shared" si="21"/>
        <v>265</v>
      </c>
      <c r="AS13">
        <f t="shared" si="22"/>
        <v>304</v>
      </c>
      <c r="AT13">
        <f t="shared" si="23"/>
        <v>339</v>
      </c>
      <c r="AU13" s="1">
        <v>7.0999999999999994E-2</v>
      </c>
      <c r="AV13">
        <f t="shared" si="24"/>
        <v>182</v>
      </c>
      <c r="AW13">
        <f t="shared" si="25"/>
        <v>226</v>
      </c>
      <c r="AX13">
        <f t="shared" si="26"/>
        <v>273</v>
      </c>
      <c r="AY13">
        <f t="shared" si="27"/>
        <v>318</v>
      </c>
      <c r="AZ13">
        <f t="shared" si="28"/>
        <v>365</v>
      </c>
      <c r="BA13">
        <f t="shared" si="29"/>
        <v>407</v>
      </c>
      <c r="BB13" s="1">
        <v>7.8E-2</v>
      </c>
      <c r="BC13">
        <f t="shared" si="30"/>
        <v>208</v>
      </c>
      <c r="BD13">
        <f t="shared" si="31"/>
        <v>259</v>
      </c>
      <c r="BE13">
        <f t="shared" si="32"/>
        <v>312</v>
      </c>
      <c r="BF13">
        <f t="shared" si="33"/>
        <v>364</v>
      </c>
      <c r="BG13">
        <f t="shared" si="34"/>
        <v>418</v>
      </c>
      <c r="BH13">
        <f t="shared" si="35"/>
        <v>466</v>
      </c>
      <c r="BI13" s="3" t="s">
        <v>13</v>
      </c>
      <c r="BJ13" s="9">
        <f>5729.578/2.5</f>
        <v>2291.8312000000001</v>
      </c>
      <c r="BK13" s="1">
        <v>6.8000000000000005E-2</v>
      </c>
      <c r="BL13">
        <f t="shared" si="6"/>
        <v>191</v>
      </c>
      <c r="BM13">
        <f t="shared" si="7"/>
        <v>237</v>
      </c>
      <c r="BN13">
        <f t="shared" si="8"/>
        <v>286</v>
      </c>
      <c r="BO13">
        <f t="shared" si="9"/>
        <v>333</v>
      </c>
      <c r="BP13">
        <f t="shared" si="10"/>
        <v>383</v>
      </c>
      <c r="BQ13">
        <f t="shared" si="11"/>
        <v>426</v>
      </c>
      <c r="BR13" s="1">
        <v>7.4999999999999997E-2</v>
      </c>
      <c r="BS13">
        <f t="shared" si="12"/>
        <v>225</v>
      </c>
      <c r="BT13">
        <f t="shared" si="13"/>
        <v>281</v>
      </c>
      <c r="BU13">
        <f t="shared" si="14"/>
        <v>338</v>
      </c>
      <c r="BV13">
        <f t="shared" si="15"/>
        <v>394</v>
      </c>
      <c r="BW13">
        <f t="shared" si="16"/>
        <v>453</v>
      </c>
      <c r="BX13">
        <f t="shared" si="17"/>
        <v>504</v>
      </c>
      <c r="BY13" s="1">
        <v>0.08</v>
      </c>
      <c r="BZ13">
        <f t="shared" si="0"/>
        <v>253</v>
      </c>
      <c r="CA13">
        <f t="shared" si="1"/>
        <v>315</v>
      </c>
      <c r="CB13">
        <f t="shared" si="2"/>
        <v>379</v>
      </c>
      <c r="CC13">
        <f t="shared" si="3"/>
        <v>442</v>
      </c>
      <c r="CD13">
        <f t="shared" si="4"/>
        <v>508</v>
      </c>
      <c r="CE13">
        <f t="shared" si="5"/>
        <v>566</v>
      </c>
    </row>
    <row r="14" spans="1:83" x14ac:dyDescent="0.2">
      <c r="A14">
        <v>70</v>
      </c>
      <c r="B14">
        <v>250</v>
      </c>
      <c r="C14" t="s">
        <v>19</v>
      </c>
      <c r="D14" s="7">
        <f>5729.578/4.5</f>
        <v>1273.2395555555556</v>
      </c>
      <c r="E14" s="1">
        <v>2.5999999999999999E-2</v>
      </c>
      <c r="F14">
        <f t="shared" si="60"/>
        <v>45</v>
      </c>
      <c r="G14">
        <f t="shared" si="61"/>
        <v>56</v>
      </c>
      <c r="H14">
        <f t="shared" si="62"/>
        <v>67</v>
      </c>
      <c r="I14">
        <f t="shared" si="63"/>
        <v>79</v>
      </c>
      <c r="J14">
        <f t="shared" si="64"/>
        <v>90</v>
      </c>
      <c r="K14">
        <f t="shared" si="65"/>
        <v>100</v>
      </c>
      <c r="L14" s="1">
        <v>3.4000000000000002E-2</v>
      </c>
      <c r="M14">
        <f t="shared" si="54"/>
        <v>63</v>
      </c>
      <c r="N14">
        <f t="shared" si="55"/>
        <v>78</v>
      </c>
      <c r="O14">
        <f t="shared" si="56"/>
        <v>94</v>
      </c>
      <c r="P14">
        <f t="shared" si="57"/>
        <v>109</v>
      </c>
      <c r="Q14">
        <f t="shared" si="58"/>
        <v>125</v>
      </c>
      <c r="R14">
        <f t="shared" si="59"/>
        <v>139</v>
      </c>
      <c r="S14" s="1">
        <v>4.2000000000000003E-2</v>
      </c>
      <c r="T14">
        <f t="shared" si="42"/>
        <v>82</v>
      </c>
      <c r="U14">
        <f t="shared" si="43"/>
        <v>102</v>
      </c>
      <c r="V14">
        <f t="shared" si="44"/>
        <v>122</v>
      </c>
      <c r="W14">
        <f t="shared" si="45"/>
        <v>143</v>
      </c>
      <c r="X14">
        <f t="shared" si="46"/>
        <v>164</v>
      </c>
      <c r="Y14">
        <f t="shared" si="47"/>
        <v>182</v>
      </c>
      <c r="Z14" s="1">
        <v>5.0999999999999997E-2</v>
      </c>
      <c r="AA14">
        <f t="shared" si="48"/>
        <v>106</v>
      </c>
      <c r="AB14">
        <f t="shared" si="49"/>
        <v>132</v>
      </c>
      <c r="AC14">
        <f t="shared" si="50"/>
        <v>158</v>
      </c>
      <c r="AD14">
        <f t="shared" si="51"/>
        <v>185</v>
      </c>
      <c r="AE14">
        <f t="shared" si="52"/>
        <v>212</v>
      </c>
      <c r="AF14">
        <f t="shared" si="53"/>
        <v>236</v>
      </c>
      <c r="AG14" s="1">
        <v>5.8999999999999997E-2</v>
      </c>
      <c r="AH14">
        <f t="shared" si="36"/>
        <v>131</v>
      </c>
      <c r="AI14">
        <f t="shared" si="37"/>
        <v>164</v>
      </c>
      <c r="AJ14">
        <f t="shared" si="38"/>
        <v>197</v>
      </c>
      <c r="AK14">
        <f t="shared" si="39"/>
        <v>230</v>
      </c>
      <c r="AL14">
        <f t="shared" si="40"/>
        <v>264</v>
      </c>
      <c r="AM14">
        <f t="shared" si="41"/>
        <v>294</v>
      </c>
      <c r="AN14" s="1">
        <v>6.8000000000000005E-2</v>
      </c>
      <c r="AO14">
        <f t="shared" si="18"/>
        <v>164</v>
      </c>
      <c r="AP14">
        <f t="shared" si="19"/>
        <v>204</v>
      </c>
      <c r="AQ14">
        <f t="shared" si="20"/>
        <v>245</v>
      </c>
      <c r="AR14">
        <f t="shared" si="21"/>
        <v>286</v>
      </c>
      <c r="AS14">
        <f t="shared" si="22"/>
        <v>329</v>
      </c>
      <c r="AT14">
        <f t="shared" si="23"/>
        <v>366</v>
      </c>
      <c r="AU14" s="1">
        <v>7.4999999999999997E-2</v>
      </c>
      <c r="AV14">
        <f t="shared" si="24"/>
        <v>192</v>
      </c>
      <c r="AW14">
        <f t="shared" si="25"/>
        <v>239</v>
      </c>
      <c r="AX14">
        <f t="shared" si="26"/>
        <v>288</v>
      </c>
      <c r="AY14">
        <f t="shared" si="27"/>
        <v>336</v>
      </c>
      <c r="AZ14">
        <f t="shared" si="28"/>
        <v>386</v>
      </c>
      <c r="BA14">
        <f t="shared" si="29"/>
        <v>430</v>
      </c>
      <c r="BB14" s="1">
        <v>0.08</v>
      </c>
      <c r="BC14">
        <f t="shared" si="30"/>
        <v>214</v>
      </c>
      <c r="BD14">
        <f t="shared" si="31"/>
        <v>266</v>
      </c>
      <c r="BE14">
        <f t="shared" si="32"/>
        <v>320</v>
      </c>
      <c r="BF14">
        <f t="shared" si="33"/>
        <v>373</v>
      </c>
      <c r="BG14">
        <f t="shared" si="34"/>
        <v>429</v>
      </c>
      <c r="BH14">
        <f t="shared" si="35"/>
        <v>478</v>
      </c>
      <c r="BI14" s="3" t="s">
        <v>14</v>
      </c>
      <c r="BJ14" s="4">
        <f>5729.578/2.75</f>
        <v>2083.4829090909093</v>
      </c>
      <c r="BK14" s="1">
        <v>7.1999999999999995E-2</v>
      </c>
      <c r="BL14">
        <f t="shared" si="6"/>
        <v>202</v>
      </c>
      <c r="BM14">
        <f t="shared" si="7"/>
        <v>251</v>
      </c>
      <c r="BN14">
        <f t="shared" si="8"/>
        <v>302</v>
      </c>
      <c r="BO14">
        <f t="shared" si="9"/>
        <v>353</v>
      </c>
      <c r="BP14">
        <f t="shared" si="10"/>
        <v>405</v>
      </c>
      <c r="BQ14">
        <f t="shared" si="11"/>
        <v>451</v>
      </c>
      <c r="BR14" s="1">
        <v>7.8E-2</v>
      </c>
      <c r="BS14">
        <f t="shared" si="12"/>
        <v>234</v>
      </c>
      <c r="BT14">
        <f t="shared" si="13"/>
        <v>292</v>
      </c>
      <c r="BU14">
        <f t="shared" si="14"/>
        <v>351</v>
      </c>
      <c r="BV14">
        <f t="shared" si="15"/>
        <v>410</v>
      </c>
      <c r="BW14">
        <f t="shared" si="16"/>
        <v>471</v>
      </c>
      <c r="BX14">
        <f t="shared" si="17"/>
        <v>525</v>
      </c>
      <c r="BY14" s="1"/>
    </row>
    <row r="15" spans="1:83" x14ac:dyDescent="0.2">
      <c r="A15">
        <v>75</v>
      </c>
      <c r="B15">
        <v>263</v>
      </c>
      <c r="C15" t="s">
        <v>20</v>
      </c>
      <c r="D15" s="5">
        <f>5729.578/5</f>
        <v>1145.9156</v>
      </c>
      <c r="E15" s="1">
        <v>2.9000000000000001E-2</v>
      </c>
      <c r="F15">
        <f t="shared" si="60"/>
        <v>50</v>
      </c>
      <c r="G15">
        <f t="shared" si="61"/>
        <v>62</v>
      </c>
      <c r="H15">
        <f t="shared" si="62"/>
        <v>75</v>
      </c>
      <c r="I15">
        <f t="shared" si="63"/>
        <v>88</v>
      </c>
      <c r="J15">
        <f t="shared" si="64"/>
        <v>101</v>
      </c>
      <c r="K15">
        <f t="shared" si="65"/>
        <v>112</v>
      </c>
      <c r="L15" s="1">
        <v>3.6999999999999998E-2</v>
      </c>
      <c r="M15">
        <f t="shared" si="54"/>
        <v>68</v>
      </c>
      <c r="N15">
        <f t="shared" si="55"/>
        <v>85</v>
      </c>
      <c r="O15">
        <f t="shared" si="56"/>
        <v>102</v>
      </c>
      <c r="P15">
        <f t="shared" si="57"/>
        <v>119</v>
      </c>
      <c r="Q15">
        <f t="shared" si="58"/>
        <v>136</v>
      </c>
      <c r="R15">
        <f t="shared" si="59"/>
        <v>152</v>
      </c>
      <c r="S15" s="1">
        <v>4.5999999999999999E-2</v>
      </c>
      <c r="T15">
        <f t="shared" si="42"/>
        <v>89</v>
      </c>
      <c r="U15">
        <f t="shared" si="43"/>
        <v>111</v>
      </c>
      <c r="V15">
        <f t="shared" si="44"/>
        <v>134</v>
      </c>
      <c r="W15">
        <f t="shared" si="45"/>
        <v>156</v>
      </c>
      <c r="X15">
        <f t="shared" si="46"/>
        <v>179</v>
      </c>
      <c r="Y15">
        <f t="shared" si="47"/>
        <v>200</v>
      </c>
      <c r="Z15" s="1">
        <v>5.5E-2</v>
      </c>
      <c r="AA15">
        <f t="shared" si="48"/>
        <v>114</v>
      </c>
      <c r="AB15">
        <f t="shared" si="49"/>
        <v>142</v>
      </c>
      <c r="AC15">
        <f t="shared" si="50"/>
        <v>171</v>
      </c>
      <c r="AD15">
        <f t="shared" si="51"/>
        <v>199</v>
      </c>
      <c r="AE15">
        <f t="shared" si="52"/>
        <v>229</v>
      </c>
      <c r="AF15">
        <f t="shared" si="53"/>
        <v>255</v>
      </c>
      <c r="AG15" s="1">
        <v>6.3E-2</v>
      </c>
      <c r="AH15">
        <f t="shared" si="36"/>
        <v>140</v>
      </c>
      <c r="AI15">
        <f t="shared" si="37"/>
        <v>175</v>
      </c>
      <c r="AJ15">
        <f t="shared" si="38"/>
        <v>210</v>
      </c>
      <c r="AK15">
        <f t="shared" si="39"/>
        <v>245</v>
      </c>
      <c r="AL15">
        <f t="shared" si="40"/>
        <v>282</v>
      </c>
      <c r="AM15">
        <f t="shared" si="41"/>
        <v>314</v>
      </c>
      <c r="AN15" s="1">
        <v>7.0999999999999994E-2</v>
      </c>
      <c r="AO15">
        <f t="shared" si="18"/>
        <v>171</v>
      </c>
      <c r="AP15">
        <f t="shared" si="19"/>
        <v>213</v>
      </c>
      <c r="AQ15">
        <f t="shared" si="20"/>
        <v>256</v>
      </c>
      <c r="AR15">
        <f t="shared" si="21"/>
        <v>299</v>
      </c>
      <c r="AS15">
        <f t="shared" si="22"/>
        <v>343</v>
      </c>
      <c r="AT15">
        <f t="shared" si="23"/>
        <v>382</v>
      </c>
      <c r="AU15" s="1">
        <v>7.8E-2</v>
      </c>
      <c r="AV15">
        <f t="shared" si="24"/>
        <v>200</v>
      </c>
      <c r="AW15">
        <f t="shared" si="25"/>
        <v>249</v>
      </c>
      <c r="AX15">
        <f t="shared" si="26"/>
        <v>300</v>
      </c>
      <c r="AY15">
        <f t="shared" si="27"/>
        <v>349</v>
      </c>
      <c r="AZ15">
        <f t="shared" si="28"/>
        <v>401</v>
      </c>
      <c r="BA15">
        <f t="shared" si="29"/>
        <v>447</v>
      </c>
      <c r="BB15" s="1"/>
      <c r="BI15" s="3" t="s">
        <v>15</v>
      </c>
      <c r="BJ15" s="8">
        <f>5729.578/3</f>
        <v>1909.8593333333336</v>
      </c>
      <c r="BK15" s="1">
        <v>7.4999999999999997E-2</v>
      </c>
      <c r="BL15">
        <f t="shared" si="6"/>
        <v>210</v>
      </c>
      <c r="BM15">
        <f t="shared" si="7"/>
        <v>262</v>
      </c>
      <c r="BN15">
        <f t="shared" si="8"/>
        <v>315</v>
      </c>
      <c r="BO15">
        <f t="shared" si="9"/>
        <v>367</v>
      </c>
      <c r="BP15">
        <f t="shared" si="10"/>
        <v>422</v>
      </c>
      <c r="BQ15">
        <f t="shared" si="11"/>
        <v>470</v>
      </c>
      <c r="BR15" s="1">
        <v>0.08</v>
      </c>
      <c r="BS15">
        <f t="shared" si="12"/>
        <v>240</v>
      </c>
      <c r="BT15">
        <f t="shared" si="13"/>
        <v>299</v>
      </c>
      <c r="BU15">
        <f t="shared" si="14"/>
        <v>360</v>
      </c>
      <c r="BV15">
        <f t="shared" si="15"/>
        <v>420</v>
      </c>
      <c r="BW15">
        <f t="shared" si="16"/>
        <v>483</v>
      </c>
      <c r="BX15">
        <f t="shared" si="17"/>
        <v>538</v>
      </c>
      <c r="BY15" s="1"/>
    </row>
    <row r="16" spans="1:83" x14ac:dyDescent="0.2">
      <c r="C16" t="s">
        <v>22</v>
      </c>
      <c r="D16" s="5">
        <f>5729.578/5.5</f>
        <v>1041.7414545454546</v>
      </c>
      <c r="E16" s="1">
        <v>3.1E-2</v>
      </c>
      <c r="F16">
        <f t="shared" si="60"/>
        <v>54</v>
      </c>
      <c r="G16">
        <f t="shared" si="61"/>
        <v>67</v>
      </c>
      <c r="H16">
        <f t="shared" si="62"/>
        <v>80</v>
      </c>
      <c r="I16">
        <f t="shared" si="63"/>
        <v>94</v>
      </c>
      <c r="J16">
        <f t="shared" si="64"/>
        <v>107</v>
      </c>
      <c r="K16">
        <f t="shared" si="65"/>
        <v>120</v>
      </c>
      <c r="L16" s="1">
        <v>0.04</v>
      </c>
      <c r="M16">
        <f t="shared" si="54"/>
        <v>73</v>
      </c>
      <c r="N16">
        <f t="shared" si="55"/>
        <v>91</v>
      </c>
      <c r="O16">
        <f t="shared" si="56"/>
        <v>110</v>
      </c>
      <c r="P16">
        <f t="shared" si="57"/>
        <v>128</v>
      </c>
      <c r="Q16">
        <f t="shared" si="58"/>
        <v>147</v>
      </c>
      <c r="R16">
        <f t="shared" si="59"/>
        <v>164</v>
      </c>
      <c r="S16" s="1">
        <v>4.9000000000000002E-2</v>
      </c>
      <c r="T16">
        <f t="shared" si="42"/>
        <v>95</v>
      </c>
      <c r="U16">
        <f t="shared" si="43"/>
        <v>118</v>
      </c>
      <c r="V16">
        <f t="shared" si="44"/>
        <v>143</v>
      </c>
      <c r="W16">
        <f t="shared" si="45"/>
        <v>166</v>
      </c>
      <c r="X16">
        <f t="shared" si="46"/>
        <v>191</v>
      </c>
      <c r="Y16">
        <f t="shared" si="47"/>
        <v>213</v>
      </c>
      <c r="Z16" s="1">
        <v>5.8000000000000003E-2</v>
      </c>
      <c r="AA16">
        <f t="shared" si="48"/>
        <v>120</v>
      </c>
      <c r="AB16">
        <f t="shared" si="49"/>
        <v>150</v>
      </c>
      <c r="AC16">
        <f t="shared" si="50"/>
        <v>180</v>
      </c>
      <c r="AD16">
        <f t="shared" si="51"/>
        <v>210</v>
      </c>
      <c r="AE16">
        <f t="shared" si="52"/>
        <v>241</v>
      </c>
      <c r="AF16">
        <f t="shared" si="53"/>
        <v>269</v>
      </c>
      <c r="AG16" s="1">
        <v>6.6000000000000003E-2</v>
      </c>
      <c r="AH16">
        <f t="shared" si="36"/>
        <v>147</v>
      </c>
      <c r="AI16">
        <f t="shared" si="37"/>
        <v>183</v>
      </c>
      <c r="AJ16">
        <f t="shared" si="38"/>
        <v>220</v>
      </c>
      <c r="AK16">
        <f t="shared" si="39"/>
        <v>257</v>
      </c>
      <c r="AL16">
        <f t="shared" si="40"/>
        <v>295</v>
      </c>
      <c r="AM16">
        <f t="shared" si="41"/>
        <v>329</v>
      </c>
      <c r="AN16" s="1">
        <v>7.3999999999999996E-2</v>
      </c>
      <c r="AO16">
        <f t="shared" si="18"/>
        <v>178</v>
      </c>
      <c r="AP16">
        <f t="shared" si="19"/>
        <v>222</v>
      </c>
      <c r="AQ16">
        <f t="shared" si="20"/>
        <v>267</v>
      </c>
      <c r="AR16">
        <f t="shared" si="21"/>
        <v>311</v>
      </c>
      <c r="AS16">
        <f t="shared" si="22"/>
        <v>357</v>
      </c>
      <c r="AT16">
        <f t="shared" si="23"/>
        <v>398</v>
      </c>
      <c r="AU16" s="1">
        <v>0.08</v>
      </c>
      <c r="AV16">
        <f t="shared" si="24"/>
        <v>205</v>
      </c>
      <c r="AW16">
        <f t="shared" si="25"/>
        <v>255</v>
      </c>
      <c r="AX16">
        <f t="shared" si="26"/>
        <v>307</v>
      </c>
      <c r="AY16">
        <f t="shared" si="27"/>
        <v>358</v>
      </c>
      <c r="AZ16">
        <f t="shared" si="28"/>
        <v>412</v>
      </c>
      <c r="BA16">
        <f t="shared" si="29"/>
        <v>459</v>
      </c>
      <c r="BB16" s="1"/>
      <c r="BI16" s="3" t="s">
        <v>16</v>
      </c>
      <c r="BJ16" s="4">
        <f>5729.578/3.25</f>
        <v>1762.947076923077</v>
      </c>
      <c r="BK16" s="1">
        <v>7.8E-2</v>
      </c>
      <c r="BL16">
        <f t="shared" si="6"/>
        <v>219</v>
      </c>
      <c r="BM16">
        <f t="shared" si="7"/>
        <v>272</v>
      </c>
      <c r="BN16">
        <f t="shared" si="8"/>
        <v>328</v>
      </c>
      <c r="BO16">
        <f t="shared" si="9"/>
        <v>382</v>
      </c>
      <c r="BP16">
        <f t="shared" si="10"/>
        <v>439</v>
      </c>
      <c r="BQ16">
        <f t="shared" si="11"/>
        <v>489</v>
      </c>
    </row>
    <row r="17" spans="3:69" x14ac:dyDescent="0.2">
      <c r="C17" t="s">
        <v>23</v>
      </c>
      <c r="D17" s="7">
        <f>5729.578/6</f>
        <v>954.92966666666678</v>
      </c>
      <c r="E17" s="1">
        <v>3.3000000000000002E-2</v>
      </c>
      <c r="F17">
        <f t="shared" si="60"/>
        <v>57</v>
      </c>
      <c r="G17">
        <f t="shared" si="61"/>
        <v>71</v>
      </c>
      <c r="H17">
        <f t="shared" si="62"/>
        <v>85</v>
      </c>
      <c r="I17">
        <f t="shared" si="63"/>
        <v>100</v>
      </c>
      <c r="J17">
        <f t="shared" si="64"/>
        <v>114</v>
      </c>
      <c r="K17">
        <f t="shared" si="65"/>
        <v>127</v>
      </c>
      <c r="L17" s="1">
        <v>4.2000000000000003E-2</v>
      </c>
      <c r="M17">
        <f t="shared" si="54"/>
        <v>77</v>
      </c>
      <c r="N17">
        <f t="shared" si="55"/>
        <v>96</v>
      </c>
      <c r="O17">
        <f t="shared" si="56"/>
        <v>115</v>
      </c>
      <c r="P17">
        <f t="shared" si="57"/>
        <v>135</v>
      </c>
      <c r="Q17">
        <f t="shared" si="58"/>
        <v>154</v>
      </c>
      <c r="R17">
        <f t="shared" si="59"/>
        <v>172</v>
      </c>
      <c r="S17" s="1">
        <v>5.0999999999999997E-2</v>
      </c>
      <c r="T17">
        <f t="shared" si="42"/>
        <v>99</v>
      </c>
      <c r="U17">
        <f t="shared" si="43"/>
        <v>123</v>
      </c>
      <c r="V17">
        <f t="shared" si="44"/>
        <v>148</v>
      </c>
      <c r="W17">
        <f t="shared" si="45"/>
        <v>173</v>
      </c>
      <c r="X17">
        <f t="shared" si="46"/>
        <v>199</v>
      </c>
      <c r="Y17">
        <f t="shared" si="47"/>
        <v>221</v>
      </c>
      <c r="Z17" s="1">
        <v>6.0999999999999999E-2</v>
      </c>
      <c r="AA17">
        <f t="shared" si="48"/>
        <v>126</v>
      </c>
      <c r="AB17">
        <f t="shared" si="49"/>
        <v>157</v>
      </c>
      <c r="AC17">
        <f t="shared" si="50"/>
        <v>189</v>
      </c>
      <c r="AD17">
        <f t="shared" si="51"/>
        <v>221</v>
      </c>
      <c r="AE17">
        <f t="shared" si="52"/>
        <v>254</v>
      </c>
      <c r="AF17">
        <f t="shared" si="53"/>
        <v>283</v>
      </c>
      <c r="AG17" s="1">
        <v>7.0000000000000007E-2</v>
      </c>
      <c r="AH17">
        <f t="shared" si="36"/>
        <v>156</v>
      </c>
      <c r="AI17">
        <f t="shared" si="37"/>
        <v>194</v>
      </c>
      <c r="AJ17">
        <f t="shared" si="38"/>
        <v>234</v>
      </c>
      <c r="AK17">
        <f t="shared" si="39"/>
        <v>272</v>
      </c>
      <c r="AL17">
        <f t="shared" si="40"/>
        <v>313</v>
      </c>
      <c r="AM17">
        <f t="shared" si="41"/>
        <v>349</v>
      </c>
      <c r="AN17" s="1">
        <v>7.6999999999999999E-2</v>
      </c>
      <c r="AO17">
        <f t="shared" si="18"/>
        <v>185</v>
      </c>
      <c r="AP17">
        <f t="shared" si="19"/>
        <v>231</v>
      </c>
      <c r="AQ17">
        <f t="shared" si="20"/>
        <v>278</v>
      </c>
      <c r="AR17">
        <f t="shared" si="21"/>
        <v>324</v>
      </c>
      <c r="AS17">
        <f t="shared" si="22"/>
        <v>372</v>
      </c>
      <c r="AT17">
        <f t="shared" si="23"/>
        <v>414</v>
      </c>
      <c r="AU17" s="1">
        <v>0.08</v>
      </c>
      <c r="AV17">
        <f t="shared" si="24"/>
        <v>205</v>
      </c>
      <c r="AW17">
        <f t="shared" si="25"/>
        <v>255</v>
      </c>
      <c r="AX17">
        <f t="shared" si="26"/>
        <v>307</v>
      </c>
      <c r="AY17">
        <f t="shared" si="27"/>
        <v>358</v>
      </c>
      <c r="AZ17">
        <f t="shared" si="28"/>
        <v>412</v>
      </c>
      <c r="BA17">
        <f t="shared" si="29"/>
        <v>459</v>
      </c>
      <c r="BB17" s="1"/>
      <c r="BI17" s="3" t="s">
        <v>21</v>
      </c>
      <c r="BJ17" s="4">
        <f>5729.578/3.5</f>
        <v>1637.0222857142858</v>
      </c>
      <c r="BK17" s="1">
        <v>7.9000000000000001E-2</v>
      </c>
      <c r="BL17">
        <f t="shared" si="6"/>
        <v>221</v>
      </c>
      <c r="BM17">
        <f t="shared" si="7"/>
        <v>276</v>
      </c>
      <c r="BN17">
        <f t="shared" si="8"/>
        <v>332</v>
      </c>
      <c r="BO17">
        <f t="shared" si="9"/>
        <v>387</v>
      </c>
      <c r="BP17">
        <f t="shared" si="10"/>
        <v>444</v>
      </c>
      <c r="BQ17">
        <f t="shared" si="11"/>
        <v>495</v>
      </c>
    </row>
    <row r="18" spans="3:69" x14ac:dyDescent="0.2">
      <c r="C18" t="s">
        <v>24</v>
      </c>
      <c r="D18" s="5">
        <f>5729.578/6.5</f>
        <v>881.47353846153851</v>
      </c>
      <c r="E18" s="1">
        <v>3.5000000000000003E-2</v>
      </c>
      <c r="F18">
        <f t="shared" si="60"/>
        <v>61</v>
      </c>
      <c r="G18">
        <f t="shared" si="61"/>
        <v>75</v>
      </c>
      <c r="H18">
        <f t="shared" si="62"/>
        <v>91</v>
      </c>
      <c r="I18">
        <f t="shared" si="63"/>
        <v>106</v>
      </c>
      <c r="J18">
        <f t="shared" si="64"/>
        <v>121</v>
      </c>
      <c r="K18">
        <f t="shared" si="65"/>
        <v>135</v>
      </c>
      <c r="L18" s="1">
        <v>4.4999999999999998E-2</v>
      </c>
      <c r="M18">
        <f t="shared" si="54"/>
        <v>83</v>
      </c>
      <c r="N18">
        <f t="shared" si="55"/>
        <v>103</v>
      </c>
      <c r="O18">
        <f t="shared" si="56"/>
        <v>124</v>
      </c>
      <c r="P18">
        <f t="shared" si="57"/>
        <v>144</v>
      </c>
      <c r="Q18">
        <f t="shared" si="58"/>
        <v>165</v>
      </c>
      <c r="R18">
        <f t="shared" si="59"/>
        <v>184</v>
      </c>
      <c r="S18" s="1">
        <v>5.3999999999999999E-2</v>
      </c>
      <c r="T18">
        <f t="shared" si="42"/>
        <v>105</v>
      </c>
      <c r="U18">
        <f t="shared" si="43"/>
        <v>130</v>
      </c>
      <c r="V18">
        <f t="shared" si="44"/>
        <v>157</v>
      </c>
      <c r="W18">
        <f t="shared" si="45"/>
        <v>183</v>
      </c>
      <c r="X18">
        <f t="shared" si="46"/>
        <v>210</v>
      </c>
      <c r="Y18">
        <f t="shared" si="47"/>
        <v>234</v>
      </c>
      <c r="Z18" s="1">
        <v>6.3E-2</v>
      </c>
      <c r="AA18">
        <f t="shared" si="48"/>
        <v>131</v>
      </c>
      <c r="AB18">
        <f t="shared" si="49"/>
        <v>162</v>
      </c>
      <c r="AC18">
        <f t="shared" si="50"/>
        <v>196</v>
      </c>
      <c r="AD18">
        <f t="shared" si="51"/>
        <v>228</v>
      </c>
      <c r="AE18">
        <f t="shared" si="52"/>
        <v>262</v>
      </c>
      <c r="AF18">
        <f t="shared" si="53"/>
        <v>292</v>
      </c>
      <c r="AG18" s="1">
        <v>7.1999999999999995E-2</v>
      </c>
      <c r="AH18">
        <f t="shared" si="36"/>
        <v>160</v>
      </c>
      <c r="AI18">
        <f t="shared" si="37"/>
        <v>200</v>
      </c>
      <c r="AJ18">
        <f t="shared" si="38"/>
        <v>240</v>
      </c>
      <c r="AK18">
        <f t="shared" si="39"/>
        <v>280</v>
      </c>
      <c r="AL18">
        <f t="shared" si="40"/>
        <v>322</v>
      </c>
      <c r="AM18">
        <f t="shared" si="41"/>
        <v>359</v>
      </c>
      <c r="AN18" s="1">
        <v>7.9000000000000001E-2</v>
      </c>
      <c r="AO18">
        <f t="shared" si="18"/>
        <v>190</v>
      </c>
      <c r="AP18">
        <f t="shared" si="19"/>
        <v>237</v>
      </c>
      <c r="AQ18">
        <f t="shared" si="20"/>
        <v>285</v>
      </c>
      <c r="AR18">
        <f t="shared" si="21"/>
        <v>332</v>
      </c>
      <c r="AS18">
        <f t="shared" si="22"/>
        <v>382</v>
      </c>
      <c r="AT18">
        <f t="shared" si="23"/>
        <v>425</v>
      </c>
      <c r="AU18" s="1"/>
      <c r="BI18" s="3" t="s">
        <v>17</v>
      </c>
      <c r="BJ18" s="8">
        <f>5729.578/3.75</f>
        <v>1527.8874666666668</v>
      </c>
      <c r="BK18" s="1">
        <v>0.08</v>
      </c>
      <c r="BL18">
        <f t="shared" si="6"/>
        <v>224</v>
      </c>
      <c r="BM18">
        <f t="shared" si="7"/>
        <v>279</v>
      </c>
      <c r="BN18">
        <f t="shared" si="8"/>
        <v>336</v>
      </c>
      <c r="BO18">
        <f t="shared" si="9"/>
        <v>392</v>
      </c>
      <c r="BP18">
        <f t="shared" si="10"/>
        <v>450</v>
      </c>
      <c r="BQ18">
        <f t="shared" si="11"/>
        <v>502</v>
      </c>
    </row>
    <row r="19" spans="3:69" x14ac:dyDescent="0.2">
      <c r="C19" t="s">
        <v>25</v>
      </c>
      <c r="D19" s="5">
        <f>5729.578/7</f>
        <v>818.51114285714289</v>
      </c>
      <c r="E19" s="1">
        <v>3.6999999999999998E-2</v>
      </c>
      <c r="F19">
        <f t="shared" si="60"/>
        <v>64</v>
      </c>
      <c r="G19">
        <f t="shared" si="61"/>
        <v>80</v>
      </c>
      <c r="H19">
        <f t="shared" si="62"/>
        <v>96</v>
      </c>
      <c r="I19">
        <f t="shared" si="63"/>
        <v>112</v>
      </c>
      <c r="J19">
        <f t="shared" si="64"/>
        <v>128</v>
      </c>
      <c r="K19">
        <f t="shared" si="65"/>
        <v>143</v>
      </c>
      <c r="L19" s="1">
        <v>4.7E-2</v>
      </c>
      <c r="M19">
        <f t="shared" si="54"/>
        <v>86</v>
      </c>
      <c r="N19">
        <f t="shared" si="55"/>
        <v>107</v>
      </c>
      <c r="O19">
        <f t="shared" si="56"/>
        <v>129</v>
      </c>
      <c r="P19">
        <f t="shared" si="57"/>
        <v>151</v>
      </c>
      <c r="Q19">
        <f t="shared" si="58"/>
        <v>173</v>
      </c>
      <c r="R19">
        <f t="shared" si="59"/>
        <v>193</v>
      </c>
      <c r="S19" s="1">
        <v>5.6000000000000001E-2</v>
      </c>
      <c r="T19">
        <f t="shared" si="42"/>
        <v>109</v>
      </c>
      <c r="U19">
        <f t="shared" si="43"/>
        <v>135</v>
      </c>
      <c r="V19">
        <f t="shared" si="44"/>
        <v>163</v>
      </c>
      <c r="W19">
        <f t="shared" si="45"/>
        <v>190</v>
      </c>
      <c r="X19">
        <f t="shared" si="46"/>
        <v>218</v>
      </c>
      <c r="Y19">
        <f t="shared" si="47"/>
        <v>243</v>
      </c>
      <c r="Z19" s="1">
        <v>6.6000000000000003E-2</v>
      </c>
      <c r="AA19">
        <f t="shared" si="48"/>
        <v>137</v>
      </c>
      <c r="AB19">
        <f t="shared" si="49"/>
        <v>170</v>
      </c>
      <c r="AC19">
        <f t="shared" si="50"/>
        <v>205</v>
      </c>
      <c r="AD19">
        <f t="shared" si="51"/>
        <v>239</v>
      </c>
      <c r="AE19">
        <f t="shared" si="52"/>
        <v>274</v>
      </c>
      <c r="AF19">
        <f t="shared" si="53"/>
        <v>306</v>
      </c>
      <c r="AG19" s="1">
        <v>7.3999999999999996E-2</v>
      </c>
      <c r="AH19">
        <f t="shared" si="36"/>
        <v>165</v>
      </c>
      <c r="AI19">
        <f t="shared" si="37"/>
        <v>205</v>
      </c>
      <c r="AJ19">
        <f t="shared" si="38"/>
        <v>247</v>
      </c>
      <c r="AK19">
        <f t="shared" si="39"/>
        <v>288</v>
      </c>
      <c r="AL19">
        <f t="shared" si="40"/>
        <v>331</v>
      </c>
      <c r="AM19">
        <f t="shared" si="41"/>
        <v>368</v>
      </c>
      <c r="AN19" s="1">
        <v>0.08</v>
      </c>
      <c r="AO19">
        <f t="shared" si="18"/>
        <v>192</v>
      </c>
      <c r="AP19">
        <f t="shared" si="19"/>
        <v>240</v>
      </c>
      <c r="AQ19">
        <f t="shared" si="20"/>
        <v>288</v>
      </c>
      <c r="AR19">
        <f t="shared" si="21"/>
        <v>336</v>
      </c>
      <c r="AS19">
        <f t="shared" si="22"/>
        <v>386</v>
      </c>
      <c r="AT19">
        <f t="shared" si="23"/>
        <v>431</v>
      </c>
      <c r="AU19" s="1"/>
    </row>
    <row r="20" spans="3:69" x14ac:dyDescent="0.2">
      <c r="C20" t="s">
        <v>26</v>
      </c>
      <c r="D20" s="7">
        <f>5729.578/7.5</f>
        <v>763.9437333333334</v>
      </c>
      <c r="E20" s="1">
        <v>3.9E-2</v>
      </c>
      <c r="F20">
        <f t="shared" si="60"/>
        <v>67</v>
      </c>
      <c r="G20">
        <f t="shared" si="61"/>
        <v>84</v>
      </c>
      <c r="H20">
        <f t="shared" si="62"/>
        <v>101</v>
      </c>
      <c r="I20">
        <f t="shared" si="63"/>
        <v>118</v>
      </c>
      <c r="J20">
        <f t="shared" si="64"/>
        <v>135</v>
      </c>
      <c r="K20">
        <f t="shared" si="65"/>
        <v>150</v>
      </c>
      <c r="L20" s="1">
        <v>4.9000000000000002E-2</v>
      </c>
      <c r="M20">
        <f t="shared" si="54"/>
        <v>90</v>
      </c>
      <c r="N20">
        <f t="shared" si="55"/>
        <v>112</v>
      </c>
      <c r="O20">
        <f t="shared" si="56"/>
        <v>135</v>
      </c>
      <c r="P20">
        <f t="shared" si="57"/>
        <v>157</v>
      </c>
      <c r="Q20">
        <f t="shared" si="58"/>
        <v>180</v>
      </c>
      <c r="R20">
        <f t="shared" si="59"/>
        <v>201</v>
      </c>
      <c r="S20" s="1">
        <v>5.8000000000000003E-2</v>
      </c>
      <c r="T20">
        <f t="shared" si="42"/>
        <v>113</v>
      </c>
      <c r="U20">
        <f t="shared" si="43"/>
        <v>140</v>
      </c>
      <c r="V20">
        <f t="shared" si="44"/>
        <v>169</v>
      </c>
      <c r="W20">
        <f t="shared" si="45"/>
        <v>197</v>
      </c>
      <c r="X20">
        <f t="shared" si="46"/>
        <v>226</v>
      </c>
      <c r="Y20">
        <f t="shared" si="47"/>
        <v>252</v>
      </c>
      <c r="Z20" s="1">
        <v>6.8000000000000005E-2</v>
      </c>
      <c r="AA20">
        <f t="shared" si="48"/>
        <v>141</v>
      </c>
      <c r="AB20">
        <f t="shared" si="49"/>
        <v>175</v>
      </c>
      <c r="AC20">
        <f t="shared" si="50"/>
        <v>211</v>
      </c>
      <c r="AD20">
        <f t="shared" si="51"/>
        <v>246</v>
      </c>
      <c r="AE20">
        <f t="shared" si="52"/>
        <v>283</v>
      </c>
      <c r="AF20">
        <f t="shared" si="53"/>
        <v>315</v>
      </c>
      <c r="AG20" s="1">
        <v>7.5999999999999998E-2</v>
      </c>
      <c r="AH20">
        <f t="shared" si="36"/>
        <v>169</v>
      </c>
      <c r="AI20">
        <f t="shared" si="37"/>
        <v>211</v>
      </c>
      <c r="AJ20">
        <f t="shared" si="38"/>
        <v>254</v>
      </c>
      <c r="AK20">
        <f t="shared" si="39"/>
        <v>296</v>
      </c>
      <c r="AL20">
        <f t="shared" si="40"/>
        <v>340</v>
      </c>
      <c r="AM20">
        <f t="shared" si="41"/>
        <v>378</v>
      </c>
      <c r="AN20" s="1">
        <v>0.08</v>
      </c>
      <c r="AO20">
        <f t="shared" si="18"/>
        <v>192</v>
      </c>
      <c r="AP20">
        <f t="shared" si="19"/>
        <v>240</v>
      </c>
      <c r="AQ20">
        <f t="shared" si="20"/>
        <v>288</v>
      </c>
      <c r="AR20">
        <f t="shared" si="21"/>
        <v>336</v>
      </c>
      <c r="AS20">
        <f t="shared" si="22"/>
        <v>386</v>
      </c>
      <c r="AT20">
        <f t="shared" si="23"/>
        <v>431</v>
      </c>
      <c r="AU20" s="1"/>
    </row>
    <row r="21" spans="3:69" x14ac:dyDescent="0.2">
      <c r="C21" t="s">
        <v>27</v>
      </c>
      <c r="D21" s="5">
        <f>5729.578/8</f>
        <v>716.19725000000005</v>
      </c>
      <c r="E21" s="1">
        <v>4.1000000000000002E-2</v>
      </c>
      <c r="F21">
        <f t="shared" si="60"/>
        <v>71</v>
      </c>
      <c r="G21">
        <f t="shared" si="61"/>
        <v>88</v>
      </c>
      <c r="H21">
        <f t="shared" si="62"/>
        <v>106</v>
      </c>
      <c r="I21">
        <f t="shared" si="63"/>
        <v>124</v>
      </c>
      <c r="J21">
        <f t="shared" si="64"/>
        <v>142</v>
      </c>
      <c r="K21">
        <f t="shared" si="65"/>
        <v>158</v>
      </c>
      <c r="L21" s="1">
        <v>5.0999999999999997E-2</v>
      </c>
      <c r="M21">
        <f t="shared" si="54"/>
        <v>94</v>
      </c>
      <c r="N21">
        <f t="shared" si="55"/>
        <v>116</v>
      </c>
      <c r="O21">
        <f t="shared" si="56"/>
        <v>140</v>
      </c>
      <c r="P21">
        <f t="shared" si="57"/>
        <v>163</v>
      </c>
      <c r="Q21">
        <f t="shared" si="58"/>
        <v>187</v>
      </c>
      <c r="R21">
        <f t="shared" si="59"/>
        <v>209</v>
      </c>
      <c r="S21" s="1">
        <v>0.06</v>
      </c>
      <c r="T21">
        <f t="shared" si="42"/>
        <v>116</v>
      </c>
      <c r="U21">
        <f t="shared" si="43"/>
        <v>145</v>
      </c>
      <c r="V21">
        <f t="shared" si="44"/>
        <v>174</v>
      </c>
      <c r="W21">
        <f t="shared" si="45"/>
        <v>203</v>
      </c>
      <c r="X21">
        <f t="shared" si="46"/>
        <v>233</v>
      </c>
      <c r="Y21">
        <f t="shared" si="47"/>
        <v>260</v>
      </c>
      <c r="Z21" s="1">
        <v>7.0000000000000007E-2</v>
      </c>
      <c r="AA21">
        <f t="shared" si="48"/>
        <v>145</v>
      </c>
      <c r="AB21">
        <f t="shared" si="49"/>
        <v>180</v>
      </c>
      <c r="AC21">
        <f t="shared" si="50"/>
        <v>217</v>
      </c>
      <c r="AD21">
        <f t="shared" si="51"/>
        <v>253</v>
      </c>
      <c r="AE21">
        <f t="shared" si="52"/>
        <v>291</v>
      </c>
      <c r="AF21">
        <f t="shared" si="53"/>
        <v>324</v>
      </c>
      <c r="AG21" s="1">
        <v>7.8E-2</v>
      </c>
      <c r="AH21">
        <f t="shared" si="36"/>
        <v>174</v>
      </c>
      <c r="AI21">
        <f t="shared" si="37"/>
        <v>216</v>
      </c>
      <c r="AJ21">
        <f t="shared" si="38"/>
        <v>260</v>
      </c>
      <c r="AK21">
        <f t="shared" si="39"/>
        <v>304</v>
      </c>
      <c r="AL21">
        <f t="shared" si="40"/>
        <v>349</v>
      </c>
      <c r="AM21">
        <f t="shared" si="41"/>
        <v>388</v>
      </c>
    </row>
    <row r="22" spans="3:69" x14ac:dyDescent="0.2">
      <c r="C22" t="s">
        <v>28</v>
      </c>
      <c r="D22" s="5">
        <f>5729.578/8.5</f>
        <v>674.0680000000001</v>
      </c>
      <c r="E22" s="1">
        <v>4.2000000000000003E-2</v>
      </c>
      <c r="F22">
        <f t="shared" si="60"/>
        <v>73</v>
      </c>
      <c r="G22">
        <f t="shared" si="61"/>
        <v>90</v>
      </c>
      <c r="H22">
        <f t="shared" si="62"/>
        <v>109</v>
      </c>
      <c r="I22">
        <f t="shared" si="63"/>
        <v>127</v>
      </c>
      <c r="J22">
        <f t="shared" si="64"/>
        <v>145</v>
      </c>
      <c r="K22">
        <f t="shared" si="65"/>
        <v>162</v>
      </c>
      <c r="L22" s="1">
        <v>5.1999999999999998E-2</v>
      </c>
      <c r="M22">
        <f t="shared" si="54"/>
        <v>95</v>
      </c>
      <c r="N22">
        <f t="shared" si="55"/>
        <v>119</v>
      </c>
      <c r="O22">
        <f t="shared" si="56"/>
        <v>143</v>
      </c>
      <c r="P22">
        <f t="shared" si="57"/>
        <v>166</v>
      </c>
      <c r="Q22">
        <f t="shared" si="58"/>
        <v>191</v>
      </c>
      <c r="R22">
        <f t="shared" si="59"/>
        <v>213</v>
      </c>
      <c r="S22" s="1">
        <v>6.2E-2</v>
      </c>
      <c r="T22">
        <f t="shared" si="42"/>
        <v>120</v>
      </c>
      <c r="U22">
        <f t="shared" si="43"/>
        <v>150</v>
      </c>
      <c r="V22">
        <f t="shared" si="44"/>
        <v>180</v>
      </c>
      <c r="W22">
        <f t="shared" si="45"/>
        <v>210</v>
      </c>
      <c r="X22">
        <f t="shared" si="46"/>
        <v>241</v>
      </c>
      <c r="Y22">
        <f t="shared" si="47"/>
        <v>269</v>
      </c>
      <c r="Z22" s="1">
        <v>7.1999999999999995E-2</v>
      </c>
      <c r="AA22">
        <f t="shared" si="48"/>
        <v>149</v>
      </c>
      <c r="AB22">
        <f t="shared" si="49"/>
        <v>186</v>
      </c>
      <c r="AC22">
        <f t="shared" si="50"/>
        <v>223</v>
      </c>
      <c r="AD22">
        <f t="shared" si="51"/>
        <v>261</v>
      </c>
      <c r="AE22">
        <f t="shared" si="52"/>
        <v>299</v>
      </c>
      <c r="AF22">
        <f t="shared" si="53"/>
        <v>333</v>
      </c>
      <c r="AG22" s="1">
        <v>7.9000000000000001E-2</v>
      </c>
      <c r="AH22">
        <f t="shared" si="36"/>
        <v>176</v>
      </c>
      <c r="AI22">
        <f t="shared" si="37"/>
        <v>219</v>
      </c>
      <c r="AJ22">
        <f t="shared" si="38"/>
        <v>264</v>
      </c>
      <c r="AK22">
        <f t="shared" si="39"/>
        <v>307</v>
      </c>
      <c r="AL22">
        <f t="shared" si="40"/>
        <v>353</v>
      </c>
      <c r="AM22">
        <f t="shared" si="41"/>
        <v>393</v>
      </c>
    </row>
    <row r="23" spans="3:69" x14ac:dyDescent="0.2">
      <c r="C23" t="s">
        <v>29</v>
      </c>
      <c r="D23" s="5">
        <f>5729.578/9</f>
        <v>636.61977777777781</v>
      </c>
      <c r="E23" s="1">
        <v>4.3999999999999997E-2</v>
      </c>
      <c r="F23">
        <f t="shared" si="60"/>
        <v>76</v>
      </c>
      <c r="G23">
        <f t="shared" si="61"/>
        <v>95</v>
      </c>
      <c r="H23">
        <f t="shared" si="62"/>
        <v>114</v>
      </c>
      <c r="I23">
        <f t="shared" si="63"/>
        <v>133</v>
      </c>
      <c r="J23">
        <f t="shared" si="64"/>
        <v>152</v>
      </c>
      <c r="K23">
        <f t="shared" si="65"/>
        <v>170</v>
      </c>
      <c r="L23" s="1">
        <v>5.3999999999999999E-2</v>
      </c>
      <c r="M23">
        <f t="shared" si="54"/>
        <v>99</v>
      </c>
      <c r="N23">
        <f t="shared" si="55"/>
        <v>123</v>
      </c>
      <c r="O23">
        <f t="shared" si="56"/>
        <v>148</v>
      </c>
      <c r="P23">
        <f t="shared" si="57"/>
        <v>173</v>
      </c>
      <c r="Q23">
        <f t="shared" si="58"/>
        <v>198</v>
      </c>
      <c r="R23">
        <f t="shared" si="59"/>
        <v>221</v>
      </c>
      <c r="S23" s="1">
        <v>6.4000000000000001E-2</v>
      </c>
      <c r="T23">
        <f t="shared" si="42"/>
        <v>124</v>
      </c>
      <c r="U23">
        <f t="shared" si="43"/>
        <v>154</v>
      </c>
      <c r="V23">
        <f t="shared" si="44"/>
        <v>186</v>
      </c>
      <c r="W23">
        <f t="shared" si="45"/>
        <v>217</v>
      </c>
      <c r="X23">
        <f t="shared" si="46"/>
        <v>249</v>
      </c>
      <c r="Y23">
        <f t="shared" si="47"/>
        <v>277</v>
      </c>
      <c r="Z23" s="1">
        <v>7.3999999999999996E-2</v>
      </c>
      <c r="AA23">
        <f t="shared" si="48"/>
        <v>153</v>
      </c>
      <c r="AB23">
        <f t="shared" si="49"/>
        <v>191</v>
      </c>
      <c r="AC23">
        <f t="shared" si="50"/>
        <v>230</v>
      </c>
      <c r="AD23">
        <f t="shared" si="51"/>
        <v>268</v>
      </c>
      <c r="AE23">
        <f t="shared" si="52"/>
        <v>307</v>
      </c>
      <c r="AF23">
        <f t="shared" si="53"/>
        <v>343</v>
      </c>
      <c r="AG23" s="1">
        <v>0.08</v>
      </c>
      <c r="AH23">
        <f t="shared" si="36"/>
        <v>178</v>
      </c>
      <c r="AI23">
        <f t="shared" si="37"/>
        <v>222</v>
      </c>
      <c r="AJ23">
        <f t="shared" si="38"/>
        <v>267</v>
      </c>
      <c r="AK23">
        <f t="shared" si="39"/>
        <v>311</v>
      </c>
      <c r="AL23">
        <f t="shared" si="40"/>
        <v>357</v>
      </c>
      <c r="AM23">
        <f t="shared" si="41"/>
        <v>398</v>
      </c>
    </row>
    <row r="24" spans="3:69" x14ac:dyDescent="0.2">
      <c r="C24" t="s">
        <v>30</v>
      </c>
      <c r="D24" s="7">
        <f>5729.578/9.5</f>
        <v>603.11347368421059</v>
      </c>
      <c r="E24" s="1">
        <v>4.5999999999999999E-2</v>
      </c>
      <c r="F24">
        <f t="shared" si="60"/>
        <v>79</v>
      </c>
      <c r="G24">
        <f t="shared" si="61"/>
        <v>99</v>
      </c>
      <c r="H24">
        <f t="shared" si="62"/>
        <v>119</v>
      </c>
      <c r="I24">
        <f t="shared" si="63"/>
        <v>139</v>
      </c>
      <c r="J24">
        <f t="shared" si="64"/>
        <v>159</v>
      </c>
      <c r="K24">
        <f t="shared" si="65"/>
        <v>177</v>
      </c>
      <c r="L24" s="1">
        <v>5.5E-2</v>
      </c>
      <c r="M24">
        <f t="shared" si="54"/>
        <v>101</v>
      </c>
      <c r="N24">
        <f t="shared" si="55"/>
        <v>125</v>
      </c>
      <c r="O24">
        <f t="shared" si="56"/>
        <v>151</v>
      </c>
      <c r="P24">
        <f t="shared" si="57"/>
        <v>176</v>
      </c>
      <c r="Q24">
        <f t="shared" si="58"/>
        <v>202</v>
      </c>
      <c r="R24">
        <f t="shared" si="59"/>
        <v>225</v>
      </c>
      <c r="S24" s="1">
        <v>6.6000000000000003E-2</v>
      </c>
      <c r="T24">
        <f t="shared" si="42"/>
        <v>128</v>
      </c>
      <c r="U24">
        <f t="shared" si="43"/>
        <v>159</v>
      </c>
      <c r="V24">
        <f t="shared" si="44"/>
        <v>192</v>
      </c>
      <c r="W24">
        <f t="shared" si="45"/>
        <v>224</v>
      </c>
      <c r="X24">
        <f t="shared" si="46"/>
        <v>257</v>
      </c>
      <c r="Y24">
        <f t="shared" si="47"/>
        <v>286</v>
      </c>
      <c r="Z24" s="1">
        <v>7.4999999999999997E-2</v>
      </c>
      <c r="AA24">
        <f t="shared" si="48"/>
        <v>155</v>
      </c>
      <c r="AB24">
        <f t="shared" si="49"/>
        <v>193</v>
      </c>
      <c r="AC24">
        <f t="shared" si="50"/>
        <v>233</v>
      </c>
      <c r="AD24">
        <f t="shared" si="51"/>
        <v>271</v>
      </c>
      <c r="AE24">
        <f t="shared" si="52"/>
        <v>312</v>
      </c>
      <c r="AF24">
        <f t="shared" si="53"/>
        <v>347</v>
      </c>
      <c r="AG24" s="1">
        <v>0.08</v>
      </c>
      <c r="AH24">
        <f t="shared" si="36"/>
        <v>178</v>
      </c>
      <c r="AI24">
        <f t="shared" si="37"/>
        <v>222</v>
      </c>
      <c r="AJ24">
        <f t="shared" si="38"/>
        <v>267</v>
      </c>
      <c r="AK24">
        <f t="shared" si="39"/>
        <v>311</v>
      </c>
      <c r="AL24">
        <f t="shared" si="40"/>
        <v>357</v>
      </c>
      <c r="AM24">
        <f t="shared" si="41"/>
        <v>398</v>
      </c>
    </row>
    <row r="25" spans="3:69" x14ac:dyDescent="0.2">
      <c r="C25" t="s">
        <v>31</v>
      </c>
      <c r="D25" s="5">
        <f>5729.578/10</f>
        <v>572.95780000000002</v>
      </c>
      <c r="E25" s="1">
        <v>4.7E-2</v>
      </c>
      <c r="F25">
        <f t="shared" si="60"/>
        <v>81</v>
      </c>
      <c r="G25">
        <f t="shared" si="61"/>
        <v>101</v>
      </c>
      <c r="H25">
        <f t="shared" si="62"/>
        <v>121</v>
      </c>
      <c r="I25">
        <f t="shared" si="63"/>
        <v>142</v>
      </c>
      <c r="J25">
        <f t="shared" si="64"/>
        <v>163</v>
      </c>
      <c r="K25">
        <f t="shared" si="65"/>
        <v>181</v>
      </c>
      <c r="L25" s="1">
        <v>5.7000000000000002E-2</v>
      </c>
      <c r="M25">
        <f t="shared" si="54"/>
        <v>104</v>
      </c>
      <c r="N25">
        <f t="shared" si="55"/>
        <v>130</v>
      </c>
      <c r="O25">
        <f t="shared" si="56"/>
        <v>156</v>
      </c>
      <c r="P25">
        <f t="shared" si="57"/>
        <v>182</v>
      </c>
      <c r="Q25">
        <f t="shared" si="58"/>
        <v>209</v>
      </c>
      <c r="R25">
        <f t="shared" si="59"/>
        <v>233</v>
      </c>
      <c r="S25" s="1">
        <v>6.7000000000000004E-2</v>
      </c>
      <c r="T25">
        <f t="shared" si="42"/>
        <v>130</v>
      </c>
      <c r="U25">
        <f t="shared" si="43"/>
        <v>162</v>
      </c>
      <c r="V25">
        <f t="shared" si="44"/>
        <v>195</v>
      </c>
      <c r="W25">
        <f t="shared" si="45"/>
        <v>227</v>
      </c>
      <c r="X25">
        <f t="shared" si="46"/>
        <v>261</v>
      </c>
      <c r="Y25">
        <f t="shared" si="47"/>
        <v>290</v>
      </c>
      <c r="Z25" s="1">
        <v>7.6999999999999999E-2</v>
      </c>
      <c r="AA25">
        <f t="shared" si="48"/>
        <v>159</v>
      </c>
      <c r="AB25">
        <f t="shared" si="49"/>
        <v>198</v>
      </c>
      <c r="AC25">
        <f t="shared" si="50"/>
        <v>239</v>
      </c>
      <c r="AD25">
        <f t="shared" si="51"/>
        <v>279</v>
      </c>
      <c r="AE25">
        <f t="shared" si="52"/>
        <v>320</v>
      </c>
      <c r="AF25">
        <f t="shared" si="53"/>
        <v>356</v>
      </c>
      <c r="AG25" s="1"/>
    </row>
    <row r="26" spans="3:69" x14ac:dyDescent="0.2">
      <c r="C26" t="s">
        <v>32</v>
      </c>
      <c r="D26" s="5">
        <f>5729.578/10.5</f>
        <v>545.67409523809533</v>
      </c>
      <c r="E26" s="1">
        <v>4.8000000000000001E-2</v>
      </c>
      <c r="F26">
        <f t="shared" si="60"/>
        <v>83</v>
      </c>
      <c r="G26">
        <f t="shared" si="61"/>
        <v>103</v>
      </c>
      <c r="H26">
        <f t="shared" si="62"/>
        <v>124</v>
      </c>
      <c r="I26">
        <f t="shared" si="63"/>
        <v>145</v>
      </c>
      <c r="J26">
        <f t="shared" si="64"/>
        <v>166</v>
      </c>
      <c r="K26">
        <f t="shared" si="65"/>
        <v>185</v>
      </c>
      <c r="L26" s="1">
        <v>5.8000000000000003E-2</v>
      </c>
      <c r="M26">
        <f t="shared" si="54"/>
        <v>106</v>
      </c>
      <c r="N26">
        <f t="shared" si="55"/>
        <v>132</v>
      </c>
      <c r="O26">
        <f t="shared" si="56"/>
        <v>159</v>
      </c>
      <c r="P26">
        <f t="shared" si="57"/>
        <v>186</v>
      </c>
      <c r="Q26">
        <f t="shared" si="58"/>
        <v>213</v>
      </c>
      <c r="R26">
        <f t="shared" si="59"/>
        <v>237</v>
      </c>
      <c r="S26" s="1">
        <v>6.9000000000000006E-2</v>
      </c>
      <c r="T26">
        <f t="shared" si="42"/>
        <v>134</v>
      </c>
      <c r="U26">
        <f t="shared" si="43"/>
        <v>166</v>
      </c>
      <c r="V26">
        <f t="shared" si="44"/>
        <v>200</v>
      </c>
      <c r="W26">
        <f t="shared" si="45"/>
        <v>234</v>
      </c>
      <c r="X26">
        <f t="shared" si="46"/>
        <v>268</v>
      </c>
      <c r="Y26">
        <f t="shared" si="47"/>
        <v>299</v>
      </c>
      <c r="Z26" s="1">
        <v>7.8E-2</v>
      </c>
      <c r="AA26">
        <f t="shared" si="48"/>
        <v>161</v>
      </c>
      <c r="AB26">
        <f t="shared" si="49"/>
        <v>201</v>
      </c>
      <c r="AC26">
        <f t="shared" si="50"/>
        <v>242</v>
      </c>
      <c r="AD26">
        <f t="shared" si="51"/>
        <v>282</v>
      </c>
      <c r="AE26">
        <f t="shared" si="52"/>
        <v>324</v>
      </c>
      <c r="AF26">
        <f t="shared" si="53"/>
        <v>361</v>
      </c>
      <c r="AG26" s="1"/>
    </row>
    <row r="27" spans="3:69" x14ac:dyDescent="0.2">
      <c r="C27" t="s">
        <v>33</v>
      </c>
      <c r="D27" s="5">
        <f>5729.578/11</f>
        <v>520.87072727272732</v>
      </c>
      <c r="E27" s="1">
        <v>4.9000000000000002E-2</v>
      </c>
      <c r="F27">
        <f t="shared" si="60"/>
        <v>85</v>
      </c>
      <c r="G27">
        <f t="shared" si="61"/>
        <v>105</v>
      </c>
      <c r="H27">
        <f t="shared" si="62"/>
        <v>127</v>
      </c>
      <c r="I27">
        <f t="shared" si="63"/>
        <v>148</v>
      </c>
      <c r="J27">
        <f t="shared" si="64"/>
        <v>170</v>
      </c>
      <c r="K27">
        <f t="shared" si="65"/>
        <v>189</v>
      </c>
      <c r="L27" s="1">
        <v>5.8999999999999997E-2</v>
      </c>
      <c r="M27">
        <f t="shared" si="54"/>
        <v>108</v>
      </c>
      <c r="N27">
        <f t="shared" si="55"/>
        <v>134</v>
      </c>
      <c r="O27">
        <f t="shared" si="56"/>
        <v>162</v>
      </c>
      <c r="P27">
        <f t="shared" si="57"/>
        <v>189</v>
      </c>
      <c r="Q27">
        <f t="shared" si="58"/>
        <v>217</v>
      </c>
      <c r="R27">
        <f t="shared" si="59"/>
        <v>242</v>
      </c>
      <c r="S27" s="1">
        <v>7.0000000000000007E-2</v>
      </c>
      <c r="T27">
        <f t="shared" si="42"/>
        <v>136</v>
      </c>
      <c r="U27">
        <f t="shared" si="43"/>
        <v>169</v>
      </c>
      <c r="V27">
        <f t="shared" si="44"/>
        <v>203</v>
      </c>
      <c r="W27">
        <f t="shared" si="45"/>
        <v>237</v>
      </c>
      <c r="X27">
        <f t="shared" si="46"/>
        <v>272</v>
      </c>
      <c r="Y27">
        <f t="shared" si="47"/>
        <v>303</v>
      </c>
      <c r="Z27" s="1">
        <v>7.9000000000000001E-2</v>
      </c>
      <c r="AA27">
        <f t="shared" si="48"/>
        <v>164</v>
      </c>
      <c r="AB27">
        <f t="shared" si="49"/>
        <v>204</v>
      </c>
      <c r="AC27">
        <f t="shared" si="50"/>
        <v>245</v>
      </c>
      <c r="AD27">
        <f t="shared" si="51"/>
        <v>286</v>
      </c>
      <c r="AE27">
        <f t="shared" si="52"/>
        <v>328</v>
      </c>
      <c r="AF27">
        <f t="shared" si="53"/>
        <v>366</v>
      </c>
      <c r="AG27" s="1"/>
    </row>
    <row r="28" spans="3:69" x14ac:dyDescent="0.2">
      <c r="C28" t="s">
        <v>34</v>
      </c>
      <c r="D28" s="5">
        <f>5729.578/11.5</f>
        <v>498.2241739130435</v>
      </c>
      <c r="E28" s="1">
        <v>0.05</v>
      </c>
      <c r="F28">
        <f t="shared" si="60"/>
        <v>86</v>
      </c>
      <c r="G28">
        <f t="shared" si="61"/>
        <v>107</v>
      </c>
      <c r="H28">
        <f t="shared" si="62"/>
        <v>129</v>
      </c>
      <c r="I28">
        <f t="shared" si="63"/>
        <v>151</v>
      </c>
      <c r="J28">
        <f t="shared" si="64"/>
        <v>173</v>
      </c>
      <c r="K28">
        <f t="shared" si="65"/>
        <v>193</v>
      </c>
      <c r="L28" s="1">
        <v>6.0999999999999999E-2</v>
      </c>
      <c r="M28">
        <f t="shared" si="54"/>
        <v>112</v>
      </c>
      <c r="N28">
        <f t="shared" si="55"/>
        <v>139</v>
      </c>
      <c r="O28">
        <f t="shared" si="56"/>
        <v>167</v>
      </c>
      <c r="P28">
        <f t="shared" si="57"/>
        <v>195</v>
      </c>
      <c r="Q28">
        <f t="shared" si="58"/>
        <v>224</v>
      </c>
      <c r="R28">
        <f t="shared" si="59"/>
        <v>250</v>
      </c>
      <c r="S28" s="1">
        <v>7.0999999999999994E-2</v>
      </c>
      <c r="T28">
        <f t="shared" si="42"/>
        <v>138</v>
      </c>
      <c r="U28">
        <f t="shared" si="43"/>
        <v>171</v>
      </c>
      <c r="V28">
        <f t="shared" si="44"/>
        <v>206</v>
      </c>
      <c r="W28">
        <f t="shared" si="45"/>
        <v>241</v>
      </c>
      <c r="X28">
        <f t="shared" si="46"/>
        <v>276</v>
      </c>
      <c r="Y28">
        <f t="shared" si="47"/>
        <v>308</v>
      </c>
      <c r="Z28" s="1">
        <v>7.9000000000000001E-2</v>
      </c>
      <c r="AA28">
        <f t="shared" si="48"/>
        <v>164</v>
      </c>
      <c r="AB28">
        <f t="shared" si="49"/>
        <v>204</v>
      </c>
      <c r="AC28">
        <f t="shared" si="50"/>
        <v>245</v>
      </c>
      <c r="AD28">
        <f t="shared" si="51"/>
        <v>286</v>
      </c>
      <c r="AE28">
        <f t="shared" si="52"/>
        <v>328</v>
      </c>
      <c r="AF28">
        <f t="shared" si="53"/>
        <v>366</v>
      </c>
      <c r="AG28" s="1"/>
    </row>
    <row r="29" spans="3:69" x14ac:dyDescent="0.2">
      <c r="C29" t="s">
        <v>35</v>
      </c>
      <c r="D29" s="5">
        <f>5729.578/12</f>
        <v>477.46483333333339</v>
      </c>
      <c r="E29" s="1">
        <v>5.0999999999999997E-2</v>
      </c>
      <c r="F29">
        <f t="shared" si="60"/>
        <v>88</v>
      </c>
      <c r="G29">
        <f t="shared" si="61"/>
        <v>109</v>
      </c>
      <c r="H29">
        <f t="shared" si="62"/>
        <v>132</v>
      </c>
      <c r="I29">
        <f t="shared" si="63"/>
        <v>154</v>
      </c>
      <c r="J29">
        <f t="shared" si="64"/>
        <v>176</v>
      </c>
      <c r="K29">
        <f t="shared" si="65"/>
        <v>197</v>
      </c>
      <c r="L29" s="1">
        <v>6.2E-2</v>
      </c>
      <c r="M29">
        <f t="shared" si="54"/>
        <v>114</v>
      </c>
      <c r="N29">
        <f t="shared" si="55"/>
        <v>141</v>
      </c>
      <c r="O29">
        <f t="shared" si="56"/>
        <v>170</v>
      </c>
      <c r="P29">
        <f t="shared" si="57"/>
        <v>198</v>
      </c>
      <c r="Q29">
        <f t="shared" si="58"/>
        <v>228</v>
      </c>
      <c r="R29">
        <f t="shared" si="59"/>
        <v>254</v>
      </c>
      <c r="S29" s="1">
        <v>7.2999999999999995E-2</v>
      </c>
      <c r="T29">
        <f t="shared" si="42"/>
        <v>142</v>
      </c>
      <c r="U29">
        <f t="shared" si="43"/>
        <v>176</v>
      </c>
      <c r="V29">
        <f t="shared" si="44"/>
        <v>212</v>
      </c>
      <c r="W29">
        <f t="shared" si="45"/>
        <v>247</v>
      </c>
      <c r="X29">
        <f t="shared" si="46"/>
        <v>284</v>
      </c>
      <c r="Y29">
        <f t="shared" si="47"/>
        <v>316</v>
      </c>
      <c r="Z29" s="1">
        <v>0.08</v>
      </c>
      <c r="AA29">
        <f t="shared" si="48"/>
        <v>166</v>
      </c>
      <c r="AB29">
        <f t="shared" si="49"/>
        <v>206</v>
      </c>
      <c r="AC29">
        <f t="shared" si="50"/>
        <v>248</v>
      </c>
      <c r="AD29">
        <f t="shared" si="51"/>
        <v>289</v>
      </c>
      <c r="AE29">
        <f t="shared" si="52"/>
        <v>332</v>
      </c>
      <c r="AF29">
        <f t="shared" si="53"/>
        <v>370</v>
      </c>
      <c r="AG29" s="1"/>
    </row>
    <row r="30" spans="3:69" x14ac:dyDescent="0.2">
      <c r="C30" t="s">
        <v>36</v>
      </c>
      <c r="D30" s="7">
        <f>5729.578/12.5</f>
        <v>458.36624000000006</v>
      </c>
      <c r="E30" s="1">
        <v>5.1999999999999998E-2</v>
      </c>
      <c r="F30">
        <f t="shared" si="60"/>
        <v>90</v>
      </c>
      <c r="G30">
        <f t="shared" si="61"/>
        <v>112</v>
      </c>
      <c r="H30">
        <f t="shared" si="62"/>
        <v>134</v>
      </c>
      <c r="I30">
        <f t="shared" si="63"/>
        <v>157</v>
      </c>
      <c r="J30">
        <f t="shared" si="64"/>
        <v>180</v>
      </c>
      <c r="K30">
        <f t="shared" si="65"/>
        <v>200</v>
      </c>
      <c r="L30" s="1">
        <v>6.3E-2</v>
      </c>
      <c r="M30">
        <f t="shared" si="54"/>
        <v>115</v>
      </c>
      <c r="N30">
        <f t="shared" si="55"/>
        <v>144</v>
      </c>
      <c r="O30">
        <f t="shared" si="56"/>
        <v>173</v>
      </c>
      <c r="P30">
        <f t="shared" si="57"/>
        <v>202</v>
      </c>
      <c r="Q30">
        <f t="shared" si="58"/>
        <v>231</v>
      </c>
      <c r="R30">
        <f t="shared" si="59"/>
        <v>258</v>
      </c>
      <c r="S30" s="1">
        <v>7.3999999999999996E-2</v>
      </c>
      <c r="T30">
        <f t="shared" si="42"/>
        <v>143</v>
      </c>
      <c r="U30">
        <f t="shared" si="43"/>
        <v>178</v>
      </c>
      <c r="V30">
        <f t="shared" si="44"/>
        <v>215</v>
      </c>
      <c r="W30">
        <f t="shared" si="45"/>
        <v>251</v>
      </c>
      <c r="X30">
        <f t="shared" si="46"/>
        <v>288</v>
      </c>
      <c r="Y30">
        <f t="shared" si="47"/>
        <v>321</v>
      </c>
      <c r="Z30" s="1">
        <v>0.08</v>
      </c>
      <c r="AA30">
        <f t="shared" si="48"/>
        <v>166</v>
      </c>
      <c r="AB30">
        <f t="shared" si="49"/>
        <v>206</v>
      </c>
      <c r="AC30">
        <f t="shared" si="50"/>
        <v>248</v>
      </c>
      <c r="AD30">
        <f t="shared" si="51"/>
        <v>289</v>
      </c>
      <c r="AE30">
        <f t="shared" si="52"/>
        <v>332</v>
      </c>
      <c r="AF30">
        <f t="shared" si="53"/>
        <v>370</v>
      </c>
      <c r="AG30" s="1"/>
    </row>
    <row r="31" spans="3:69" x14ac:dyDescent="0.2">
      <c r="C31" t="s">
        <v>37</v>
      </c>
      <c r="D31" s="5">
        <f>5729.578/13</f>
        <v>440.73676923076926</v>
      </c>
      <c r="E31" s="1">
        <v>5.2999999999999999E-2</v>
      </c>
      <c r="F31">
        <f t="shared" si="60"/>
        <v>91</v>
      </c>
      <c r="G31">
        <f t="shared" si="61"/>
        <v>114</v>
      </c>
      <c r="H31">
        <f t="shared" si="62"/>
        <v>137</v>
      </c>
      <c r="I31">
        <f t="shared" si="63"/>
        <v>160</v>
      </c>
      <c r="J31">
        <f t="shared" si="64"/>
        <v>183</v>
      </c>
      <c r="K31">
        <f t="shared" si="65"/>
        <v>204</v>
      </c>
      <c r="L31" s="1">
        <v>6.4000000000000001E-2</v>
      </c>
      <c r="M31">
        <f t="shared" si="54"/>
        <v>117</v>
      </c>
      <c r="N31">
        <f t="shared" si="55"/>
        <v>146</v>
      </c>
      <c r="O31">
        <f t="shared" si="56"/>
        <v>176</v>
      </c>
      <c r="P31">
        <f t="shared" si="57"/>
        <v>205</v>
      </c>
      <c r="Q31">
        <f t="shared" si="58"/>
        <v>235</v>
      </c>
      <c r="R31">
        <f t="shared" si="59"/>
        <v>262</v>
      </c>
      <c r="S31" s="1">
        <v>7.4999999999999997E-2</v>
      </c>
      <c r="T31">
        <f t="shared" si="42"/>
        <v>145</v>
      </c>
      <c r="U31">
        <f t="shared" si="43"/>
        <v>181</v>
      </c>
      <c r="V31">
        <f t="shared" si="44"/>
        <v>218</v>
      </c>
      <c r="W31">
        <f t="shared" si="45"/>
        <v>254</v>
      </c>
      <c r="X31">
        <f t="shared" si="46"/>
        <v>292</v>
      </c>
      <c r="Y31">
        <f t="shared" si="47"/>
        <v>325</v>
      </c>
      <c r="Z31" s="1"/>
    </row>
    <row r="32" spans="3:69" x14ac:dyDescent="0.2">
      <c r="C32" t="s">
        <v>38</v>
      </c>
      <c r="D32" s="5">
        <f>5729.578/13.5</f>
        <v>424.41318518518523</v>
      </c>
      <c r="E32" s="1">
        <v>5.3999999999999999E-2</v>
      </c>
      <c r="F32">
        <f t="shared" si="60"/>
        <v>93</v>
      </c>
      <c r="G32">
        <f t="shared" si="61"/>
        <v>116</v>
      </c>
      <c r="H32">
        <f t="shared" si="62"/>
        <v>139</v>
      </c>
      <c r="I32">
        <f t="shared" si="63"/>
        <v>163</v>
      </c>
      <c r="J32">
        <f t="shared" si="64"/>
        <v>187</v>
      </c>
      <c r="K32">
        <f t="shared" si="65"/>
        <v>208</v>
      </c>
      <c r="L32" s="1">
        <v>6.6000000000000003E-2</v>
      </c>
      <c r="M32">
        <f t="shared" si="54"/>
        <v>121</v>
      </c>
      <c r="N32">
        <f t="shared" si="55"/>
        <v>150</v>
      </c>
      <c r="O32">
        <f t="shared" si="56"/>
        <v>181</v>
      </c>
      <c r="P32">
        <f t="shared" si="57"/>
        <v>211</v>
      </c>
      <c r="Q32">
        <f t="shared" si="58"/>
        <v>242</v>
      </c>
      <c r="R32">
        <f t="shared" si="59"/>
        <v>270</v>
      </c>
      <c r="S32" s="1">
        <v>7.5999999999999998E-2</v>
      </c>
      <c r="T32">
        <f t="shared" si="42"/>
        <v>147</v>
      </c>
      <c r="U32">
        <f t="shared" si="43"/>
        <v>183</v>
      </c>
      <c r="V32">
        <f t="shared" si="44"/>
        <v>221</v>
      </c>
      <c r="W32">
        <f t="shared" si="45"/>
        <v>257</v>
      </c>
      <c r="X32">
        <f t="shared" si="46"/>
        <v>296</v>
      </c>
      <c r="Y32">
        <f t="shared" si="47"/>
        <v>329</v>
      </c>
      <c r="Z32" s="1"/>
    </row>
    <row r="33" spans="3:26" x14ac:dyDescent="0.2">
      <c r="C33" t="s">
        <v>39</v>
      </c>
      <c r="D33" s="5">
        <f>5729.578/14</f>
        <v>409.25557142857144</v>
      </c>
      <c r="E33" s="1">
        <v>5.5E-2</v>
      </c>
      <c r="F33">
        <f t="shared" si="60"/>
        <v>95</v>
      </c>
      <c r="G33">
        <f t="shared" si="61"/>
        <v>118</v>
      </c>
      <c r="H33">
        <f t="shared" si="62"/>
        <v>142</v>
      </c>
      <c r="I33">
        <f t="shared" si="63"/>
        <v>166</v>
      </c>
      <c r="J33">
        <f t="shared" si="64"/>
        <v>190</v>
      </c>
      <c r="K33">
        <f t="shared" si="65"/>
        <v>212</v>
      </c>
      <c r="L33" s="1">
        <v>6.7000000000000004E-2</v>
      </c>
      <c r="M33">
        <f t="shared" si="54"/>
        <v>123</v>
      </c>
      <c r="N33">
        <f t="shared" si="55"/>
        <v>153</v>
      </c>
      <c r="O33">
        <f t="shared" si="56"/>
        <v>184</v>
      </c>
      <c r="P33">
        <f t="shared" si="57"/>
        <v>214</v>
      </c>
      <c r="Q33">
        <f t="shared" si="58"/>
        <v>246</v>
      </c>
      <c r="R33">
        <f t="shared" si="59"/>
        <v>274</v>
      </c>
      <c r="S33" s="1">
        <v>7.6999999999999999E-2</v>
      </c>
      <c r="T33">
        <f t="shared" si="42"/>
        <v>149</v>
      </c>
      <c r="U33">
        <f t="shared" si="43"/>
        <v>186</v>
      </c>
      <c r="V33">
        <f t="shared" si="44"/>
        <v>224</v>
      </c>
      <c r="W33">
        <f t="shared" si="45"/>
        <v>261</v>
      </c>
      <c r="X33">
        <f t="shared" si="46"/>
        <v>300</v>
      </c>
      <c r="Y33">
        <f t="shared" si="47"/>
        <v>334</v>
      </c>
      <c r="Z33" s="1"/>
    </row>
    <row r="34" spans="3:26" x14ac:dyDescent="0.2">
      <c r="C34" t="s">
        <v>40</v>
      </c>
      <c r="D34" s="5">
        <f>5729.578/14.5</f>
        <v>395.14331034482763</v>
      </c>
      <c r="E34" s="1">
        <v>5.6000000000000001E-2</v>
      </c>
      <c r="F34">
        <f t="shared" si="60"/>
        <v>97</v>
      </c>
      <c r="G34">
        <f t="shared" si="61"/>
        <v>120</v>
      </c>
      <c r="H34">
        <f t="shared" si="62"/>
        <v>145</v>
      </c>
      <c r="I34">
        <f t="shared" si="63"/>
        <v>169</v>
      </c>
      <c r="J34">
        <f t="shared" si="64"/>
        <v>194</v>
      </c>
      <c r="K34">
        <f t="shared" si="65"/>
        <v>216</v>
      </c>
      <c r="L34" s="1">
        <v>6.8000000000000005E-2</v>
      </c>
      <c r="M34">
        <f t="shared" si="54"/>
        <v>125</v>
      </c>
      <c r="N34">
        <f t="shared" si="55"/>
        <v>155</v>
      </c>
      <c r="O34">
        <f t="shared" si="56"/>
        <v>187</v>
      </c>
      <c r="P34">
        <f t="shared" si="57"/>
        <v>218</v>
      </c>
      <c r="Q34">
        <f t="shared" si="58"/>
        <v>250</v>
      </c>
      <c r="R34">
        <f t="shared" si="59"/>
        <v>278</v>
      </c>
      <c r="S34" s="1">
        <v>7.6999999999999999E-2</v>
      </c>
      <c r="T34">
        <f t="shared" si="42"/>
        <v>149</v>
      </c>
      <c r="U34">
        <f t="shared" si="43"/>
        <v>186</v>
      </c>
      <c r="V34">
        <f t="shared" si="44"/>
        <v>224</v>
      </c>
      <c r="W34">
        <f t="shared" si="45"/>
        <v>261</v>
      </c>
      <c r="X34">
        <f t="shared" si="46"/>
        <v>300</v>
      </c>
      <c r="Y34">
        <f t="shared" si="47"/>
        <v>334</v>
      </c>
      <c r="Z34" s="1"/>
    </row>
    <row r="35" spans="3:26" x14ac:dyDescent="0.2">
      <c r="C35" t="s">
        <v>41</v>
      </c>
      <c r="D35" s="5">
        <f>5729.578/15</f>
        <v>381.9718666666667</v>
      </c>
      <c r="E35" s="1">
        <v>5.7000000000000002E-2</v>
      </c>
      <c r="F35">
        <f t="shared" si="60"/>
        <v>98</v>
      </c>
      <c r="G35">
        <f t="shared" si="61"/>
        <v>122</v>
      </c>
      <c r="H35">
        <f t="shared" si="62"/>
        <v>147</v>
      </c>
      <c r="I35">
        <f t="shared" si="63"/>
        <v>172</v>
      </c>
      <c r="J35">
        <f t="shared" si="64"/>
        <v>197</v>
      </c>
      <c r="K35">
        <f t="shared" si="65"/>
        <v>220</v>
      </c>
      <c r="L35" s="1">
        <v>6.9000000000000006E-2</v>
      </c>
      <c r="M35">
        <f t="shared" si="54"/>
        <v>126</v>
      </c>
      <c r="N35">
        <f t="shared" si="55"/>
        <v>157</v>
      </c>
      <c r="O35">
        <f t="shared" si="56"/>
        <v>189</v>
      </c>
      <c r="P35">
        <f t="shared" si="57"/>
        <v>221</v>
      </c>
      <c r="Q35">
        <f t="shared" si="58"/>
        <v>253</v>
      </c>
      <c r="R35">
        <f t="shared" si="59"/>
        <v>282</v>
      </c>
      <c r="S35" s="1">
        <v>7.8E-2</v>
      </c>
      <c r="T35">
        <f t="shared" si="42"/>
        <v>151</v>
      </c>
      <c r="U35">
        <f t="shared" si="43"/>
        <v>188</v>
      </c>
      <c r="V35">
        <f t="shared" si="44"/>
        <v>227</v>
      </c>
      <c r="W35">
        <f t="shared" si="45"/>
        <v>264</v>
      </c>
      <c r="X35">
        <f t="shared" si="46"/>
        <v>303</v>
      </c>
      <c r="Y35">
        <f t="shared" si="47"/>
        <v>338</v>
      </c>
      <c r="Z35" s="1"/>
    </row>
    <row r="36" spans="3:26" x14ac:dyDescent="0.2">
      <c r="C36" t="s">
        <v>42</v>
      </c>
      <c r="D36" s="5">
        <f>5729.578/16.5</f>
        <v>347.24715151515153</v>
      </c>
      <c r="E36" s="1">
        <v>5.8999999999999997E-2</v>
      </c>
      <c r="F36">
        <f t="shared" si="60"/>
        <v>102</v>
      </c>
      <c r="G36">
        <f t="shared" si="61"/>
        <v>127</v>
      </c>
      <c r="H36">
        <f t="shared" si="62"/>
        <v>152</v>
      </c>
      <c r="I36">
        <f t="shared" si="63"/>
        <v>178</v>
      </c>
      <c r="J36">
        <f t="shared" si="64"/>
        <v>204</v>
      </c>
      <c r="K36">
        <f t="shared" si="65"/>
        <v>227</v>
      </c>
      <c r="L36" s="1">
        <v>7.0999999999999994E-2</v>
      </c>
      <c r="M36">
        <f t="shared" si="54"/>
        <v>130</v>
      </c>
      <c r="N36">
        <f t="shared" si="55"/>
        <v>162</v>
      </c>
      <c r="O36">
        <f t="shared" si="56"/>
        <v>195</v>
      </c>
      <c r="P36">
        <f t="shared" si="57"/>
        <v>227</v>
      </c>
      <c r="Q36">
        <f t="shared" si="58"/>
        <v>261</v>
      </c>
      <c r="R36">
        <f t="shared" si="59"/>
        <v>291</v>
      </c>
      <c r="S36" s="1">
        <v>7.9000000000000001E-2</v>
      </c>
      <c r="T36">
        <f t="shared" si="42"/>
        <v>153</v>
      </c>
      <c r="U36">
        <f t="shared" si="43"/>
        <v>191</v>
      </c>
      <c r="V36">
        <f t="shared" si="44"/>
        <v>229</v>
      </c>
      <c r="W36">
        <f t="shared" si="45"/>
        <v>268</v>
      </c>
      <c r="X36">
        <f t="shared" si="46"/>
        <v>307</v>
      </c>
      <c r="Y36">
        <f t="shared" si="47"/>
        <v>342</v>
      </c>
      <c r="Z36" s="1"/>
    </row>
    <row r="37" spans="3:26" x14ac:dyDescent="0.2">
      <c r="C37" t="s">
        <v>43</v>
      </c>
      <c r="D37" s="7">
        <f>5729.578/18</f>
        <v>318.30988888888891</v>
      </c>
      <c r="E37" s="1">
        <v>6.2E-2</v>
      </c>
      <c r="F37">
        <f t="shared" si="60"/>
        <v>107</v>
      </c>
      <c r="G37">
        <f t="shared" si="61"/>
        <v>133</v>
      </c>
      <c r="H37">
        <f t="shared" si="62"/>
        <v>160</v>
      </c>
      <c r="I37">
        <f t="shared" si="63"/>
        <v>187</v>
      </c>
      <c r="J37">
        <f t="shared" si="64"/>
        <v>214</v>
      </c>
      <c r="K37">
        <f t="shared" si="65"/>
        <v>239</v>
      </c>
      <c r="L37" s="1">
        <v>7.3999999999999996E-2</v>
      </c>
      <c r="M37">
        <f t="shared" si="54"/>
        <v>135</v>
      </c>
      <c r="N37">
        <f t="shared" si="55"/>
        <v>169</v>
      </c>
      <c r="O37">
        <f t="shared" si="56"/>
        <v>203</v>
      </c>
      <c r="P37">
        <f t="shared" si="57"/>
        <v>237</v>
      </c>
      <c r="Q37">
        <f t="shared" si="58"/>
        <v>272</v>
      </c>
      <c r="R37">
        <f t="shared" si="59"/>
        <v>303</v>
      </c>
      <c r="S37" s="1">
        <v>0.08</v>
      </c>
      <c r="T37">
        <f t="shared" si="42"/>
        <v>155</v>
      </c>
      <c r="U37">
        <f t="shared" si="43"/>
        <v>193</v>
      </c>
      <c r="V37">
        <f t="shared" si="44"/>
        <v>232</v>
      </c>
      <c r="W37">
        <f t="shared" si="45"/>
        <v>271</v>
      </c>
      <c r="X37">
        <f t="shared" si="46"/>
        <v>311</v>
      </c>
      <c r="Y37">
        <f t="shared" si="47"/>
        <v>347</v>
      </c>
      <c r="Z37" s="1"/>
    </row>
    <row r="38" spans="3:26" x14ac:dyDescent="0.2">
      <c r="C38" t="s">
        <v>44</v>
      </c>
      <c r="D38" s="5">
        <f>5729.578/20</f>
        <v>286.47890000000001</v>
      </c>
      <c r="E38" s="1">
        <v>6.4000000000000001E-2</v>
      </c>
      <c r="F38">
        <f t="shared" si="60"/>
        <v>110</v>
      </c>
      <c r="G38">
        <f t="shared" si="61"/>
        <v>137</v>
      </c>
      <c r="H38">
        <f t="shared" si="62"/>
        <v>165</v>
      </c>
      <c r="I38">
        <f t="shared" si="63"/>
        <v>193</v>
      </c>
      <c r="J38">
        <f t="shared" si="64"/>
        <v>221</v>
      </c>
      <c r="K38">
        <f t="shared" si="65"/>
        <v>247</v>
      </c>
      <c r="L38" s="1">
        <v>7.5999999999999998E-2</v>
      </c>
      <c r="M38">
        <f t="shared" si="54"/>
        <v>139</v>
      </c>
      <c r="N38">
        <f t="shared" si="55"/>
        <v>173</v>
      </c>
      <c r="O38">
        <f t="shared" si="56"/>
        <v>208</v>
      </c>
      <c r="P38">
        <f t="shared" si="57"/>
        <v>243</v>
      </c>
      <c r="Q38">
        <f t="shared" si="58"/>
        <v>279</v>
      </c>
      <c r="R38">
        <f t="shared" si="59"/>
        <v>311</v>
      </c>
      <c r="S38" s="1"/>
    </row>
    <row r="39" spans="3:26" x14ac:dyDescent="0.2">
      <c r="C39" t="s">
        <v>45</v>
      </c>
      <c r="D39" s="5">
        <f>5729.578/22</f>
        <v>260.43536363636366</v>
      </c>
      <c r="E39" s="1">
        <v>6.7000000000000004E-2</v>
      </c>
      <c r="F39">
        <f t="shared" si="60"/>
        <v>115</v>
      </c>
      <c r="G39">
        <f t="shared" si="61"/>
        <v>144</v>
      </c>
      <c r="H39">
        <f t="shared" si="62"/>
        <v>173</v>
      </c>
      <c r="I39">
        <f t="shared" si="63"/>
        <v>202</v>
      </c>
      <c r="J39">
        <f t="shared" si="64"/>
        <v>232</v>
      </c>
      <c r="K39">
        <f t="shared" si="65"/>
        <v>258</v>
      </c>
      <c r="L39" s="1">
        <v>7.8E-2</v>
      </c>
      <c r="M39">
        <f t="shared" si="54"/>
        <v>143</v>
      </c>
      <c r="N39">
        <f t="shared" si="55"/>
        <v>178</v>
      </c>
      <c r="O39">
        <f t="shared" si="56"/>
        <v>214</v>
      </c>
      <c r="P39">
        <f t="shared" si="57"/>
        <v>249</v>
      </c>
      <c r="Q39">
        <f t="shared" si="58"/>
        <v>286</v>
      </c>
      <c r="R39">
        <f t="shared" si="59"/>
        <v>319</v>
      </c>
      <c r="S39" s="1"/>
    </row>
    <row r="40" spans="3:26" x14ac:dyDescent="0.2">
      <c r="C40" t="s">
        <v>46</v>
      </c>
      <c r="D40" s="5">
        <f>5729.578/23</f>
        <v>249.11208695652175</v>
      </c>
      <c r="E40" s="1">
        <v>6.8000000000000005E-2</v>
      </c>
      <c r="F40">
        <f t="shared" si="60"/>
        <v>117</v>
      </c>
      <c r="G40">
        <f t="shared" si="61"/>
        <v>146</v>
      </c>
      <c r="H40">
        <f t="shared" si="62"/>
        <v>176</v>
      </c>
      <c r="I40">
        <f t="shared" si="63"/>
        <v>205</v>
      </c>
      <c r="J40">
        <f t="shared" si="64"/>
        <v>235</v>
      </c>
      <c r="K40">
        <f t="shared" si="65"/>
        <v>262</v>
      </c>
      <c r="L40" s="1">
        <v>7.9000000000000001E-2</v>
      </c>
      <c r="M40">
        <f t="shared" si="54"/>
        <v>145</v>
      </c>
      <c r="N40">
        <f t="shared" si="55"/>
        <v>180</v>
      </c>
      <c r="O40">
        <f t="shared" si="56"/>
        <v>217</v>
      </c>
      <c r="P40">
        <f t="shared" si="57"/>
        <v>253</v>
      </c>
      <c r="Q40">
        <f t="shared" si="58"/>
        <v>290</v>
      </c>
      <c r="R40">
        <f t="shared" si="59"/>
        <v>323</v>
      </c>
      <c r="S40" s="1"/>
    </row>
    <row r="41" spans="3:26" x14ac:dyDescent="0.2">
      <c r="C41" t="s">
        <v>47</v>
      </c>
      <c r="D41" s="5">
        <f>5729.578/25</f>
        <v>229.18312000000003</v>
      </c>
      <c r="E41" s="1">
        <v>7.0999999999999994E-2</v>
      </c>
      <c r="F41">
        <f t="shared" si="60"/>
        <v>122</v>
      </c>
      <c r="G41">
        <f t="shared" si="61"/>
        <v>152</v>
      </c>
      <c r="H41">
        <f t="shared" si="62"/>
        <v>183</v>
      </c>
      <c r="I41">
        <f t="shared" si="63"/>
        <v>214</v>
      </c>
      <c r="J41">
        <f t="shared" si="64"/>
        <v>245</v>
      </c>
      <c r="K41">
        <f t="shared" si="65"/>
        <v>273</v>
      </c>
      <c r="L41" s="1">
        <v>0.08</v>
      </c>
      <c r="M41">
        <f t="shared" si="54"/>
        <v>146</v>
      </c>
      <c r="N41">
        <f t="shared" si="55"/>
        <v>182</v>
      </c>
      <c r="O41">
        <f t="shared" si="56"/>
        <v>219</v>
      </c>
      <c r="P41">
        <f t="shared" si="57"/>
        <v>256</v>
      </c>
      <c r="Q41">
        <f t="shared" si="58"/>
        <v>294</v>
      </c>
      <c r="R41">
        <f t="shared" si="59"/>
        <v>327</v>
      </c>
      <c r="S41" s="1"/>
    </row>
    <row r="42" spans="3:26" x14ac:dyDescent="0.2">
      <c r="C42" t="s">
        <v>48</v>
      </c>
      <c r="D42" s="7">
        <f>5729.578/26.5</f>
        <v>216.21049056603775</v>
      </c>
      <c r="E42" s="1">
        <v>7.1999999999999995E-2</v>
      </c>
      <c r="F42">
        <f t="shared" si="60"/>
        <v>124</v>
      </c>
      <c r="G42">
        <f t="shared" si="61"/>
        <v>154</v>
      </c>
      <c r="H42">
        <f t="shared" si="62"/>
        <v>186</v>
      </c>
      <c r="I42">
        <f t="shared" si="63"/>
        <v>217</v>
      </c>
      <c r="J42">
        <f t="shared" si="64"/>
        <v>249</v>
      </c>
      <c r="K42">
        <f t="shared" si="65"/>
        <v>277</v>
      </c>
      <c r="L42" s="1">
        <v>0.08</v>
      </c>
      <c r="M42">
        <f t="shared" si="54"/>
        <v>146</v>
      </c>
      <c r="N42">
        <f t="shared" si="55"/>
        <v>182</v>
      </c>
      <c r="O42">
        <f t="shared" si="56"/>
        <v>219</v>
      </c>
      <c r="P42">
        <f t="shared" si="57"/>
        <v>256</v>
      </c>
      <c r="Q42">
        <f t="shared" si="58"/>
        <v>294</v>
      </c>
      <c r="R42">
        <f t="shared" si="59"/>
        <v>327</v>
      </c>
      <c r="S42" s="1"/>
    </row>
    <row r="43" spans="3:26" x14ac:dyDescent="0.2">
      <c r="C43" t="s">
        <v>49</v>
      </c>
      <c r="D43" s="5">
        <f>5729.578/28</f>
        <v>204.62778571428572</v>
      </c>
      <c r="E43" s="1">
        <v>7.3999999999999996E-2</v>
      </c>
      <c r="F43">
        <f t="shared" si="60"/>
        <v>127</v>
      </c>
      <c r="G43">
        <f t="shared" si="61"/>
        <v>159</v>
      </c>
      <c r="H43">
        <f t="shared" si="62"/>
        <v>191</v>
      </c>
      <c r="I43">
        <f t="shared" si="63"/>
        <v>223</v>
      </c>
      <c r="J43">
        <f t="shared" si="64"/>
        <v>256</v>
      </c>
      <c r="K43">
        <f t="shared" si="65"/>
        <v>285</v>
      </c>
      <c r="L43" s="1"/>
    </row>
    <row r="44" spans="3:26" x14ac:dyDescent="0.2">
      <c r="C44" t="s">
        <v>50</v>
      </c>
      <c r="D44" s="5">
        <f>5729.578/31</f>
        <v>184.82509677419355</v>
      </c>
      <c r="E44" s="1">
        <v>7.5999999999999998E-2</v>
      </c>
      <c r="F44">
        <f t="shared" si="60"/>
        <v>131</v>
      </c>
      <c r="G44">
        <f t="shared" si="61"/>
        <v>163</v>
      </c>
      <c r="H44">
        <f t="shared" si="62"/>
        <v>196</v>
      </c>
      <c r="I44">
        <f t="shared" si="63"/>
        <v>229</v>
      </c>
      <c r="J44">
        <f t="shared" si="64"/>
        <v>263</v>
      </c>
      <c r="K44">
        <f t="shared" si="65"/>
        <v>293</v>
      </c>
      <c r="L44" s="1"/>
    </row>
    <row r="45" spans="3:26" x14ac:dyDescent="0.2">
      <c r="C45" t="s">
        <v>51</v>
      </c>
      <c r="D45" s="5">
        <f>5729.578/34</f>
        <v>168.51700000000002</v>
      </c>
      <c r="E45" s="1">
        <v>7.8E-2</v>
      </c>
      <c r="F45">
        <f t="shared" si="60"/>
        <v>134</v>
      </c>
      <c r="G45">
        <f t="shared" si="61"/>
        <v>167</v>
      </c>
      <c r="H45">
        <f t="shared" si="62"/>
        <v>201</v>
      </c>
      <c r="I45">
        <f t="shared" si="63"/>
        <v>235</v>
      </c>
      <c r="J45">
        <f t="shared" si="64"/>
        <v>270</v>
      </c>
      <c r="K45">
        <f t="shared" si="65"/>
        <v>300</v>
      </c>
      <c r="L45" s="1"/>
    </row>
    <row r="46" spans="3:26" x14ac:dyDescent="0.2">
      <c r="C46" t="s">
        <v>52</v>
      </c>
      <c r="D46" s="5">
        <f>5729.578/36</f>
        <v>159.15494444444445</v>
      </c>
      <c r="E46" s="1">
        <v>7.9000000000000001E-2</v>
      </c>
      <c r="F46">
        <f t="shared" si="60"/>
        <v>136</v>
      </c>
      <c r="G46">
        <f t="shared" si="61"/>
        <v>169</v>
      </c>
      <c r="H46">
        <f t="shared" si="62"/>
        <v>204</v>
      </c>
      <c r="I46">
        <f t="shared" si="63"/>
        <v>238</v>
      </c>
      <c r="J46">
        <f t="shared" si="64"/>
        <v>273</v>
      </c>
      <c r="K46">
        <f t="shared" si="65"/>
        <v>304</v>
      </c>
      <c r="L46" s="1"/>
    </row>
    <row r="47" spans="3:26" x14ac:dyDescent="0.2">
      <c r="C47" t="s">
        <v>53</v>
      </c>
      <c r="D47" s="5">
        <f>5729.578/38</f>
        <v>150.77836842105265</v>
      </c>
      <c r="E47" s="1">
        <v>7.9000000000000001E-2</v>
      </c>
      <c r="F47">
        <f t="shared" si="60"/>
        <v>136</v>
      </c>
      <c r="G47">
        <f t="shared" si="61"/>
        <v>169</v>
      </c>
      <c r="H47">
        <f t="shared" si="62"/>
        <v>204</v>
      </c>
      <c r="I47">
        <f t="shared" si="63"/>
        <v>238</v>
      </c>
      <c r="J47">
        <f t="shared" si="64"/>
        <v>273</v>
      </c>
      <c r="K47">
        <f t="shared" si="65"/>
        <v>304</v>
      </c>
      <c r="L47" s="1"/>
    </row>
    <row r="48" spans="3:26" x14ac:dyDescent="0.2">
      <c r="C48" t="s">
        <v>54</v>
      </c>
      <c r="D48" s="5">
        <f>5729.578/40</f>
        <v>143.23945000000001</v>
      </c>
      <c r="E48" s="1">
        <v>0.08</v>
      </c>
      <c r="F48">
        <f t="shared" si="60"/>
        <v>138</v>
      </c>
      <c r="G48">
        <f t="shared" si="61"/>
        <v>171</v>
      </c>
      <c r="H48">
        <f t="shared" si="62"/>
        <v>206</v>
      </c>
      <c r="I48">
        <f t="shared" si="63"/>
        <v>241</v>
      </c>
      <c r="J48">
        <f t="shared" si="64"/>
        <v>276</v>
      </c>
      <c r="K48">
        <f t="shared" si="65"/>
        <v>308</v>
      </c>
      <c r="L48" s="1"/>
    </row>
    <row r="49" spans="3:12" x14ac:dyDescent="0.2">
      <c r="C49" t="s">
        <v>55</v>
      </c>
      <c r="D49" s="7">
        <f>5729.578/42</f>
        <v>136.41852380952383</v>
      </c>
      <c r="E49" s="1">
        <v>0.08</v>
      </c>
      <c r="F49">
        <f t="shared" si="60"/>
        <v>138</v>
      </c>
      <c r="G49">
        <f t="shared" si="61"/>
        <v>171</v>
      </c>
      <c r="H49">
        <f t="shared" si="62"/>
        <v>206</v>
      </c>
      <c r="I49">
        <f t="shared" si="63"/>
        <v>241</v>
      </c>
      <c r="J49">
        <f t="shared" si="64"/>
        <v>276</v>
      </c>
      <c r="K49">
        <f t="shared" si="65"/>
        <v>308</v>
      </c>
      <c r="L49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53"/>
  <sheetViews>
    <sheetView workbookViewId="0">
      <pane xSplit="4" topLeftCell="E1" activePane="topRight" state="frozen"/>
      <selection pane="topRight" activeCell="A22" sqref="A22"/>
    </sheetView>
  </sheetViews>
  <sheetFormatPr defaultRowHeight="12.75" x14ac:dyDescent="0.2"/>
  <cols>
    <col min="1" max="1" width="6.42578125" bestFit="1" customWidth="1"/>
    <col min="2" max="2" width="4" bestFit="1" customWidth="1"/>
    <col min="3" max="3" width="6" bestFit="1" customWidth="1"/>
    <col min="4" max="4" width="10.42578125" style="5" bestFit="1" customWidth="1"/>
    <col min="5" max="5" width="7.28515625" bestFit="1" customWidth="1"/>
    <col min="6" max="11" width="6" bestFit="1" customWidth="1"/>
    <col min="12" max="12" width="7.140625" bestFit="1" customWidth="1"/>
    <col min="13" max="13" width="6" bestFit="1" customWidth="1"/>
    <col min="14" max="14" width="6" customWidth="1"/>
    <col min="15" max="15" width="6" bestFit="1" customWidth="1"/>
    <col min="16" max="18" width="6" customWidth="1"/>
    <col min="19" max="19" width="7.140625" bestFit="1" customWidth="1"/>
    <col min="20" max="20" width="6" bestFit="1" customWidth="1"/>
    <col min="21" max="21" width="6" customWidth="1"/>
    <col min="22" max="22" width="6" bestFit="1" customWidth="1"/>
    <col min="23" max="25" width="6" customWidth="1"/>
    <col min="26" max="26" width="7.140625" bestFit="1" customWidth="1"/>
    <col min="27" max="27" width="6" bestFit="1" customWidth="1"/>
    <col min="28" max="28" width="6" customWidth="1"/>
    <col min="29" max="29" width="6" bestFit="1" customWidth="1"/>
    <col min="30" max="32" width="6" customWidth="1"/>
    <col min="33" max="33" width="7.140625" bestFit="1" customWidth="1"/>
    <col min="34" max="34" width="6" bestFit="1" customWidth="1"/>
    <col min="35" max="35" width="6" customWidth="1"/>
    <col min="36" max="39" width="6" bestFit="1" customWidth="1"/>
  </cols>
  <sheetData>
    <row r="1" spans="1:46" x14ac:dyDescent="0.2">
      <c r="A1" s="2" t="s">
        <v>104</v>
      </c>
    </row>
    <row r="2" spans="1:46" x14ac:dyDescent="0.2">
      <c r="A2" t="s">
        <v>103</v>
      </c>
      <c r="B2">
        <v>12</v>
      </c>
      <c r="E2" s="2" t="s">
        <v>65</v>
      </c>
      <c r="F2" t="s">
        <v>62</v>
      </c>
      <c r="G2" t="s">
        <v>99</v>
      </c>
      <c r="H2" t="s">
        <v>63</v>
      </c>
      <c r="I2" t="s">
        <v>100</v>
      </c>
      <c r="J2" t="s">
        <v>101</v>
      </c>
      <c r="K2" t="s">
        <v>102</v>
      </c>
      <c r="L2" s="2" t="s">
        <v>66</v>
      </c>
      <c r="M2" t="s">
        <v>62</v>
      </c>
      <c r="N2" t="s">
        <v>99</v>
      </c>
      <c r="O2" t="s">
        <v>63</v>
      </c>
      <c r="P2" t="s">
        <v>100</v>
      </c>
      <c r="Q2" t="s">
        <v>101</v>
      </c>
      <c r="R2" t="s">
        <v>102</v>
      </c>
      <c r="S2" s="2" t="s">
        <v>67</v>
      </c>
      <c r="T2" t="s">
        <v>62</v>
      </c>
      <c r="U2" t="s">
        <v>99</v>
      </c>
      <c r="V2" t="s">
        <v>63</v>
      </c>
      <c r="W2" t="s">
        <v>100</v>
      </c>
      <c r="X2" t="s">
        <v>101</v>
      </c>
      <c r="Y2" t="s">
        <v>102</v>
      </c>
      <c r="Z2" s="2" t="s">
        <v>68</v>
      </c>
      <c r="AA2" t="s">
        <v>62</v>
      </c>
      <c r="AB2" t="s">
        <v>99</v>
      </c>
      <c r="AC2" t="s">
        <v>63</v>
      </c>
      <c r="AD2" t="s">
        <v>100</v>
      </c>
      <c r="AE2" t="s">
        <v>101</v>
      </c>
      <c r="AF2" t="s">
        <v>102</v>
      </c>
      <c r="AG2" s="2" t="s">
        <v>69</v>
      </c>
      <c r="AH2" t="s">
        <v>62</v>
      </c>
      <c r="AI2" t="s">
        <v>99</v>
      </c>
      <c r="AJ2" t="s">
        <v>63</v>
      </c>
      <c r="AK2" t="s">
        <v>100</v>
      </c>
      <c r="AL2" t="s">
        <v>101</v>
      </c>
      <c r="AM2" t="s">
        <v>102</v>
      </c>
      <c r="AN2" s="2" t="s">
        <v>108</v>
      </c>
      <c r="AO2" t="s">
        <v>62</v>
      </c>
      <c r="AP2" t="s">
        <v>99</v>
      </c>
      <c r="AQ2" t="s">
        <v>63</v>
      </c>
      <c r="AR2" t="s">
        <v>100</v>
      </c>
      <c r="AS2" t="s">
        <v>101</v>
      </c>
      <c r="AT2" t="s">
        <v>102</v>
      </c>
    </row>
    <row r="3" spans="1:46" x14ac:dyDescent="0.2">
      <c r="A3" t="s">
        <v>61</v>
      </c>
      <c r="B3" t="s">
        <v>1</v>
      </c>
      <c r="C3" t="s">
        <v>2</v>
      </c>
      <c r="D3" s="5" t="s">
        <v>3</v>
      </c>
      <c r="E3" t="s">
        <v>57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57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57</v>
      </c>
      <c r="T3" t="s">
        <v>0</v>
      </c>
      <c r="U3" t="s">
        <v>0</v>
      </c>
      <c r="V3" t="s">
        <v>0</v>
      </c>
      <c r="W3" t="s">
        <v>0</v>
      </c>
      <c r="X3" t="s">
        <v>0</v>
      </c>
      <c r="Y3" t="s">
        <v>0</v>
      </c>
      <c r="Z3" t="s">
        <v>57</v>
      </c>
      <c r="AA3" t="s">
        <v>0</v>
      </c>
      <c r="AB3" t="s">
        <v>0</v>
      </c>
      <c r="AC3" t="s">
        <v>0</v>
      </c>
      <c r="AD3" t="s">
        <v>0</v>
      </c>
      <c r="AE3" t="s">
        <v>0</v>
      </c>
      <c r="AF3" t="s">
        <v>0</v>
      </c>
      <c r="AG3" t="s">
        <v>57</v>
      </c>
      <c r="AH3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57</v>
      </c>
      <c r="AO3" t="s">
        <v>0</v>
      </c>
      <c r="AP3" t="s">
        <v>0</v>
      </c>
      <c r="AQ3" t="s">
        <v>0</v>
      </c>
      <c r="AR3" t="s">
        <v>0</v>
      </c>
      <c r="AS3" t="s">
        <v>0</v>
      </c>
      <c r="AT3" t="s">
        <v>0</v>
      </c>
    </row>
    <row r="4" spans="1:46" x14ac:dyDescent="0.2">
      <c r="A4">
        <v>20</v>
      </c>
      <c r="B4">
        <v>135</v>
      </c>
      <c r="C4" t="s">
        <v>4</v>
      </c>
      <c r="D4" s="5">
        <f>5729.578/0.25</f>
        <v>22918.312000000002</v>
      </c>
      <c r="E4" s="1" t="s">
        <v>70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1" t="s">
        <v>70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s="1" t="s">
        <v>70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 s="1" t="s">
        <v>70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 s="1" t="s">
        <v>70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1" t="s">
        <v>70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x14ac:dyDescent="0.2">
      <c r="A5">
        <v>25</v>
      </c>
      <c r="B5">
        <v>143</v>
      </c>
      <c r="C5" t="s">
        <v>5</v>
      </c>
      <c r="D5" s="5">
        <f>5729.578/0.5</f>
        <v>11459.156000000001</v>
      </c>
      <c r="E5" s="1" t="s">
        <v>70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1" t="s">
        <v>70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 s="1" t="s">
        <v>70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 s="1">
        <v>1.6E-2</v>
      </c>
      <c r="AA5">
        <f t="shared" ref="AA5:AA16" si="0">ROUNDUP($B$2*$Z5*$B$13,0)</f>
        <v>45</v>
      </c>
      <c r="AB5">
        <f t="shared" ref="AB5:AB16" si="1">ROUNDUP($B$2*1.5*$Z5*$B$13*0.83,0)</f>
        <v>56</v>
      </c>
      <c r="AC5">
        <f t="shared" ref="AC5:AC16" si="2">ROUNDUP($B$2*2*$Z5*$B$13*0.75,0)</f>
        <v>68</v>
      </c>
      <c r="AD5">
        <f t="shared" ref="AD5:AD16" si="3">ROUNDUP($B$2*2.5*$Z5*$B$13*0.7,0)</f>
        <v>79</v>
      </c>
      <c r="AE5">
        <f t="shared" ref="AE5:AE16" si="4">ROUNDUP($B$2*3*$Z5*$B$13*0.67,0)</f>
        <v>90</v>
      </c>
      <c r="AF5">
        <f t="shared" ref="AF5:AF16" si="5">ROUNDUP($B$2*3.5*$Z5*$B$13*0.64,0)</f>
        <v>101</v>
      </c>
      <c r="AG5" s="1">
        <v>1.7999999999999999E-2</v>
      </c>
      <c r="AH5">
        <f t="shared" ref="AH5:AH14" si="6">ROUNDUP($B$2*$AG5*$B$14,0)</f>
        <v>54</v>
      </c>
      <c r="AI5">
        <f t="shared" ref="AI5:AI14" si="7">ROUNDUP($B$2*1.5*$AG5*$B$14*0.83,0)</f>
        <v>68</v>
      </c>
      <c r="AJ5">
        <f t="shared" ref="AJ5:AJ14" si="8">ROUNDUP($B$2*2*$AG5*$B$14*0.75,0)</f>
        <v>81</v>
      </c>
      <c r="AK5">
        <f t="shared" ref="AK5:AK14" si="9">ROUNDUP($B$2*2.5*$AG5*$B$14*0.7,0)</f>
        <v>95</v>
      </c>
      <c r="AL5">
        <f t="shared" ref="AL5:AL14" si="10">ROUNDUP($B$2*3*$AG5*$B$14*0.67,0)</f>
        <v>109</v>
      </c>
      <c r="AM5">
        <f t="shared" ref="AM5:AM14" si="11">ROUNDUP($B$2*3.5*$AG5*$B$14*0.64,0)</f>
        <v>121</v>
      </c>
      <c r="AN5" s="1">
        <v>0.02</v>
      </c>
      <c r="AO5">
        <f t="shared" ref="AO5:AO12" si="12">ROUNDUP($B$2*$AN5*$B$15,0)</f>
        <v>64</v>
      </c>
      <c r="AP5">
        <f t="shared" ref="AP5:AP12" si="13">ROUNDUP($B$2*1.5*$AN5*$B$15*0.83,0)</f>
        <v>79</v>
      </c>
      <c r="AQ5">
        <f t="shared" ref="AQ5:AQ12" si="14">ROUNDUP($B$2*2*$AN5*$B$15*0.75,0)</f>
        <v>95</v>
      </c>
      <c r="AR5">
        <f t="shared" ref="AR5:AR12" si="15">ROUNDUP($B$2*2.5*$AN5*$B$15*0.7,0)</f>
        <v>111</v>
      </c>
      <c r="AS5">
        <f t="shared" ref="AS5:AS12" si="16">ROUNDUP($B$2*3*$AN5*$B$15*0.67,0)</f>
        <v>127</v>
      </c>
      <c r="AT5">
        <f t="shared" ref="AT5:AT12" si="17">ROUNDUP($B$2*3.5*$AN5*$B$15*0.64,0)</f>
        <v>142</v>
      </c>
    </row>
    <row r="6" spans="1:46" x14ac:dyDescent="0.2">
      <c r="A6">
        <v>30</v>
      </c>
      <c r="B6">
        <v>152</v>
      </c>
      <c r="C6" t="s">
        <v>6</v>
      </c>
      <c r="D6" s="5">
        <f>5729.578/0.75</f>
        <v>7639.4373333333342</v>
      </c>
      <c r="E6" s="1" t="s">
        <v>70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1">
        <v>1.7999999999999999E-2</v>
      </c>
      <c r="M6">
        <f t="shared" ref="M6:M20" si="18">ROUNDUP($B$2*$L6*$B$11,0)</f>
        <v>47</v>
      </c>
      <c r="N6">
        <f t="shared" ref="N6:N20" si="19">ROUNDUP($B$2*1.5*$L6*$B$11*0.83,0)</f>
        <v>58</v>
      </c>
      <c r="O6">
        <f t="shared" ref="O6:O20" si="20">ROUNDUP($B$2*2*$L6*$B$11*0.75,0)</f>
        <v>70</v>
      </c>
      <c r="P6">
        <f t="shared" ref="P6:P20" si="21">ROUNDUP($B$2*2.5*$L6*$B$11*0.7,0)</f>
        <v>81</v>
      </c>
      <c r="Q6">
        <f t="shared" ref="Q6:Q20" si="22">ROUNDUP($B$2*3*$L6*$B$11*0.67,0)</f>
        <v>93</v>
      </c>
      <c r="R6">
        <f t="shared" ref="R6:R20" si="23">ROUNDUP($B$2*3.5*$L6*$B$11*0.64,0)</f>
        <v>104</v>
      </c>
      <c r="S6" s="1">
        <v>2.1000000000000001E-2</v>
      </c>
      <c r="T6">
        <f t="shared" ref="T6:T17" si="24">ROUNDUP($B$2*$S6*$B$12,0)</f>
        <v>56</v>
      </c>
      <c r="U6">
        <f t="shared" ref="U6:U17" si="25">ROUNDUP($B$2*1.5*$S6*$B$12*0.83,0)</f>
        <v>70</v>
      </c>
      <c r="V6">
        <f t="shared" ref="V6:V17" si="26">ROUNDUP($B$2*2*$S6*$B$12*0.75,0)</f>
        <v>84</v>
      </c>
      <c r="W6">
        <f t="shared" ref="W6:W17" si="27">ROUNDUP($B$2*2.5*$S6*$B$12*0.7,0)</f>
        <v>98</v>
      </c>
      <c r="X6">
        <f t="shared" ref="X6:X17" si="28">ROUNDUP($B$2*3*$S6*$B$12*0.67,0)</f>
        <v>113</v>
      </c>
      <c r="Y6">
        <f t="shared" ref="Y6:Y17" si="29">ROUNDUP($B$2*3.5*$S6*$B$12*0.64,0)</f>
        <v>126</v>
      </c>
      <c r="Z6" s="1">
        <v>2.4E-2</v>
      </c>
      <c r="AA6">
        <f t="shared" si="0"/>
        <v>68</v>
      </c>
      <c r="AB6">
        <f t="shared" si="1"/>
        <v>84</v>
      </c>
      <c r="AC6">
        <f t="shared" si="2"/>
        <v>101</v>
      </c>
      <c r="AD6">
        <f t="shared" si="3"/>
        <v>118</v>
      </c>
      <c r="AE6">
        <f t="shared" si="4"/>
        <v>135</v>
      </c>
      <c r="AF6">
        <f t="shared" si="5"/>
        <v>151</v>
      </c>
      <c r="AG6" s="1">
        <v>2.5999999999999999E-2</v>
      </c>
      <c r="AH6">
        <f t="shared" si="6"/>
        <v>78</v>
      </c>
      <c r="AI6">
        <f t="shared" si="7"/>
        <v>98</v>
      </c>
      <c r="AJ6">
        <f t="shared" si="8"/>
        <v>117</v>
      </c>
      <c r="AK6">
        <f t="shared" si="9"/>
        <v>137</v>
      </c>
      <c r="AL6">
        <f t="shared" si="10"/>
        <v>157</v>
      </c>
      <c r="AM6">
        <f t="shared" si="11"/>
        <v>175</v>
      </c>
      <c r="AN6" s="1">
        <v>2.9000000000000001E-2</v>
      </c>
      <c r="AO6">
        <f t="shared" si="12"/>
        <v>92</v>
      </c>
      <c r="AP6">
        <f t="shared" si="13"/>
        <v>114</v>
      </c>
      <c r="AQ6">
        <f t="shared" si="14"/>
        <v>138</v>
      </c>
      <c r="AR6">
        <f t="shared" si="15"/>
        <v>161</v>
      </c>
      <c r="AS6">
        <f t="shared" si="16"/>
        <v>184</v>
      </c>
      <c r="AT6">
        <f t="shared" si="17"/>
        <v>206</v>
      </c>
    </row>
    <row r="7" spans="1:46" x14ac:dyDescent="0.2">
      <c r="A7">
        <v>35</v>
      </c>
      <c r="B7">
        <v>161</v>
      </c>
      <c r="C7" t="s">
        <v>7</v>
      </c>
      <c r="D7" s="5">
        <f>5729.578/1</f>
        <v>5729.5780000000004</v>
      </c>
      <c r="E7" s="1">
        <v>0.02</v>
      </c>
      <c r="F7">
        <f t="shared" ref="F7:F22" si="30">ROUNDUP($B$2*$E7*$B$10,0)</f>
        <v>48</v>
      </c>
      <c r="G7">
        <f t="shared" ref="G7:G22" si="31">ROUNDUP($B$2*1.5*$E7*$B$10*0.83,0)</f>
        <v>60</v>
      </c>
      <c r="H7">
        <f t="shared" ref="H7:H22" si="32">ROUNDUP($B$2*2*$E7*$B$10*0.75,0)</f>
        <v>72</v>
      </c>
      <c r="I7">
        <f t="shared" ref="I7:I22" si="33">ROUNDUP($B$2*2.5*$E7*$B$10*0.7,0)</f>
        <v>84</v>
      </c>
      <c r="J7">
        <f t="shared" ref="J7:J22" si="34">ROUNDUP($B$2*3*$E7*$B$10*0.67,0)</f>
        <v>97</v>
      </c>
      <c r="K7">
        <f t="shared" ref="K7:K22" si="35">ROUNDUP($B$2*3.5*$E7*$B$10*0.64,0)</f>
        <v>108</v>
      </c>
      <c r="L7" s="1">
        <v>2.3E-2</v>
      </c>
      <c r="M7">
        <f t="shared" si="18"/>
        <v>59</v>
      </c>
      <c r="N7">
        <f t="shared" si="19"/>
        <v>74</v>
      </c>
      <c r="O7">
        <f t="shared" si="20"/>
        <v>89</v>
      </c>
      <c r="P7">
        <f t="shared" si="21"/>
        <v>103</v>
      </c>
      <c r="Q7">
        <f t="shared" si="22"/>
        <v>119</v>
      </c>
      <c r="R7">
        <f t="shared" si="23"/>
        <v>132</v>
      </c>
      <c r="S7" s="1">
        <v>2.7E-2</v>
      </c>
      <c r="T7">
        <f t="shared" si="24"/>
        <v>72</v>
      </c>
      <c r="U7">
        <f t="shared" si="25"/>
        <v>90</v>
      </c>
      <c r="V7">
        <f t="shared" si="26"/>
        <v>108</v>
      </c>
      <c r="W7">
        <f t="shared" si="27"/>
        <v>126</v>
      </c>
      <c r="X7">
        <f t="shared" si="28"/>
        <v>145</v>
      </c>
      <c r="Y7">
        <f t="shared" si="29"/>
        <v>162</v>
      </c>
      <c r="Z7" s="1">
        <v>0.03</v>
      </c>
      <c r="AA7">
        <f t="shared" si="0"/>
        <v>84</v>
      </c>
      <c r="AB7">
        <f t="shared" si="1"/>
        <v>105</v>
      </c>
      <c r="AC7">
        <f t="shared" si="2"/>
        <v>126</v>
      </c>
      <c r="AD7">
        <f t="shared" si="3"/>
        <v>147</v>
      </c>
      <c r="AE7">
        <f t="shared" si="4"/>
        <v>169</v>
      </c>
      <c r="AF7">
        <f t="shared" si="5"/>
        <v>188</v>
      </c>
      <c r="AG7" s="1">
        <v>3.3000000000000002E-2</v>
      </c>
      <c r="AH7">
        <f t="shared" si="6"/>
        <v>99</v>
      </c>
      <c r="AI7">
        <f t="shared" si="7"/>
        <v>124</v>
      </c>
      <c r="AJ7">
        <f t="shared" si="8"/>
        <v>149</v>
      </c>
      <c r="AK7">
        <f t="shared" si="9"/>
        <v>174</v>
      </c>
      <c r="AL7">
        <f t="shared" si="10"/>
        <v>199</v>
      </c>
      <c r="AM7">
        <f t="shared" si="11"/>
        <v>222</v>
      </c>
      <c r="AN7" s="1">
        <v>3.6999999999999998E-2</v>
      </c>
      <c r="AO7">
        <f t="shared" si="12"/>
        <v>117</v>
      </c>
      <c r="AP7">
        <f t="shared" si="13"/>
        <v>146</v>
      </c>
      <c r="AQ7">
        <f t="shared" si="14"/>
        <v>176</v>
      </c>
      <c r="AR7">
        <f t="shared" si="15"/>
        <v>205</v>
      </c>
      <c r="AS7">
        <f t="shared" si="16"/>
        <v>235</v>
      </c>
      <c r="AT7">
        <f t="shared" si="17"/>
        <v>262</v>
      </c>
    </row>
    <row r="8" spans="1:46" x14ac:dyDescent="0.2">
      <c r="A8">
        <v>40</v>
      </c>
      <c r="B8">
        <v>172</v>
      </c>
      <c r="C8" t="s">
        <v>8</v>
      </c>
      <c r="D8" s="5">
        <f>5729.578/1.25</f>
        <v>4583.6624000000002</v>
      </c>
      <c r="E8" s="1">
        <v>2.4E-2</v>
      </c>
      <c r="F8">
        <f t="shared" si="30"/>
        <v>58</v>
      </c>
      <c r="G8">
        <f t="shared" si="31"/>
        <v>72</v>
      </c>
      <c r="H8">
        <f t="shared" si="32"/>
        <v>87</v>
      </c>
      <c r="I8">
        <f t="shared" si="33"/>
        <v>101</v>
      </c>
      <c r="J8">
        <f t="shared" si="34"/>
        <v>116</v>
      </c>
      <c r="K8">
        <f t="shared" si="35"/>
        <v>130</v>
      </c>
      <c r="L8" s="1">
        <v>2.8000000000000001E-2</v>
      </c>
      <c r="M8">
        <f t="shared" si="18"/>
        <v>72</v>
      </c>
      <c r="N8">
        <f t="shared" si="19"/>
        <v>90</v>
      </c>
      <c r="O8">
        <f t="shared" si="20"/>
        <v>108</v>
      </c>
      <c r="P8">
        <f t="shared" si="21"/>
        <v>126</v>
      </c>
      <c r="Q8">
        <f t="shared" si="22"/>
        <v>144</v>
      </c>
      <c r="R8">
        <f t="shared" si="23"/>
        <v>161</v>
      </c>
      <c r="S8" s="1">
        <v>3.2000000000000001E-2</v>
      </c>
      <c r="T8">
        <f t="shared" si="24"/>
        <v>86</v>
      </c>
      <c r="U8">
        <f t="shared" si="25"/>
        <v>107</v>
      </c>
      <c r="V8">
        <f t="shared" si="26"/>
        <v>128</v>
      </c>
      <c r="W8">
        <f t="shared" si="27"/>
        <v>150</v>
      </c>
      <c r="X8">
        <f t="shared" si="28"/>
        <v>172</v>
      </c>
      <c r="Y8">
        <f t="shared" si="29"/>
        <v>191</v>
      </c>
      <c r="Z8" s="1">
        <v>3.5999999999999997E-2</v>
      </c>
      <c r="AA8">
        <f t="shared" si="0"/>
        <v>101</v>
      </c>
      <c r="AB8">
        <f t="shared" si="1"/>
        <v>126</v>
      </c>
      <c r="AC8">
        <f t="shared" si="2"/>
        <v>151</v>
      </c>
      <c r="AD8">
        <f t="shared" si="3"/>
        <v>177</v>
      </c>
      <c r="AE8">
        <f t="shared" si="4"/>
        <v>203</v>
      </c>
      <c r="AF8">
        <f t="shared" si="5"/>
        <v>226</v>
      </c>
      <c r="AG8" s="1">
        <v>0.04</v>
      </c>
      <c r="AH8">
        <f t="shared" si="6"/>
        <v>120</v>
      </c>
      <c r="AI8">
        <f t="shared" si="7"/>
        <v>150</v>
      </c>
      <c r="AJ8">
        <f t="shared" si="8"/>
        <v>180</v>
      </c>
      <c r="AK8">
        <f t="shared" si="9"/>
        <v>210</v>
      </c>
      <c r="AL8">
        <f t="shared" si="10"/>
        <v>242</v>
      </c>
      <c r="AM8">
        <f t="shared" si="11"/>
        <v>269</v>
      </c>
      <c r="AN8" s="1">
        <v>4.4999999999999998E-2</v>
      </c>
      <c r="AO8">
        <f t="shared" si="12"/>
        <v>143</v>
      </c>
      <c r="AP8">
        <f t="shared" si="13"/>
        <v>177</v>
      </c>
      <c r="AQ8">
        <f t="shared" si="14"/>
        <v>214</v>
      </c>
      <c r="AR8">
        <f t="shared" si="15"/>
        <v>249</v>
      </c>
      <c r="AS8">
        <f t="shared" si="16"/>
        <v>286</v>
      </c>
      <c r="AT8">
        <f t="shared" si="17"/>
        <v>319</v>
      </c>
    </row>
    <row r="9" spans="1:46" x14ac:dyDescent="0.2">
      <c r="A9">
        <v>45</v>
      </c>
      <c r="B9">
        <v>185</v>
      </c>
      <c r="C9" t="s">
        <v>9</v>
      </c>
      <c r="D9" s="5">
        <f>5729.578/1.5</f>
        <v>3819.7186666666671</v>
      </c>
      <c r="E9" s="1">
        <v>2.8000000000000001E-2</v>
      </c>
      <c r="F9">
        <f t="shared" si="30"/>
        <v>68</v>
      </c>
      <c r="G9">
        <f t="shared" si="31"/>
        <v>84</v>
      </c>
      <c r="H9">
        <f t="shared" si="32"/>
        <v>101</v>
      </c>
      <c r="I9">
        <f t="shared" si="33"/>
        <v>118</v>
      </c>
      <c r="J9">
        <f t="shared" si="34"/>
        <v>136</v>
      </c>
      <c r="K9">
        <f t="shared" si="35"/>
        <v>151</v>
      </c>
      <c r="L9" s="1">
        <v>3.2000000000000001E-2</v>
      </c>
      <c r="M9">
        <f t="shared" si="18"/>
        <v>82</v>
      </c>
      <c r="N9">
        <f t="shared" si="19"/>
        <v>102</v>
      </c>
      <c r="O9">
        <f t="shared" si="20"/>
        <v>123</v>
      </c>
      <c r="P9">
        <f t="shared" si="21"/>
        <v>144</v>
      </c>
      <c r="Q9">
        <f t="shared" si="22"/>
        <v>165</v>
      </c>
      <c r="R9">
        <f t="shared" si="23"/>
        <v>184</v>
      </c>
      <c r="S9" s="1">
        <v>3.6999999999999998E-2</v>
      </c>
      <c r="T9">
        <f t="shared" si="24"/>
        <v>99</v>
      </c>
      <c r="U9">
        <f t="shared" si="25"/>
        <v>123</v>
      </c>
      <c r="V9">
        <f t="shared" si="26"/>
        <v>148</v>
      </c>
      <c r="W9">
        <f t="shared" si="27"/>
        <v>173</v>
      </c>
      <c r="X9">
        <f t="shared" si="28"/>
        <v>199</v>
      </c>
      <c r="Y9">
        <f t="shared" si="29"/>
        <v>221</v>
      </c>
      <c r="Z9" s="1">
        <v>4.1000000000000002E-2</v>
      </c>
      <c r="AA9">
        <f t="shared" si="0"/>
        <v>115</v>
      </c>
      <c r="AB9">
        <f t="shared" si="1"/>
        <v>143</v>
      </c>
      <c r="AC9">
        <f t="shared" si="2"/>
        <v>172</v>
      </c>
      <c r="AD9">
        <f t="shared" si="3"/>
        <v>201</v>
      </c>
      <c r="AE9">
        <f t="shared" si="4"/>
        <v>231</v>
      </c>
      <c r="AF9">
        <f t="shared" si="5"/>
        <v>257</v>
      </c>
      <c r="AG9" s="1">
        <v>4.5999999999999999E-2</v>
      </c>
      <c r="AH9">
        <f t="shared" si="6"/>
        <v>138</v>
      </c>
      <c r="AI9">
        <f t="shared" si="7"/>
        <v>172</v>
      </c>
      <c r="AJ9">
        <f t="shared" si="8"/>
        <v>207</v>
      </c>
      <c r="AK9">
        <f t="shared" si="9"/>
        <v>242</v>
      </c>
      <c r="AL9">
        <f t="shared" si="10"/>
        <v>278</v>
      </c>
      <c r="AM9">
        <f t="shared" si="11"/>
        <v>310</v>
      </c>
      <c r="AN9" s="1">
        <v>5.0999999999999997E-2</v>
      </c>
      <c r="AO9">
        <f t="shared" si="12"/>
        <v>161</v>
      </c>
      <c r="AP9">
        <f t="shared" si="13"/>
        <v>201</v>
      </c>
      <c r="AQ9">
        <f t="shared" si="14"/>
        <v>242</v>
      </c>
      <c r="AR9">
        <f t="shared" si="15"/>
        <v>282</v>
      </c>
      <c r="AS9">
        <f t="shared" si="16"/>
        <v>324</v>
      </c>
      <c r="AT9">
        <f t="shared" si="17"/>
        <v>361</v>
      </c>
    </row>
    <row r="10" spans="1:46" x14ac:dyDescent="0.2">
      <c r="A10">
        <v>50</v>
      </c>
      <c r="B10">
        <v>200</v>
      </c>
      <c r="C10" t="s">
        <v>10</v>
      </c>
      <c r="D10" s="5">
        <f>5729.578/1.75</f>
        <v>3274.0445714285715</v>
      </c>
      <c r="E10" s="1">
        <v>3.2000000000000001E-2</v>
      </c>
      <c r="F10">
        <f t="shared" si="30"/>
        <v>77</v>
      </c>
      <c r="G10">
        <f t="shared" si="31"/>
        <v>96</v>
      </c>
      <c r="H10">
        <f t="shared" si="32"/>
        <v>116</v>
      </c>
      <c r="I10">
        <f t="shared" si="33"/>
        <v>135</v>
      </c>
      <c r="J10">
        <f t="shared" si="34"/>
        <v>155</v>
      </c>
      <c r="K10">
        <f t="shared" si="35"/>
        <v>173</v>
      </c>
      <c r="L10" s="1">
        <v>3.5999999999999997E-2</v>
      </c>
      <c r="M10">
        <f t="shared" si="18"/>
        <v>93</v>
      </c>
      <c r="N10">
        <f t="shared" si="19"/>
        <v>115</v>
      </c>
      <c r="O10">
        <f t="shared" si="20"/>
        <v>139</v>
      </c>
      <c r="P10">
        <f t="shared" si="21"/>
        <v>162</v>
      </c>
      <c r="Q10">
        <f t="shared" si="22"/>
        <v>185</v>
      </c>
      <c r="R10">
        <f t="shared" si="23"/>
        <v>207</v>
      </c>
      <c r="S10" s="1">
        <v>4.1000000000000002E-2</v>
      </c>
      <c r="T10">
        <f t="shared" si="24"/>
        <v>110</v>
      </c>
      <c r="U10">
        <f t="shared" si="25"/>
        <v>136</v>
      </c>
      <c r="V10">
        <f t="shared" si="26"/>
        <v>164</v>
      </c>
      <c r="W10">
        <f t="shared" si="27"/>
        <v>192</v>
      </c>
      <c r="X10">
        <f t="shared" si="28"/>
        <v>220</v>
      </c>
      <c r="Y10">
        <f t="shared" si="29"/>
        <v>245</v>
      </c>
      <c r="Z10" s="1">
        <v>4.5999999999999999E-2</v>
      </c>
      <c r="AA10">
        <f t="shared" si="0"/>
        <v>129</v>
      </c>
      <c r="AB10">
        <f t="shared" si="1"/>
        <v>161</v>
      </c>
      <c r="AC10">
        <f t="shared" si="2"/>
        <v>193</v>
      </c>
      <c r="AD10">
        <f t="shared" si="3"/>
        <v>226</v>
      </c>
      <c r="AE10">
        <f t="shared" si="4"/>
        <v>259</v>
      </c>
      <c r="AF10">
        <f t="shared" si="5"/>
        <v>289</v>
      </c>
      <c r="AG10" s="1">
        <v>5.0999999999999997E-2</v>
      </c>
      <c r="AH10">
        <f t="shared" si="6"/>
        <v>153</v>
      </c>
      <c r="AI10">
        <f t="shared" si="7"/>
        <v>191</v>
      </c>
      <c r="AJ10">
        <f t="shared" si="8"/>
        <v>230</v>
      </c>
      <c r="AK10">
        <f t="shared" si="9"/>
        <v>268</v>
      </c>
      <c r="AL10">
        <f t="shared" si="10"/>
        <v>308</v>
      </c>
      <c r="AM10">
        <f t="shared" si="11"/>
        <v>343</v>
      </c>
      <c r="AN10" s="1">
        <v>5.6000000000000001E-2</v>
      </c>
      <c r="AO10">
        <f t="shared" si="12"/>
        <v>177</v>
      </c>
      <c r="AP10">
        <f t="shared" si="13"/>
        <v>221</v>
      </c>
      <c r="AQ10">
        <f t="shared" si="14"/>
        <v>266</v>
      </c>
      <c r="AR10">
        <f t="shared" si="15"/>
        <v>310</v>
      </c>
      <c r="AS10">
        <f t="shared" si="16"/>
        <v>356</v>
      </c>
      <c r="AT10">
        <f t="shared" si="17"/>
        <v>396</v>
      </c>
    </row>
    <row r="11" spans="1:46" x14ac:dyDescent="0.2">
      <c r="A11">
        <v>55</v>
      </c>
      <c r="B11">
        <v>213</v>
      </c>
      <c r="C11" t="s">
        <v>11</v>
      </c>
      <c r="D11" s="5">
        <f>5729.578/2</f>
        <v>2864.7890000000002</v>
      </c>
      <c r="E11" s="1">
        <v>3.5000000000000003E-2</v>
      </c>
      <c r="F11">
        <f t="shared" si="30"/>
        <v>84</v>
      </c>
      <c r="G11">
        <f t="shared" si="31"/>
        <v>105</v>
      </c>
      <c r="H11">
        <f t="shared" si="32"/>
        <v>126</v>
      </c>
      <c r="I11">
        <f t="shared" si="33"/>
        <v>147</v>
      </c>
      <c r="J11">
        <f t="shared" si="34"/>
        <v>169</v>
      </c>
      <c r="K11">
        <f t="shared" si="35"/>
        <v>189</v>
      </c>
      <c r="L11" s="1">
        <v>0.04</v>
      </c>
      <c r="M11">
        <f t="shared" si="18"/>
        <v>103</v>
      </c>
      <c r="N11">
        <f t="shared" si="19"/>
        <v>128</v>
      </c>
      <c r="O11">
        <f t="shared" si="20"/>
        <v>154</v>
      </c>
      <c r="P11">
        <f t="shared" si="21"/>
        <v>179</v>
      </c>
      <c r="Q11">
        <f t="shared" si="22"/>
        <v>206</v>
      </c>
      <c r="R11">
        <f t="shared" si="23"/>
        <v>230</v>
      </c>
      <c r="S11" s="1">
        <v>4.4999999999999998E-2</v>
      </c>
      <c r="T11">
        <f t="shared" si="24"/>
        <v>120</v>
      </c>
      <c r="U11">
        <f t="shared" si="25"/>
        <v>150</v>
      </c>
      <c r="V11">
        <f t="shared" si="26"/>
        <v>180</v>
      </c>
      <c r="W11">
        <f t="shared" si="27"/>
        <v>210</v>
      </c>
      <c r="X11">
        <f t="shared" si="28"/>
        <v>241</v>
      </c>
      <c r="Y11">
        <f t="shared" si="29"/>
        <v>269</v>
      </c>
      <c r="Z11" s="1">
        <v>0.05</v>
      </c>
      <c r="AA11">
        <f t="shared" si="0"/>
        <v>140</v>
      </c>
      <c r="AB11">
        <f t="shared" si="1"/>
        <v>175</v>
      </c>
      <c r="AC11">
        <f t="shared" si="2"/>
        <v>210</v>
      </c>
      <c r="AD11">
        <f t="shared" si="3"/>
        <v>245</v>
      </c>
      <c r="AE11">
        <f t="shared" si="4"/>
        <v>281</v>
      </c>
      <c r="AF11">
        <f t="shared" si="5"/>
        <v>314</v>
      </c>
      <c r="AG11" s="1">
        <v>5.5E-2</v>
      </c>
      <c r="AH11">
        <f t="shared" si="6"/>
        <v>165</v>
      </c>
      <c r="AI11">
        <f t="shared" si="7"/>
        <v>206</v>
      </c>
      <c r="AJ11">
        <f t="shared" si="8"/>
        <v>248</v>
      </c>
      <c r="AK11">
        <f t="shared" si="9"/>
        <v>289</v>
      </c>
      <c r="AL11">
        <f t="shared" si="10"/>
        <v>332</v>
      </c>
      <c r="AM11">
        <f t="shared" si="11"/>
        <v>370</v>
      </c>
      <c r="AN11" s="1">
        <v>5.8999999999999997E-2</v>
      </c>
      <c r="AO11">
        <f t="shared" si="12"/>
        <v>187</v>
      </c>
      <c r="AP11">
        <f t="shared" si="13"/>
        <v>232</v>
      </c>
      <c r="AQ11">
        <f t="shared" si="14"/>
        <v>280</v>
      </c>
      <c r="AR11">
        <f t="shared" si="15"/>
        <v>326</v>
      </c>
      <c r="AS11">
        <f t="shared" si="16"/>
        <v>375</v>
      </c>
      <c r="AT11">
        <f t="shared" si="17"/>
        <v>418</v>
      </c>
    </row>
    <row r="12" spans="1:46" x14ac:dyDescent="0.2">
      <c r="A12">
        <v>60</v>
      </c>
      <c r="B12">
        <v>222</v>
      </c>
      <c r="C12" t="s">
        <v>12</v>
      </c>
      <c r="D12" s="7">
        <f>5729.578/2.25</f>
        <v>2546.4791111111113</v>
      </c>
      <c r="E12" s="1">
        <v>3.7999999999999999E-2</v>
      </c>
      <c r="F12">
        <f t="shared" si="30"/>
        <v>92</v>
      </c>
      <c r="G12">
        <f t="shared" si="31"/>
        <v>114</v>
      </c>
      <c r="H12">
        <f t="shared" si="32"/>
        <v>137</v>
      </c>
      <c r="I12">
        <f t="shared" si="33"/>
        <v>160</v>
      </c>
      <c r="J12">
        <f t="shared" si="34"/>
        <v>184</v>
      </c>
      <c r="K12">
        <f t="shared" si="35"/>
        <v>205</v>
      </c>
      <c r="L12" s="1">
        <v>4.2999999999999997E-2</v>
      </c>
      <c r="M12">
        <f t="shared" si="18"/>
        <v>110</v>
      </c>
      <c r="N12">
        <f t="shared" si="19"/>
        <v>137</v>
      </c>
      <c r="O12">
        <f t="shared" si="20"/>
        <v>165</v>
      </c>
      <c r="P12">
        <f t="shared" si="21"/>
        <v>193</v>
      </c>
      <c r="Q12">
        <f t="shared" si="22"/>
        <v>221</v>
      </c>
      <c r="R12">
        <f t="shared" si="23"/>
        <v>247</v>
      </c>
      <c r="S12" s="1">
        <v>4.8000000000000001E-2</v>
      </c>
      <c r="T12">
        <f t="shared" si="24"/>
        <v>128</v>
      </c>
      <c r="U12">
        <f t="shared" si="25"/>
        <v>160</v>
      </c>
      <c r="V12">
        <f t="shared" si="26"/>
        <v>192</v>
      </c>
      <c r="W12">
        <f t="shared" si="27"/>
        <v>224</v>
      </c>
      <c r="X12">
        <f t="shared" si="28"/>
        <v>258</v>
      </c>
      <c r="Y12">
        <f t="shared" si="29"/>
        <v>287</v>
      </c>
      <c r="Z12" s="1">
        <v>5.2999999999999999E-2</v>
      </c>
      <c r="AA12">
        <f t="shared" si="0"/>
        <v>149</v>
      </c>
      <c r="AB12">
        <f t="shared" si="1"/>
        <v>185</v>
      </c>
      <c r="AC12">
        <f t="shared" si="2"/>
        <v>223</v>
      </c>
      <c r="AD12">
        <f t="shared" si="3"/>
        <v>260</v>
      </c>
      <c r="AE12">
        <f t="shared" si="4"/>
        <v>298</v>
      </c>
      <c r="AF12">
        <f t="shared" si="5"/>
        <v>332</v>
      </c>
      <c r="AG12" s="1">
        <v>5.7000000000000002E-2</v>
      </c>
      <c r="AH12">
        <f t="shared" si="6"/>
        <v>171</v>
      </c>
      <c r="AI12">
        <f t="shared" si="7"/>
        <v>213</v>
      </c>
      <c r="AJ12">
        <f t="shared" si="8"/>
        <v>257</v>
      </c>
      <c r="AK12">
        <f t="shared" si="9"/>
        <v>300</v>
      </c>
      <c r="AL12">
        <f t="shared" si="10"/>
        <v>344</v>
      </c>
      <c r="AM12">
        <f t="shared" si="11"/>
        <v>384</v>
      </c>
      <c r="AN12" s="1">
        <v>0.06</v>
      </c>
      <c r="AO12">
        <f t="shared" si="12"/>
        <v>190</v>
      </c>
      <c r="AP12">
        <f t="shared" si="13"/>
        <v>236</v>
      </c>
      <c r="AQ12">
        <f t="shared" si="14"/>
        <v>285</v>
      </c>
      <c r="AR12">
        <f t="shared" si="15"/>
        <v>332</v>
      </c>
      <c r="AS12">
        <f t="shared" si="16"/>
        <v>381</v>
      </c>
      <c r="AT12">
        <f t="shared" si="17"/>
        <v>425</v>
      </c>
    </row>
    <row r="13" spans="1:46" x14ac:dyDescent="0.2">
      <c r="A13">
        <v>65</v>
      </c>
      <c r="B13">
        <v>233</v>
      </c>
      <c r="C13" t="s">
        <v>13</v>
      </c>
      <c r="D13" s="5">
        <f>5729.578/2.5</f>
        <v>2291.8312000000001</v>
      </c>
      <c r="E13" s="1">
        <v>0.04</v>
      </c>
      <c r="F13">
        <f t="shared" si="30"/>
        <v>96</v>
      </c>
      <c r="G13">
        <f t="shared" si="31"/>
        <v>120</v>
      </c>
      <c r="H13">
        <f t="shared" si="32"/>
        <v>144</v>
      </c>
      <c r="I13">
        <f t="shared" si="33"/>
        <v>168</v>
      </c>
      <c r="J13">
        <f t="shared" si="34"/>
        <v>193</v>
      </c>
      <c r="K13">
        <f t="shared" si="35"/>
        <v>216</v>
      </c>
      <c r="L13" s="1">
        <v>4.4999999999999998E-2</v>
      </c>
      <c r="M13">
        <f t="shared" si="18"/>
        <v>116</v>
      </c>
      <c r="N13">
        <f t="shared" si="19"/>
        <v>144</v>
      </c>
      <c r="O13">
        <f t="shared" si="20"/>
        <v>173</v>
      </c>
      <c r="P13">
        <f t="shared" si="21"/>
        <v>202</v>
      </c>
      <c r="Q13">
        <f t="shared" si="22"/>
        <v>232</v>
      </c>
      <c r="R13">
        <f t="shared" si="23"/>
        <v>258</v>
      </c>
      <c r="S13" s="1">
        <v>5.0999999999999997E-2</v>
      </c>
      <c r="T13">
        <f t="shared" si="24"/>
        <v>136</v>
      </c>
      <c r="U13">
        <f t="shared" si="25"/>
        <v>170</v>
      </c>
      <c r="V13">
        <f t="shared" si="26"/>
        <v>204</v>
      </c>
      <c r="W13">
        <f t="shared" si="27"/>
        <v>238</v>
      </c>
      <c r="X13">
        <f t="shared" si="28"/>
        <v>274</v>
      </c>
      <c r="Y13">
        <f t="shared" si="29"/>
        <v>305</v>
      </c>
      <c r="Z13" s="1">
        <v>5.6000000000000001E-2</v>
      </c>
      <c r="AA13">
        <f t="shared" si="0"/>
        <v>157</v>
      </c>
      <c r="AB13">
        <f t="shared" si="1"/>
        <v>195</v>
      </c>
      <c r="AC13">
        <f t="shared" si="2"/>
        <v>235</v>
      </c>
      <c r="AD13">
        <f t="shared" si="3"/>
        <v>275</v>
      </c>
      <c r="AE13">
        <f t="shared" si="4"/>
        <v>315</v>
      </c>
      <c r="AF13">
        <f t="shared" si="5"/>
        <v>351</v>
      </c>
      <c r="AG13" s="1">
        <v>5.8999999999999997E-2</v>
      </c>
      <c r="AH13">
        <f t="shared" si="6"/>
        <v>177</v>
      </c>
      <c r="AI13">
        <f t="shared" si="7"/>
        <v>221</v>
      </c>
      <c r="AJ13">
        <f t="shared" si="8"/>
        <v>266</v>
      </c>
      <c r="AK13">
        <f t="shared" si="9"/>
        <v>310</v>
      </c>
      <c r="AL13">
        <f t="shared" si="10"/>
        <v>356</v>
      </c>
      <c r="AM13">
        <f t="shared" si="11"/>
        <v>397</v>
      </c>
      <c r="AN13" s="1"/>
    </row>
    <row r="14" spans="1:46" x14ac:dyDescent="0.2">
      <c r="A14">
        <v>70</v>
      </c>
      <c r="B14">
        <v>250</v>
      </c>
      <c r="C14" t="s">
        <v>14</v>
      </c>
      <c r="D14" s="7">
        <f>5729.578/2.75</f>
        <v>2083.4829090909093</v>
      </c>
      <c r="E14" s="1">
        <v>4.2000000000000003E-2</v>
      </c>
      <c r="F14">
        <f t="shared" si="30"/>
        <v>101</v>
      </c>
      <c r="G14">
        <f t="shared" si="31"/>
        <v>126</v>
      </c>
      <c r="H14">
        <f t="shared" si="32"/>
        <v>152</v>
      </c>
      <c r="I14">
        <f t="shared" si="33"/>
        <v>177</v>
      </c>
      <c r="J14">
        <f t="shared" si="34"/>
        <v>203</v>
      </c>
      <c r="K14">
        <f t="shared" si="35"/>
        <v>226</v>
      </c>
      <c r="L14" s="1">
        <v>4.8000000000000001E-2</v>
      </c>
      <c r="M14">
        <f t="shared" si="18"/>
        <v>123</v>
      </c>
      <c r="N14">
        <f t="shared" si="19"/>
        <v>153</v>
      </c>
      <c r="O14">
        <f t="shared" si="20"/>
        <v>185</v>
      </c>
      <c r="P14">
        <f t="shared" si="21"/>
        <v>215</v>
      </c>
      <c r="Q14">
        <f t="shared" si="22"/>
        <v>247</v>
      </c>
      <c r="R14">
        <f t="shared" si="23"/>
        <v>275</v>
      </c>
      <c r="S14" s="1">
        <v>5.2999999999999999E-2</v>
      </c>
      <c r="T14">
        <f t="shared" si="24"/>
        <v>142</v>
      </c>
      <c r="U14">
        <f t="shared" si="25"/>
        <v>176</v>
      </c>
      <c r="V14">
        <f t="shared" si="26"/>
        <v>212</v>
      </c>
      <c r="W14">
        <f t="shared" si="27"/>
        <v>248</v>
      </c>
      <c r="X14">
        <f t="shared" si="28"/>
        <v>284</v>
      </c>
      <c r="Y14">
        <f t="shared" si="29"/>
        <v>317</v>
      </c>
      <c r="Z14" s="1">
        <v>5.8000000000000003E-2</v>
      </c>
      <c r="AA14">
        <f t="shared" si="0"/>
        <v>163</v>
      </c>
      <c r="AB14">
        <f t="shared" si="1"/>
        <v>202</v>
      </c>
      <c r="AC14">
        <f t="shared" si="2"/>
        <v>244</v>
      </c>
      <c r="AD14">
        <f t="shared" si="3"/>
        <v>284</v>
      </c>
      <c r="AE14">
        <f t="shared" si="4"/>
        <v>326</v>
      </c>
      <c r="AF14">
        <f t="shared" si="5"/>
        <v>364</v>
      </c>
      <c r="AG14" s="1">
        <v>0.06</v>
      </c>
      <c r="AH14">
        <f t="shared" si="6"/>
        <v>180</v>
      </c>
      <c r="AI14">
        <f t="shared" si="7"/>
        <v>225</v>
      </c>
      <c r="AJ14">
        <f t="shared" si="8"/>
        <v>270</v>
      </c>
      <c r="AK14">
        <f t="shared" si="9"/>
        <v>315</v>
      </c>
      <c r="AL14">
        <f t="shared" si="10"/>
        <v>362</v>
      </c>
      <c r="AM14">
        <f t="shared" si="11"/>
        <v>404</v>
      </c>
      <c r="AN14" s="1"/>
    </row>
    <row r="15" spans="1:46" x14ac:dyDescent="0.2">
      <c r="A15">
        <v>70</v>
      </c>
      <c r="B15">
        <v>263</v>
      </c>
      <c r="C15" t="s">
        <v>15</v>
      </c>
      <c r="D15" s="5">
        <f>5729.578/3</f>
        <v>1909.8593333333336</v>
      </c>
      <c r="E15" s="1">
        <v>4.4999999999999998E-2</v>
      </c>
      <c r="F15">
        <f t="shared" si="30"/>
        <v>108</v>
      </c>
      <c r="G15">
        <f t="shared" si="31"/>
        <v>135</v>
      </c>
      <c r="H15">
        <f t="shared" si="32"/>
        <v>162</v>
      </c>
      <c r="I15">
        <f t="shared" si="33"/>
        <v>189</v>
      </c>
      <c r="J15">
        <f t="shared" si="34"/>
        <v>218</v>
      </c>
      <c r="K15">
        <f t="shared" si="35"/>
        <v>242</v>
      </c>
      <c r="L15" s="1">
        <v>0.05</v>
      </c>
      <c r="M15">
        <f t="shared" si="18"/>
        <v>128</v>
      </c>
      <c r="N15">
        <f t="shared" si="19"/>
        <v>160</v>
      </c>
      <c r="O15">
        <f t="shared" si="20"/>
        <v>192</v>
      </c>
      <c r="P15">
        <f t="shared" si="21"/>
        <v>224</v>
      </c>
      <c r="Q15">
        <f t="shared" si="22"/>
        <v>257</v>
      </c>
      <c r="R15">
        <f t="shared" si="23"/>
        <v>287</v>
      </c>
      <c r="S15" s="1">
        <v>5.5E-2</v>
      </c>
      <c r="T15">
        <f t="shared" si="24"/>
        <v>147</v>
      </c>
      <c r="U15">
        <f t="shared" si="25"/>
        <v>183</v>
      </c>
      <c r="V15">
        <f t="shared" si="26"/>
        <v>220</v>
      </c>
      <c r="W15">
        <f t="shared" si="27"/>
        <v>257</v>
      </c>
      <c r="X15">
        <f t="shared" si="28"/>
        <v>295</v>
      </c>
      <c r="Y15">
        <f t="shared" si="29"/>
        <v>329</v>
      </c>
      <c r="Z15" s="1">
        <v>5.8999999999999997E-2</v>
      </c>
      <c r="AA15">
        <f t="shared" si="0"/>
        <v>165</v>
      </c>
      <c r="AB15">
        <f t="shared" si="1"/>
        <v>206</v>
      </c>
      <c r="AC15">
        <f t="shared" si="2"/>
        <v>248</v>
      </c>
      <c r="AD15">
        <f t="shared" si="3"/>
        <v>289</v>
      </c>
      <c r="AE15">
        <f t="shared" si="4"/>
        <v>332</v>
      </c>
      <c r="AF15">
        <f t="shared" si="5"/>
        <v>370</v>
      </c>
      <c r="AG15" s="1"/>
    </row>
    <row r="16" spans="1:46" x14ac:dyDescent="0.2">
      <c r="C16" t="s">
        <v>21</v>
      </c>
      <c r="D16" s="7">
        <f>5729.578/3.5</f>
        <v>1637.0222857142858</v>
      </c>
      <c r="E16" s="1">
        <v>4.8000000000000001E-2</v>
      </c>
      <c r="F16">
        <f t="shared" si="30"/>
        <v>116</v>
      </c>
      <c r="G16">
        <f t="shared" si="31"/>
        <v>144</v>
      </c>
      <c r="H16">
        <f t="shared" si="32"/>
        <v>173</v>
      </c>
      <c r="I16">
        <f t="shared" si="33"/>
        <v>202</v>
      </c>
      <c r="J16">
        <f t="shared" si="34"/>
        <v>232</v>
      </c>
      <c r="K16">
        <f t="shared" si="35"/>
        <v>259</v>
      </c>
      <c r="L16" s="1">
        <v>5.3999999999999999E-2</v>
      </c>
      <c r="M16">
        <f t="shared" si="18"/>
        <v>139</v>
      </c>
      <c r="N16">
        <f t="shared" si="19"/>
        <v>172</v>
      </c>
      <c r="O16">
        <f t="shared" si="20"/>
        <v>208</v>
      </c>
      <c r="P16">
        <f t="shared" si="21"/>
        <v>242</v>
      </c>
      <c r="Q16">
        <f t="shared" si="22"/>
        <v>278</v>
      </c>
      <c r="R16">
        <f t="shared" si="23"/>
        <v>310</v>
      </c>
      <c r="S16" s="1">
        <v>5.8000000000000003E-2</v>
      </c>
      <c r="T16">
        <f t="shared" si="24"/>
        <v>155</v>
      </c>
      <c r="U16">
        <f t="shared" si="25"/>
        <v>193</v>
      </c>
      <c r="V16">
        <f t="shared" si="26"/>
        <v>232</v>
      </c>
      <c r="W16">
        <f t="shared" si="27"/>
        <v>271</v>
      </c>
      <c r="X16">
        <f t="shared" si="28"/>
        <v>311</v>
      </c>
      <c r="Y16">
        <f t="shared" si="29"/>
        <v>347</v>
      </c>
      <c r="Z16" s="1">
        <v>0.06</v>
      </c>
      <c r="AA16">
        <f t="shared" si="0"/>
        <v>168</v>
      </c>
      <c r="AB16">
        <f t="shared" si="1"/>
        <v>209</v>
      </c>
      <c r="AC16">
        <f t="shared" si="2"/>
        <v>252</v>
      </c>
      <c r="AD16">
        <f t="shared" si="3"/>
        <v>294</v>
      </c>
      <c r="AE16">
        <f t="shared" si="4"/>
        <v>338</v>
      </c>
      <c r="AF16">
        <f t="shared" si="5"/>
        <v>376</v>
      </c>
      <c r="AG16" s="1"/>
    </row>
    <row r="17" spans="3:26" x14ac:dyDescent="0.2">
      <c r="C17" t="s">
        <v>18</v>
      </c>
      <c r="D17" s="7">
        <f>5729.578/4</f>
        <v>1432.3945000000001</v>
      </c>
      <c r="E17" s="1">
        <v>5.1999999999999998E-2</v>
      </c>
      <c r="F17">
        <f t="shared" si="30"/>
        <v>125</v>
      </c>
      <c r="G17">
        <f t="shared" si="31"/>
        <v>156</v>
      </c>
      <c r="H17">
        <f t="shared" si="32"/>
        <v>188</v>
      </c>
      <c r="I17">
        <f t="shared" si="33"/>
        <v>219</v>
      </c>
      <c r="J17">
        <f t="shared" si="34"/>
        <v>251</v>
      </c>
      <c r="K17">
        <f t="shared" si="35"/>
        <v>280</v>
      </c>
      <c r="L17" s="1">
        <v>5.7000000000000002E-2</v>
      </c>
      <c r="M17">
        <f t="shared" si="18"/>
        <v>146</v>
      </c>
      <c r="N17">
        <f t="shared" si="19"/>
        <v>182</v>
      </c>
      <c r="O17">
        <f t="shared" si="20"/>
        <v>219</v>
      </c>
      <c r="P17">
        <f t="shared" si="21"/>
        <v>255</v>
      </c>
      <c r="Q17">
        <f t="shared" si="22"/>
        <v>293</v>
      </c>
      <c r="R17">
        <f t="shared" si="23"/>
        <v>327</v>
      </c>
      <c r="S17" s="1">
        <v>0.06</v>
      </c>
      <c r="T17">
        <f t="shared" si="24"/>
        <v>160</v>
      </c>
      <c r="U17">
        <f t="shared" si="25"/>
        <v>200</v>
      </c>
      <c r="V17">
        <f t="shared" si="26"/>
        <v>240</v>
      </c>
      <c r="W17">
        <f t="shared" si="27"/>
        <v>280</v>
      </c>
      <c r="X17">
        <f t="shared" si="28"/>
        <v>322</v>
      </c>
      <c r="Y17">
        <f t="shared" si="29"/>
        <v>359</v>
      </c>
      <c r="Z17" s="1"/>
    </row>
    <row r="18" spans="3:26" x14ac:dyDescent="0.2">
      <c r="C18" t="s">
        <v>19</v>
      </c>
      <c r="D18" s="5">
        <f>5729.578/4.5</f>
        <v>1273.2395555555556</v>
      </c>
      <c r="E18" s="1">
        <v>5.3999999999999999E-2</v>
      </c>
      <c r="F18">
        <f t="shared" si="30"/>
        <v>130</v>
      </c>
      <c r="G18">
        <f t="shared" si="31"/>
        <v>162</v>
      </c>
      <c r="H18">
        <f t="shared" si="32"/>
        <v>195</v>
      </c>
      <c r="I18">
        <f t="shared" si="33"/>
        <v>227</v>
      </c>
      <c r="J18">
        <f t="shared" si="34"/>
        <v>261</v>
      </c>
      <c r="K18">
        <f t="shared" si="35"/>
        <v>291</v>
      </c>
      <c r="L18" s="1">
        <v>5.8999999999999997E-2</v>
      </c>
      <c r="M18">
        <f t="shared" si="18"/>
        <v>151</v>
      </c>
      <c r="N18">
        <f t="shared" si="19"/>
        <v>188</v>
      </c>
      <c r="O18">
        <f t="shared" si="20"/>
        <v>227</v>
      </c>
      <c r="P18">
        <f t="shared" si="21"/>
        <v>264</v>
      </c>
      <c r="Q18">
        <f t="shared" si="22"/>
        <v>304</v>
      </c>
      <c r="R18">
        <f t="shared" si="23"/>
        <v>338</v>
      </c>
      <c r="S18" s="1"/>
    </row>
    <row r="19" spans="3:26" x14ac:dyDescent="0.2">
      <c r="C19" t="s">
        <v>20</v>
      </c>
      <c r="D19" s="5">
        <f>5729.578/5</f>
        <v>1145.9156</v>
      </c>
      <c r="E19" s="1">
        <v>5.6000000000000001E-2</v>
      </c>
      <c r="F19">
        <f t="shared" si="30"/>
        <v>135</v>
      </c>
      <c r="G19">
        <f t="shared" si="31"/>
        <v>168</v>
      </c>
      <c r="H19">
        <f t="shared" si="32"/>
        <v>202</v>
      </c>
      <c r="I19">
        <f t="shared" si="33"/>
        <v>236</v>
      </c>
      <c r="J19">
        <f t="shared" si="34"/>
        <v>271</v>
      </c>
      <c r="K19">
        <f t="shared" si="35"/>
        <v>302</v>
      </c>
      <c r="L19" s="1">
        <v>0.06</v>
      </c>
      <c r="M19">
        <f t="shared" si="18"/>
        <v>154</v>
      </c>
      <c r="N19">
        <f t="shared" si="19"/>
        <v>191</v>
      </c>
      <c r="O19">
        <f t="shared" si="20"/>
        <v>231</v>
      </c>
      <c r="P19">
        <f t="shared" si="21"/>
        <v>269</v>
      </c>
      <c r="Q19">
        <f t="shared" si="22"/>
        <v>309</v>
      </c>
      <c r="R19">
        <f t="shared" si="23"/>
        <v>344</v>
      </c>
      <c r="S19" s="1"/>
    </row>
    <row r="20" spans="3:26" x14ac:dyDescent="0.2">
      <c r="C20" t="s">
        <v>22</v>
      </c>
      <c r="D20" s="7">
        <f>5729.578/5.5</f>
        <v>1041.7414545454546</v>
      </c>
      <c r="E20" s="1">
        <v>5.8000000000000003E-2</v>
      </c>
      <c r="F20">
        <f t="shared" si="30"/>
        <v>140</v>
      </c>
      <c r="G20">
        <f t="shared" si="31"/>
        <v>174</v>
      </c>
      <c r="H20">
        <f t="shared" si="32"/>
        <v>209</v>
      </c>
      <c r="I20">
        <f t="shared" si="33"/>
        <v>244</v>
      </c>
      <c r="J20">
        <f t="shared" si="34"/>
        <v>280</v>
      </c>
      <c r="K20">
        <f t="shared" si="35"/>
        <v>312</v>
      </c>
      <c r="L20" s="1">
        <v>0.06</v>
      </c>
      <c r="M20">
        <f t="shared" si="18"/>
        <v>154</v>
      </c>
      <c r="N20">
        <f t="shared" si="19"/>
        <v>191</v>
      </c>
      <c r="O20">
        <f t="shared" si="20"/>
        <v>231</v>
      </c>
      <c r="P20">
        <f t="shared" si="21"/>
        <v>269</v>
      </c>
      <c r="Q20">
        <f t="shared" si="22"/>
        <v>309</v>
      </c>
      <c r="R20">
        <f t="shared" si="23"/>
        <v>344</v>
      </c>
      <c r="S20" s="1"/>
    </row>
    <row r="21" spans="3:26" x14ac:dyDescent="0.2">
      <c r="C21" t="s">
        <v>23</v>
      </c>
      <c r="D21" s="5">
        <f>5729.578/6</f>
        <v>954.92966666666678</v>
      </c>
      <c r="E21" s="1">
        <v>5.8999999999999997E-2</v>
      </c>
      <c r="F21">
        <f t="shared" si="30"/>
        <v>142</v>
      </c>
      <c r="G21">
        <f t="shared" si="31"/>
        <v>177</v>
      </c>
      <c r="H21">
        <f t="shared" si="32"/>
        <v>213</v>
      </c>
      <c r="I21">
        <f t="shared" si="33"/>
        <v>248</v>
      </c>
      <c r="J21">
        <f t="shared" si="34"/>
        <v>285</v>
      </c>
      <c r="K21">
        <f t="shared" si="35"/>
        <v>318</v>
      </c>
      <c r="L21" s="1"/>
    </row>
    <row r="22" spans="3:26" x14ac:dyDescent="0.2">
      <c r="C22" t="s">
        <v>24</v>
      </c>
      <c r="D22" s="7">
        <f>5729.578/6.5</f>
        <v>881.47353846153851</v>
      </c>
      <c r="E22" s="1">
        <v>0.06</v>
      </c>
      <c r="F22">
        <f t="shared" si="30"/>
        <v>144</v>
      </c>
      <c r="G22">
        <f t="shared" si="31"/>
        <v>180</v>
      </c>
      <c r="H22">
        <f t="shared" si="32"/>
        <v>216</v>
      </c>
      <c r="I22">
        <f t="shared" si="33"/>
        <v>252</v>
      </c>
      <c r="J22">
        <f t="shared" si="34"/>
        <v>290</v>
      </c>
      <c r="K22">
        <f t="shared" si="35"/>
        <v>323</v>
      </c>
      <c r="L22" s="1"/>
    </row>
    <row r="23" spans="3:26" x14ac:dyDescent="0.2">
      <c r="E23" s="1"/>
    </row>
    <row r="24" spans="3:26" x14ac:dyDescent="0.2">
      <c r="E24" s="1"/>
    </row>
    <row r="25" spans="3:26" x14ac:dyDescent="0.2">
      <c r="E25" s="1"/>
    </row>
    <row r="26" spans="3:26" x14ac:dyDescent="0.2">
      <c r="E26" s="1"/>
    </row>
    <row r="27" spans="3:26" x14ac:dyDescent="0.2">
      <c r="E27" s="1"/>
    </row>
    <row r="28" spans="3:26" x14ac:dyDescent="0.2">
      <c r="E28" s="1"/>
    </row>
    <row r="29" spans="3:26" x14ac:dyDescent="0.2">
      <c r="E29" s="1"/>
    </row>
    <row r="30" spans="3:26" x14ac:dyDescent="0.2">
      <c r="E30" s="1"/>
    </row>
    <row r="31" spans="3:26" x14ac:dyDescent="0.2">
      <c r="E31" s="1"/>
    </row>
    <row r="32" spans="3:26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  <row r="41" spans="5:5" x14ac:dyDescent="0.2">
      <c r="E41" s="1"/>
    </row>
    <row r="42" spans="5:5" x14ac:dyDescent="0.2">
      <c r="E42" s="1"/>
    </row>
    <row r="43" spans="5:5" x14ac:dyDescent="0.2">
      <c r="E43" s="1"/>
    </row>
    <row r="44" spans="5:5" x14ac:dyDescent="0.2">
      <c r="E44" s="1"/>
    </row>
    <row r="45" spans="5:5" x14ac:dyDescent="0.2">
      <c r="E45" s="1"/>
    </row>
    <row r="46" spans="5:5" x14ac:dyDescent="0.2">
      <c r="E46" s="1"/>
    </row>
    <row r="47" spans="5:5" x14ac:dyDescent="0.2">
      <c r="E47" s="1"/>
    </row>
    <row r="48" spans="5:5" x14ac:dyDescent="0.2">
      <c r="E48" s="1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52"/>
  <sheetViews>
    <sheetView zoomScale="90" zoomScaleNormal="90" workbookViewId="0">
      <pane xSplit="4" topLeftCell="E1" activePane="topRight" state="frozen"/>
      <selection pane="topRight" activeCell="D8" sqref="D8"/>
    </sheetView>
  </sheetViews>
  <sheetFormatPr defaultRowHeight="12.75" x14ac:dyDescent="0.2"/>
  <cols>
    <col min="1" max="1" width="6.5703125" bestFit="1" customWidth="1"/>
    <col min="2" max="2" width="4.140625" bestFit="1" customWidth="1"/>
    <col min="3" max="3" width="6" bestFit="1" customWidth="1"/>
    <col min="4" max="4" width="9.42578125" style="5" bestFit="1" customWidth="1"/>
    <col min="5" max="5" width="7.42578125" bestFit="1" customWidth="1"/>
    <col min="6" max="11" width="6.42578125" bestFit="1" customWidth="1"/>
    <col min="12" max="12" width="7.42578125" bestFit="1" customWidth="1"/>
    <col min="13" max="13" width="6.42578125" bestFit="1" customWidth="1"/>
    <col min="14" max="14" width="6.42578125" customWidth="1"/>
    <col min="15" max="15" width="6.42578125" bestFit="1" customWidth="1"/>
    <col min="16" max="18" width="6.42578125" customWidth="1"/>
    <col min="19" max="19" width="7.42578125" bestFit="1" customWidth="1"/>
    <col min="20" max="20" width="6.42578125" bestFit="1" customWidth="1"/>
    <col min="21" max="21" width="6.42578125" customWidth="1"/>
    <col min="22" max="22" width="6.42578125" bestFit="1" customWidth="1"/>
    <col min="23" max="25" width="6.42578125" customWidth="1"/>
    <col min="26" max="26" width="7.42578125" bestFit="1" customWidth="1"/>
    <col min="27" max="27" width="6.42578125" bestFit="1" customWidth="1"/>
    <col min="28" max="28" width="6.42578125" customWidth="1"/>
    <col min="29" max="29" width="6.42578125" bestFit="1" customWidth="1"/>
    <col min="30" max="32" width="6.42578125" customWidth="1"/>
    <col min="33" max="33" width="7.42578125" bestFit="1" customWidth="1"/>
    <col min="34" max="34" width="6.42578125" bestFit="1" customWidth="1"/>
    <col min="35" max="35" width="6.42578125" customWidth="1"/>
    <col min="36" max="36" width="6.42578125" bestFit="1" customWidth="1"/>
    <col min="37" max="39" width="6.42578125" customWidth="1"/>
    <col min="40" max="40" width="7.42578125" bestFit="1" customWidth="1"/>
    <col min="41" max="46" width="6.42578125" bestFit="1" customWidth="1"/>
  </cols>
  <sheetData>
    <row r="1" spans="1:46" x14ac:dyDescent="0.2">
      <c r="A1" s="2" t="s">
        <v>106</v>
      </c>
    </row>
    <row r="2" spans="1:46" x14ac:dyDescent="0.2">
      <c r="A2" t="s">
        <v>103</v>
      </c>
      <c r="B2">
        <v>12</v>
      </c>
      <c r="E2" s="2" t="s">
        <v>96</v>
      </c>
      <c r="F2" t="s">
        <v>62</v>
      </c>
      <c r="G2" t="s">
        <v>99</v>
      </c>
      <c r="H2" t="s">
        <v>63</v>
      </c>
      <c r="I2" t="s">
        <v>100</v>
      </c>
      <c r="J2" t="s">
        <v>101</v>
      </c>
      <c r="K2" t="s">
        <v>102</v>
      </c>
      <c r="L2" s="2" t="s">
        <v>56</v>
      </c>
      <c r="M2" t="s">
        <v>62</v>
      </c>
      <c r="N2" t="s">
        <v>99</v>
      </c>
      <c r="O2" t="s">
        <v>63</v>
      </c>
      <c r="P2" t="s">
        <v>100</v>
      </c>
      <c r="Q2" t="s">
        <v>101</v>
      </c>
      <c r="R2" t="s">
        <v>102</v>
      </c>
      <c r="S2" s="2" t="s">
        <v>58</v>
      </c>
      <c r="T2" t="s">
        <v>62</v>
      </c>
      <c r="U2" t="s">
        <v>99</v>
      </c>
      <c r="V2" t="s">
        <v>63</v>
      </c>
      <c r="W2" t="s">
        <v>100</v>
      </c>
      <c r="X2" t="s">
        <v>101</v>
      </c>
      <c r="Y2" t="s">
        <v>102</v>
      </c>
      <c r="Z2" s="2" t="s">
        <v>59</v>
      </c>
      <c r="AA2" t="s">
        <v>62</v>
      </c>
      <c r="AB2" t="s">
        <v>99</v>
      </c>
      <c r="AC2" t="s">
        <v>63</v>
      </c>
      <c r="AD2" t="s">
        <v>100</v>
      </c>
      <c r="AE2" t="s">
        <v>101</v>
      </c>
      <c r="AF2" t="s">
        <v>102</v>
      </c>
      <c r="AG2" s="2" t="s">
        <v>60</v>
      </c>
      <c r="AH2" t="s">
        <v>62</v>
      </c>
      <c r="AI2" t="s">
        <v>99</v>
      </c>
      <c r="AJ2" t="s">
        <v>63</v>
      </c>
      <c r="AK2" t="s">
        <v>100</v>
      </c>
      <c r="AL2" t="s">
        <v>101</v>
      </c>
      <c r="AM2" t="s">
        <v>102</v>
      </c>
      <c r="AN2" s="2" t="s">
        <v>64</v>
      </c>
      <c r="AO2" t="s">
        <v>62</v>
      </c>
      <c r="AP2" t="s">
        <v>99</v>
      </c>
      <c r="AQ2" t="s">
        <v>63</v>
      </c>
      <c r="AR2" t="s">
        <v>100</v>
      </c>
      <c r="AS2" t="s">
        <v>101</v>
      </c>
      <c r="AT2" t="s">
        <v>102</v>
      </c>
    </row>
    <row r="3" spans="1:46" x14ac:dyDescent="0.2">
      <c r="A3" t="s">
        <v>61</v>
      </c>
      <c r="B3" t="s">
        <v>1</v>
      </c>
      <c r="C3" t="s">
        <v>2</v>
      </c>
      <c r="D3" s="5" t="s">
        <v>3</v>
      </c>
      <c r="E3" t="s">
        <v>57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57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57</v>
      </c>
      <c r="T3" t="s">
        <v>0</v>
      </c>
      <c r="U3" t="s">
        <v>0</v>
      </c>
      <c r="V3" t="s">
        <v>0</v>
      </c>
      <c r="W3" t="s">
        <v>0</v>
      </c>
      <c r="X3" t="s">
        <v>0</v>
      </c>
      <c r="Y3" t="s">
        <v>0</v>
      </c>
      <c r="Z3" t="s">
        <v>57</v>
      </c>
      <c r="AA3" t="s">
        <v>0</v>
      </c>
      <c r="AB3" t="s">
        <v>0</v>
      </c>
      <c r="AC3" t="s">
        <v>0</v>
      </c>
      <c r="AD3" t="s">
        <v>0</v>
      </c>
      <c r="AE3" t="s">
        <v>0</v>
      </c>
      <c r="AF3" t="s">
        <v>0</v>
      </c>
      <c r="AG3" t="s">
        <v>57</v>
      </c>
      <c r="AH3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57</v>
      </c>
      <c r="AO3" t="s">
        <v>0</v>
      </c>
      <c r="AP3" t="s">
        <v>0</v>
      </c>
      <c r="AQ3" t="s">
        <v>0</v>
      </c>
      <c r="AR3" t="s">
        <v>0</v>
      </c>
      <c r="AS3" t="s">
        <v>0</v>
      </c>
      <c r="AT3" t="s">
        <v>0</v>
      </c>
    </row>
    <row r="4" spans="1:46" x14ac:dyDescent="0.2">
      <c r="A4">
        <v>20</v>
      </c>
      <c r="B4">
        <v>135</v>
      </c>
      <c r="C4" t="s">
        <v>20</v>
      </c>
      <c r="D4" s="5">
        <f>5729.578/5</f>
        <v>1145.9156</v>
      </c>
      <c r="E4" s="1" t="s">
        <v>70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1" t="s">
        <v>70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s="1" t="s">
        <v>70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 s="1" t="s">
        <v>70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 s="1" t="s">
        <v>70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1" t="s">
        <v>70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x14ac:dyDescent="0.2">
      <c r="A5">
        <v>25</v>
      </c>
      <c r="B5">
        <v>143</v>
      </c>
      <c r="C5" t="s">
        <v>22</v>
      </c>
      <c r="D5" s="5">
        <f>5729.578/5.5</f>
        <v>1041.7414545454546</v>
      </c>
      <c r="E5" s="1" t="s">
        <v>70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1" t="s">
        <v>70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 s="1" t="s">
        <v>70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 s="1" t="s">
        <v>70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 s="1" t="s">
        <v>70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1" t="s">
        <v>70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</row>
    <row r="6" spans="1:46" x14ac:dyDescent="0.2">
      <c r="A6">
        <v>30</v>
      </c>
      <c r="B6">
        <v>152</v>
      </c>
      <c r="C6" t="s">
        <v>23</v>
      </c>
      <c r="D6" s="5">
        <f>5729.578/6</f>
        <v>954.92966666666678</v>
      </c>
      <c r="E6" s="1" t="s">
        <v>70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1" t="s">
        <v>70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 s="1" t="s">
        <v>70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1" t="s">
        <v>70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 s="1" t="s">
        <v>70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1.6E-2</v>
      </c>
      <c r="AO6">
        <f>ROUNDUP($B$2*$AN6*$B$9,0)</f>
        <v>36</v>
      </c>
      <c r="AP6">
        <f>ROUNDUP($B$2*1.5*$AN6*$B$9*0.83,0)</f>
        <v>45</v>
      </c>
      <c r="AQ6">
        <f>ROUNDUP($B$2*2*$AN6*$B$9*0.75,0)</f>
        <v>54</v>
      </c>
      <c r="AR6">
        <f>ROUNDUP($B$2*2.5*$AN6*$B$9*0.7,0)</f>
        <v>63</v>
      </c>
      <c r="AS6">
        <f>ROUNDUP($B$2*3*$AN6*$B$9*0.67,0)</f>
        <v>72</v>
      </c>
      <c r="AT6">
        <f>ROUNDUP($B$2*3.5*$AN6*$B$9*0.64,0)</f>
        <v>80</v>
      </c>
    </row>
    <row r="7" spans="1:46" x14ac:dyDescent="0.2">
      <c r="A7">
        <v>35</v>
      </c>
      <c r="B7">
        <v>161</v>
      </c>
      <c r="C7" t="s">
        <v>24</v>
      </c>
      <c r="D7" s="5">
        <f>5729.578/6.5</f>
        <v>881.47353846153851</v>
      </c>
      <c r="E7" s="1" t="s">
        <v>70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1" t="s">
        <v>70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 s="1" t="s">
        <v>70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1" t="s">
        <v>70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 s="1" t="s">
        <v>70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2.7E-2</v>
      </c>
      <c r="AO7">
        <f t="shared" ref="AO7:AO8" si="0">ROUNDUP($B$2*$AN7*$B$9,0)</f>
        <v>60</v>
      </c>
      <c r="AP7">
        <f t="shared" ref="AP7:AP8" si="1">ROUNDUP($B$2*1.5*$AN7*$B$9*0.83,0)</f>
        <v>75</v>
      </c>
      <c r="AQ7">
        <f t="shared" ref="AQ7:AQ8" si="2">ROUNDUP($B$2*2*$AN7*$B$9*0.75,0)</f>
        <v>90</v>
      </c>
      <c r="AR7">
        <f t="shared" ref="AR7:AR8" si="3">ROUNDUP($B$2*2.5*$AN7*$B$9*0.7,0)</f>
        <v>105</v>
      </c>
      <c r="AS7">
        <f t="shared" ref="AS7:AS8" si="4">ROUNDUP($B$2*3*$AN7*$B$9*0.67,0)</f>
        <v>121</v>
      </c>
      <c r="AT7">
        <f t="shared" ref="AT7:AT8" si="5">ROUNDUP($B$2*3.5*$AN7*$B$9*0.64,0)</f>
        <v>135</v>
      </c>
    </row>
    <row r="8" spans="1:46" x14ac:dyDescent="0.2">
      <c r="A8">
        <v>40</v>
      </c>
      <c r="B8">
        <v>172</v>
      </c>
      <c r="C8" t="s">
        <v>25</v>
      </c>
      <c r="D8" s="7">
        <f>5729.578/7</f>
        <v>818.51114285714289</v>
      </c>
      <c r="E8" s="1" t="s">
        <v>70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1" t="s">
        <v>70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1" t="s">
        <v>70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1" t="s">
        <v>70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 s="1" t="s">
        <v>70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3.9E-2</v>
      </c>
      <c r="AO8">
        <f t="shared" si="0"/>
        <v>87</v>
      </c>
      <c r="AP8">
        <f t="shared" si="1"/>
        <v>108</v>
      </c>
      <c r="AQ8">
        <f t="shared" si="2"/>
        <v>130</v>
      </c>
      <c r="AR8">
        <f t="shared" si="3"/>
        <v>152</v>
      </c>
      <c r="AS8">
        <f t="shared" si="4"/>
        <v>175</v>
      </c>
      <c r="AT8">
        <f t="shared" si="5"/>
        <v>194</v>
      </c>
    </row>
    <row r="9" spans="1:46" x14ac:dyDescent="0.2">
      <c r="A9">
        <v>45</v>
      </c>
      <c r="B9">
        <v>185</v>
      </c>
      <c r="C9" t="s">
        <v>26</v>
      </c>
      <c r="D9" s="5">
        <f>5729.578/7.5</f>
        <v>763.9437333333334</v>
      </c>
      <c r="E9" s="1" t="s">
        <v>70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1" t="s">
        <v>70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s="1" t="s">
        <v>70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1" t="s">
        <v>70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 s="1" t="s">
        <v>70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46" x14ac:dyDescent="0.2">
      <c r="A10">
        <v>50</v>
      </c>
      <c r="B10">
        <v>200</v>
      </c>
      <c r="C10" t="s">
        <v>27</v>
      </c>
      <c r="D10" s="5">
        <f>5729.578/8</f>
        <v>716.19725000000005</v>
      </c>
      <c r="E10" s="1" t="s">
        <v>70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1" t="s">
        <v>70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s="1" t="s">
        <v>70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1" t="s">
        <v>70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1.6E-2</v>
      </c>
      <c r="AH10">
        <f>ROUNDUP($B$2*$AG10*$B$8,0)</f>
        <v>34</v>
      </c>
      <c r="AI10">
        <f>ROUNDUP($B$2*1.5*$AG10*$B$8*0.83,0)</f>
        <v>42</v>
      </c>
      <c r="AJ10">
        <f>ROUNDUP($B$2*2*$AG10*$B$8*0.75,0)</f>
        <v>50</v>
      </c>
      <c r="AK10">
        <f>ROUNDUP($B$2*2.5*$AG10*$B$8*0.7,0)</f>
        <v>58</v>
      </c>
      <c r="AL10">
        <f>ROUNDUP($B$2*3*$AG10*$B$8*0.67,0)</f>
        <v>67</v>
      </c>
      <c r="AM10">
        <f>ROUNDUP($B$2*3.5*$AG10*$B$8*0.64,0)</f>
        <v>74</v>
      </c>
    </row>
    <row r="11" spans="1:46" x14ac:dyDescent="0.2">
      <c r="A11">
        <v>55</v>
      </c>
      <c r="B11">
        <v>213</v>
      </c>
      <c r="C11" t="s">
        <v>28</v>
      </c>
      <c r="D11" s="5">
        <f>5729.578/8.5</f>
        <v>674.0680000000001</v>
      </c>
      <c r="E11" s="1" t="s">
        <v>70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1" t="s">
        <v>70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 s="1" t="s">
        <v>70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1" t="s">
        <v>70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1.6E-2</v>
      </c>
      <c r="AH11">
        <f t="shared" ref="AH11:AH14" si="6">ROUNDUP($B$2*$AG11*$B$8,0)</f>
        <v>34</v>
      </c>
      <c r="AI11">
        <f t="shared" ref="AI11:AI14" si="7">ROUNDUP($B$2*1.5*$AG11*$B$8*0.83,0)</f>
        <v>42</v>
      </c>
      <c r="AJ11">
        <f t="shared" ref="AJ11:AJ14" si="8">ROUNDUP($B$2*2*$AG11*$B$8*0.75,0)</f>
        <v>50</v>
      </c>
      <c r="AK11">
        <f t="shared" ref="AK11:AK14" si="9">ROUNDUP($B$2*2.5*$AG11*$B$8*0.7,0)</f>
        <v>58</v>
      </c>
      <c r="AL11">
        <f t="shared" ref="AL11:AL14" si="10">ROUNDUP($B$2*3*$AG11*$B$8*0.67,0)</f>
        <v>67</v>
      </c>
      <c r="AM11">
        <f t="shared" ref="AM11:AM14" si="11">ROUNDUP($B$2*3.5*$AG11*$B$8*0.64,0)</f>
        <v>74</v>
      </c>
    </row>
    <row r="12" spans="1:46" x14ac:dyDescent="0.2">
      <c r="A12">
        <v>60</v>
      </c>
      <c r="B12">
        <v>222</v>
      </c>
      <c r="C12" t="s">
        <v>29</v>
      </c>
      <c r="D12" s="5">
        <f>5729.578/9</f>
        <v>636.61977777777781</v>
      </c>
      <c r="E12" s="1" t="s">
        <v>70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1" t="s">
        <v>70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 s="1" t="s">
        <v>70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1" t="s">
        <v>70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1.7000000000000001E-2</v>
      </c>
      <c r="AH12">
        <f t="shared" si="6"/>
        <v>36</v>
      </c>
      <c r="AI12">
        <f t="shared" si="7"/>
        <v>44</v>
      </c>
      <c r="AJ12">
        <f t="shared" si="8"/>
        <v>53</v>
      </c>
      <c r="AK12">
        <f t="shared" si="9"/>
        <v>62</v>
      </c>
      <c r="AL12">
        <f t="shared" si="10"/>
        <v>71</v>
      </c>
      <c r="AM12">
        <f t="shared" si="11"/>
        <v>79</v>
      </c>
    </row>
    <row r="13" spans="1:46" x14ac:dyDescent="0.2">
      <c r="A13">
        <v>65</v>
      </c>
      <c r="B13">
        <v>233</v>
      </c>
      <c r="C13" t="s">
        <v>30</v>
      </c>
      <c r="D13" s="5">
        <f>5729.578/9.5</f>
        <v>603.11347368421059</v>
      </c>
      <c r="E13" s="1" t="s">
        <v>70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1" t="s">
        <v>70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 s="1" t="s">
        <v>70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1" t="s">
        <v>70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2.7E-2</v>
      </c>
      <c r="AH13">
        <f t="shared" si="6"/>
        <v>56</v>
      </c>
      <c r="AI13">
        <f t="shared" si="7"/>
        <v>70</v>
      </c>
      <c r="AJ13">
        <f t="shared" si="8"/>
        <v>84</v>
      </c>
      <c r="AK13">
        <f t="shared" si="9"/>
        <v>98</v>
      </c>
      <c r="AL13">
        <f t="shared" si="10"/>
        <v>113</v>
      </c>
      <c r="AM13">
        <f t="shared" si="11"/>
        <v>125</v>
      </c>
    </row>
    <row r="14" spans="1:46" x14ac:dyDescent="0.2">
      <c r="A14">
        <v>70</v>
      </c>
      <c r="B14">
        <v>250</v>
      </c>
      <c r="C14" t="s">
        <v>31</v>
      </c>
      <c r="D14" s="7">
        <f>5729.578/10</f>
        <v>572.95780000000002</v>
      </c>
      <c r="E14" s="1" t="s">
        <v>70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1" t="s">
        <v>70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s="1" t="s">
        <v>70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1" t="s">
        <v>70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3.5999999999999997E-2</v>
      </c>
      <c r="AH14">
        <f t="shared" si="6"/>
        <v>75</v>
      </c>
      <c r="AI14">
        <f t="shared" si="7"/>
        <v>93</v>
      </c>
      <c r="AJ14">
        <f t="shared" si="8"/>
        <v>112</v>
      </c>
      <c r="AK14">
        <f t="shared" si="9"/>
        <v>131</v>
      </c>
      <c r="AL14">
        <f t="shared" si="10"/>
        <v>150</v>
      </c>
      <c r="AM14">
        <f t="shared" si="11"/>
        <v>167</v>
      </c>
    </row>
    <row r="15" spans="1:46" x14ac:dyDescent="0.2">
      <c r="A15">
        <v>70</v>
      </c>
      <c r="B15">
        <v>263</v>
      </c>
      <c r="C15" t="s">
        <v>32</v>
      </c>
      <c r="D15" s="5">
        <f>5729.578/10.5</f>
        <v>545.67409523809533</v>
      </c>
      <c r="E15" s="1" t="s">
        <v>70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1" t="s">
        <v>70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 s="1" t="s">
        <v>70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1" t="s">
        <v>70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1:46" x14ac:dyDescent="0.2">
      <c r="C16" t="s">
        <v>33</v>
      </c>
      <c r="D16" s="5">
        <f>5729.578/11</f>
        <v>520.87072727272732</v>
      </c>
      <c r="E16" s="1" t="s">
        <v>70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1" t="s">
        <v>70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 s="1" t="s">
        <v>70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1" t="s">
        <v>70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3:32" x14ac:dyDescent="0.2">
      <c r="C17" t="s">
        <v>34</v>
      </c>
      <c r="D17" s="5">
        <f>5729.578/11.5</f>
        <v>498.2241739130435</v>
      </c>
      <c r="E17" s="1" t="s">
        <v>70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1" t="s">
        <v>70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1" t="s">
        <v>70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1">
        <v>1.6E-2</v>
      </c>
      <c r="AA17">
        <f>ROUNDUP($B$2*$Z17*$B$7,0)</f>
        <v>31</v>
      </c>
      <c r="AB17">
        <f>ROUNDUP($B$2*1.5*$Z17*$B$7*0.83,0)</f>
        <v>39</v>
      </c>
      <c r="AC17">
        <f>ROUNDUP($B$2*2*$Z17*$B$7*0.75,0)</f>
        <v>47</v>
      </c>
      <c r="AD17">
        <f>ROUNDUP($B$2*2.5*$Z17*$B$7*0.7,0)</f>
        <v>55</v>
      </c>
      <c r="AE17">
        <f>ROUNDUP($B$2*3*$Z17*$B$7*0.67,0)</f>
        <v>63</v>
      </c>
      <c r="AF17">
        <f>ROUNDUP($B$2*3.5*$Z17*$B$7*0.64,0)</f>
        <v>70</v>
      </c>
    </row>
    <row r="18" spans="3:32" x14ac:dyDescent="0.2">
      <c r="C18" t="s">
        <v>35</v>
      </c>
      <c r="D18" s="5">
        <f>5729.578/12</f>
        <v>477.46483333333339</v>
      </c>
      <c r="E18" s="1" t="s">
        <v>70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1" t="s">
        <v>70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s="1" t="s">
        <v>70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1">
        <v>1.6E-2</v>
      </c>
      <c r="AA18">
        <f t="shared" ref="AA18:AA22" si="12">ROUNDUP($B$2*$Z18*$B$7,0)</f>
        <v>31</v>
      </c>
      <c r="AB18">
        <f t="shared" ref="AB18:AB22" si="13">ROUNDUP($B$2*1.5*$Z18*$B$7*0.83,0)</f>
        <v>39</v>
      </c>
      <c r="AC18">
        <f t="shared" ref="AC18:AC22" si="14">ROUNDUP($B$2*2*$Z18*$B$7*0.75,0)</f>
        <v>47</v>
      </c>
      <c r="AD18">
        <f t="shared" ref="AD18:AD22" si="15">ROUNDUP($B$2*2.5*$Z18*$B$7*0.7,0)</f>
        <v>55</v>
      </c>
      <c r="AE18">
        <f t="shared" ref="AE18:AE22" si="16">ROUNDUP($B$2*3*$Z18*$B$7*0.67,0)</f>
        <v>63</v>
      </c>
      <c r="AF18">
        <f t="shared" ref="AF18:AF22" si="17">ROUNDUP($B$2*3.5*$Z18*$B$7*0.64,0)</f>
        <v>70</v>
      </c>
    </row>
    <row r="19" spans="3:32" x14ac:dyDescent="0.2">
      <c r="C19" t="s">
        <v>37</v>
      </c>
      <c r="D19" s="5">
        <f>5729.578/13</f>
        <v>440.73676923076926</v>
      </c>
      <c r="E19" s="1" t="s">
        <v>70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1" t="s">
        <v>70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1" t="s">
        <v>70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1">
        <v>1.6E-2</v>
      </c>
      <c r="AA19">
        <f t="shared" si="12"/>
        <v>31</v>
      </c>
      <c r="AB19">
        <f t="shared" si="13"/>
        <v>39</v>
      </c>
      <c r="AC19">
        <f t="shared" si="14"/>
        <v>47</v>
      </c>
      <c r="AD19">
        <f t="shared" si="15"/>
        <v>55</v>
      </c>
      <c r="AE19">
        <f t="shared" si="16"/>
        <v>63</v>
      </c>
      <c r="AF19">
        <f t="shared" si="17"/>
        <v>70</v>
      </c>
    </row>
    <row r="20" spans="3:32" x14ac:dyDescent="0.2">
      <c r="C20" t="s">
        <v>39</v>
      </c>
      <c r="D20" s="5">
        <f>5729.578/14</f>
        <v>409.25557142857144</v>
      </c>
      <c r="E20" s="1" t="s">
        <v>70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1" t="s">
        <v>70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 s="1" t="s">
        <v>70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1">
        <v>0.02</v>
      </c>
      <c r="AA20">
        <f t="shared" si="12"/>
        <v>39</v>
      </c>
      <c r="AB20">
        <f t="shared" si="13"/>
        <v>49</v>
      </c>
      <c r="AC20">
        <f t="shared" si="14"/>
        <v>58</v>
      </c>
      <c r="AD20">
        <f t="shared" si="15"/>
        <v>68</v>
      </c>
      <c r="AE20">
        <f t="shared" si="16"/>
        <v>78</v>
      </c>
      <c r="AF20">
        <f t="shared" si="17"/>
        <v>87</v>
      </c>
    </row>
    <row r="21" spans="3:32" x14ac:dyDescent="0.2">
      <c r="C21" t="s">
        <v>41</v>
      </c>
      <c r="D21" s="5">
        <f>5729.578/15</f>
        <v>381.9718666666667</v>
      </c>
      <c r="E21" s="1" t="s">
        <v>70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1" t="s">
        <v>70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1" t="s">
        <v>70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1">
        <v>3.5000000000000003E-2</v>
      </c>
      <c r="AA21">
        <f t="shared" si="12"/>
        <v>68</v>
      </c>
      <c r="AB21">
        <f t="shared" si="13"/>
        <v>85</v>
      </c>
      <c r="AC21">
        <f t="shared" si="14"/>
        <v>102</v>
      </c>
      <c r="AD21">
        <f t="shared" si="15"/>
        <v>119</v>
      </c>
      <c r="AE21">
        <f t="shared" si="16"/>
        <v>136</v>
      </c>
      <c r="AF21">
        <f t="shared" si="17"/>
        <v>152</v>
      </c>
    </row>
    <row r="22" spans="3:32" x14ac:dyDescent="0.2">
      <c r="C22" t="s">
        <v>71</v>
      </c>
      <c r="D22" s="7">
        <f>5729.578/15.5</f>
        <v>369.65019354838711</v>
      </c>
      <c r="E22" s="1" t="s">
        <v>70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1" t="s">
        <v>70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s="1" t="s">
        <v>70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1">
        <v>0.04</v>
      </c>
      <c r="AA22">
        <f t="shared" si="12"/>
        <v>78</v>
      </c>
      <c r="AB22">
        <f t="shared" si="13"/>
        <v>97</v>
      </c>
      <c r="AC22">
        <f t="shared" si="14"/>
        <v>116</v>
      </c>
      <c r="AD22">
        <f t="shared" si="15"/>
        <v>136</v>
      </c>
      <c r="AE22">
        <f t="shared" si="16"/>
        <v>156</v>
      </c>
      <c r="AF22">
        <f t="shared" si="17"/>
        <v>174</v>
      </c>
    </row>
    <row r="23" spans="3:32" x14ac:dyDescent="0.2">
      <c r="C23" t="s">
        <v>72</v>
      </c>
      <c r="D23" s="5">
        <f>5729.578/17</f>
        <v>337.03400000000005</v>
      </c>
      <c r="E23" s="1" t="s">
        <v>70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1" t="s">
        <v>70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 s="1" t="s">
        <v>70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3:32" x14ac:dyDescent="0.2">
      <c r="C24" t="s">
        <v>73</v>
      </c>
      <c r="D24" s="5">
        <f>5729.578/17.5</f>
        <v>327.40445714285715</v>
      </c>
      <c r="E24" s="1" t="s">
        <v>70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1" t="s">
        <v>70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 s="1" t="s">
        <v>70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3:32" x14ac:dyDescent="0.2">
      <c r="C25" t="s">
        <v>43</v>
      </c>
      <c r="D25" s="5">
        <f>5729.578/18</f>
        <v>318.30988888888891</v>
      </c>
      <c r="E25" s="1" t="s">
        <v>70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1" t="s">
        <v>70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s="1">
        <v>1.6E-2</v>
      </c>
      <c r="T25">
        <f>ROUNDUP($B$2*$S25*$B$6,0)</f>
        <v>30</v>
      </c>
      <c r="U25">
        <f>ROUNDUP($B$2*1.5*$S25*$B$6*0.83,0)</f>
        <v>37</v>
      </c>
      <c r="V25">
        <f>ROUNDUP($B$2*2*$S25*$B$6*0.75,0)</f>
        <v>44</v>
      </c>
      <c r="W25">
        <f>ROUNDUP($B$2*2.5*$S25*$B$6*0.7,0)</f>
        <v>52</v>
      </c>
      <c r="X25">
        <f>ROUNDUP($B$2*3*$S25*$B$6*0.67,0)</f>
        <v>59</v>
      </c>
      <c r="Y25">
        <f>ROUNDUP($B$2*3.5*$S25*$B$6*0.64,0)</f>
        <v>66</v>
      </c>
    </row>
    <row r="26" spans="3:32" x14ac:dyDescent="0.2">
      <c r="C26" t="s">
        <v>44</v>
      </c>
      <c r="D26" s="5">
        <f>5729.578/20</f>
        <v>286.47890000000001</v>
      </c>
      <c r="E26" s="1" t="s">
        <v>70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1" t="s">
        <v>70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1">
        <v>1.6E-2</v>
      </c>
      <c r="T26">
        <f t="shared" ref="T26:T30" si="18">ROUNDUP($B$2*$S26*$B$6,0)</f>
        <v>30</v>
      </c>
      <c r="U26">
        <f t="shared" ref="U26:U30" si="19">ROUNDUP($B$2*1.5*$S26*$B$6*0.83,0)</f>
        <v>37</v>
      </c>
      <c r="V26">
        <f t="shared" ref="V26:V30" si="20">ROUNDUP($B$2*2*$S26*$B$6*0.75,0)</f>
        <v>44</v>
      </c>
      <c r="W26">
        <f t="shared" ref="W26:W30" si="21">ROUNDUP($B$2*2.5*$S26*$B$6*0.7,0)</f>
        <v>52</v>
      </c>
      <c r="X26">
        <f t="shared" ref="X26:X30" si="22">ROUNDUP($B$2*3*$S26*$B$6*0.67,0)</f>
        <v>59</v>
      </c>
      <c r="Y26">
        <f t="shared" ref="Y26:Y30" si="23">ROUNDUP($B$2*3.5*$S26*$B$6*0.64,0)</f>
        <v>66</v>
      </c>
    </row>
    <row r="27" spans="3:32" x14ac:dyDescent="0.2">
      <c r="C27" t="s">
        <v>74</v>
      </c>
      <c r="D27" s="5">
        <f>5729.578/20.5</f>
        <v>279.4916097560976</v>
      </c>
      <c r="E27" s="1" t="s">
        <v>70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1" t="s">
        <v>70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1">
        <v>1.6E-2</v>
      </c>
      <c r="T27">
        <f t="shared" si="18"/>
        <v>30</v>
      </c>
      <c r="U27">
        <f t="shared" si="19"/>
        <v>37</v>
      </c>
      <c r="V27">
        <f t="shared" si="20"/>
        <v>44</v>
      </c>
      <c r="W27">
        <f t="shared" si="21"/>
        <v>52</v>
      </c>
      <c r="X27">
        <f t="shared" si="22"/>
        <v>59</v>
      </c>
      <c r="Y27">
        <f t="shared" si="23"/>
        <v>66</v>
      </c>
    </row>
    <row r="28" spans="3:32" x14ac:dyDescent="0.2">
      <c r="C28" t="s">
        <v>75</v>
      </c>
      <c r="D28" s="5">
        <f>5729.578/21</f>
        <v>272.83704761904767</v>
      </c>
      <c r="E28" s="1" t="s">
        <v>70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1" t="s">
        <v>70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1">
        <v>2.1000000000000001E-2</v>
      </c>
      <c r="T28">
        <f t="shared" si="18"/>
        <v>39</v>
      </c>
      <c r="U28">
        <f t="shared" si="19"/>
        <v>48</v>
      </c>
      <c r="V28">
        <f t="shared" si="20"/>
        <v>58</v>
      </c>
      <c r="W28">
        <f t="shared" si="21"/>
        <v>68</v>
      </c>
      <c r="X28">
        <f t="shared" si="22"/>
        <v>77</v>
      </c>
      <c r="Y28">
        <f t="shared" si="23"/>
        <v>86</v>
      </c>
    </row>
    <row r="29" spans="3:32" x14ac:dyDescent="0.2">
      <c r="C29" t="s">
        <v>45</v>
      </c>
      <c r="D29" s="5">
        <f>5729.578/22</f>
        <v>260.43536363636366</v>
      </c>
      <c r="E29" s="1" t="s">
        <v>70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1" t="s">
        <v>70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1">
        <v>3.1E-2</v>
      </c>
      <c r="T29">
        <f t="shared" si="18"/>
        <v>57</v>
      </c>
      <c r="U29">
        <f t="shared" si="19"/>
        <v>71</v>
      </c>
      <c r="V29">
        <f t="shared" si="20"/>
        <v>85</v>
      </c>
      <c r="W29">
        <f t="shared" si="21"/>
        <v>99</v>
      </c>
      <c r="X29">
        <f t="shared" si="22"/>
        <v>114</v>
      </c>
      <c r="Y29">
        <f t="shared" si="23"/>
        <v>127</v>
      </c>
    </row>
    <row r="30" spans="3:32" x14ac:dyDescent="0.2">
      <c r="C30" t="s">
        <v>76</v>
      </c>
      <c r="D30" s="7">
        <f>5729.578/22.75</f>
        <v>251.84958241758244</v>
      </c>
      <c r="E30" s="1" t="s">
        <v>70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1" t="s">
        <v>70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1">
        <v>3.9E-2</v>
      </c>
      <c r="T30">
        <f t="shared" si="18"/>
        <v>72</v>
      </c>
      <c r="U30">
        <f t="shared" si="19"/>
        <v>89</v>
      </c>
      <c r="V30">
        <f t="shared" si="20"/>
        <v>107</v>
      </c>
      <c r="W30">
        <f t="shared" si="21"/>
        <v>125</v>
      </c>
      <c r="X30">
        <f t="shared" si="22"/>
        <v>143</v>
      </c>
      <c r="Y30">
        <f t="shared" si="23"/>
        <v>160</v>
      </c>
    </row>
    <row r="31" spans="3:32" x14ac:dyDescent="0.2">
      <c r="C31" t="s">
        <v>47</v>
      </c>
      <c r="D31" s="5">
        <f>5729.578/25</f>
        <v>229.18312000000003</v>
      </c>
      <c r="E31" s="1" t="s">
        <v>70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1" t="s">
        <v>70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1"/>
    </row>
    <row r="32" spans="3:32" x14ac:dyDescent="0.2">
      <c r="C32" t="s">
        <v>77</v>
      </c>
      <c r="D32" s="5">
        <f>5729.578/29</f>
        <v>197.57165517241381</v>
      </c>
      <c r="E32" s="1" t="s">
        <v>70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1" t="s">
        <v>70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1"/>
    </row>
    <row r="33" spans="3:18" x14ac:dyDescent="0.2">
      <c r="C33" t="s">
        <v>78</v>
      </c>
      <c r="D33" s="5">
        <f>5729.578/29.5</f>
        <v>194.22298305084746</v>
      </c>
      <c r="E33" s="1" t="s">
        <v>70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1">
        <v>1.6E-2</v>
      </c>
      <c r="M33">
        <f>ROUNDUP($B$2*$L33*$B$5,0)</f>
        <v>28</v>
      </c>
      <c r="N33">
        <f>ROUNDUP($B$2*1.5*$L33*$B$5*0.83,0)</f>
        <v>35</v>
      </c>
      <c r="O33">
        <f>ROUNDUP($B$2*2*$L33*$B$5*0.75,0)</f>
        <v>42</v>
      </c>
      <c r="P33">
        <f>ROUNDUP($B$2*2.5*$L33*$B$5*0.7,0)</f>
        <v>49</v>
      </c>
      <c r="Q33">
        <f>ROUNDUP($B$2*3*$L33*$B$5*0.67,0)</f>
        <v>56</v>
      </c>
      <c r="R33">
        <f>ROUNDUP($B$2*3.5*$L33*$B$5*0.64,0)</f>
        <v>62</v>
      </c>
    </row>
    <row r="34" spans="3:18" x14ac:dyDescent="0.2">
      <c r="C34" t="s">
        <v>79</v>
      </c>
      <c r="D34" s="5">
        <f>5729.578/30</f>
        <v>190.98593333333335</v>
      </c>
      <c r="E34" s="1" t="s">
        <v>70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1">
        <v>1.6E-2</v>
      </c>
      <c r="M34">
        <f t="shared" ref="M34:M39" si="24">ROUNDUP($B$2*$L34*$B$5,0)</f>
        <v>28</v>
      </c>
      <c r="N34">
        <f t="shared" ref="N34:N39" si="25">ROUNDUP($B$2*1.5*$L34*$B$5*0.83,0)</f>
        <v>35</v>
      </c>
      <c r="O34">
        <f t="shared" ref="O34:O39" si="26">ROUNDUP($B$2*2*$L34*$B$5*0.75,0)</f>
        <v>42</v>
      </c>
      <c r="P34">
        <f t="shared" ref="P34:P39" si="27">ROUNDUP($B$2*2.5*$L34*$B$5*0.7,0)</f>
        <v>49</v>
      </c>
      <c r="Q34">
        <f t="shared" ref="Q34:Q39" si="28">ROUNDUP($B$2*3*$L34*$B$5*0.67,0)</f>
        <v>56</v>
      </c>
      <c r="R34">
        <f t="shared" ref="R34:R39" si="29">ROUNDUP($B$2*3.5*$L34*$B$5*0.64,0)</f>
        <v>62</v>
      </c>
    </row>
    <row r="35" spans="3:18" x14ac:dyDescent="0.2">
      <c r="C35" t="s">
        <v>80</v>
      </c>
      <c r="D35" s="5">
        <f>5729.578/33</f>
        <v>173.62357575757576</v>
      </c>
      <c r="E35" s="1" t="s">
        <v>70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1">
        <v>1.6E-2</v>
      </c>
      <c r="M35">
        <f t="shared" si="24"/>
        <v>28</v>
      </c>
      <c r="N35">
        <f t="shared" si="25"/>
        <v>35</v>
      </c>
      <c r="O35">
        <f t="shared" si="26"/>
        <v>42</v>
      </c>
      <c r="P35">
        <f t="shared" si="27"/>
        <v>49</v>
      </c>
      <c r="Q35">
        <f t="shared" si="28"/>
        <v>56</v>
      </c>
      <c r="R35">
        <f t="shared" si="29"/>
        <v>62</v>
      </c>
    </row>
    <row r="36" spans="3:18" x14ac:dyDescent="0.2">
      <c r="C36" t="s">
        <v>81</v>
      </c>
      <c r="D36" s="5">
        <f>5729.578/33.75</f>
        <v>169.76527407407409</v>
      </c>
      <c r="E36" s="1" t="s">
        <v>70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1">
        <v>1.6E-2</v>
      </c>
      <c r="M36">
        <f t="shared" si="24"/>
        <v>28</v>
      </c>
      <c r="N36">
        <f t="shared" si="25"/>
        <v>35</v>
      </c>
      <c r="O36">
        <f t="shared" si="26"/>
        <v>42</v>
      </c>
      <c r="P36">
        <f t="shared" si="27"/>
        <v>49</v>
      </c>
      <c r="Q36">
        <f t="shared" si="28"/>
        <v>56</v>
      </c>
      <c r="R36">
        <f t="shared" si="29"/>
        <v>62</v>
      </c>
    </row>
    <row r="37" spans="3:18" x14ac:dyDescent="0.2">
      <c r="C37" t="s">
        <v>82</v>
      </c>
      <c r="D37" s="5">
        <f>5729.578/35</f>
        <v>163.70222857142858</v>
      </c>
      <c r="E37" s="1" t="s">
        <v>70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1">
        <v>2.5000000000000001E-2</v>
      </c>
      <c r="M37">
        <f t="shared" si="24"/>
        <v>43</v>
      </c>
      <c r="N37">
        <f t="shared" si="25"/>
        <v>54</v>
      </c>
      <c r="O37">
        <f t="shared" si="26"/>
        <v>65</v>
      </c>
      <c r="P37">
        <f t="shared" si="27"/>
        <v>76</v>
      </c>
      <c r="Q37">
        <f t="shared" si="28"/>
        <v>87</v>
      </c>
      <c r="R37">
        <f t="shared" si="29"/>
        <v>97</v>
      </c>
    </row>
    <row r="38" spans="3:18" x14ac:dyDescent="0.2">
      <c r="C38" t="s">
        <v>52</v>
      </c>
      <c r="D38" s="5">
        <f>5729.578/36</f>
        <v>159.15494444444445</v>
      </c>
      <c r="E38" s="1" t="s">
        <v>70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1">
        <v>3.3000000000000002E-2</v>
      </c>
      <c r="M38">
        <f t="shared" si="24"/>
        <v>57</v>
      </c>
      <c r="N38">
        <f t="shared" si="25"/>
        <v>71</v>
      </c>
      <c r="O38">
        <f t="shared" si="26"/>
        <v>85</v>
      </c>
      <c r="P38">
        <f t="shared" si="27"/>
        <v>100</v>
      </c>
      <c r="Q38">
        <f t="shared" si="28"/>
        <v>114</v>
      </c>
      <c r="R38">
        <f t="shared" si="29"/>
        <v>127</v>
      </c>
    </row>
    <row r="39" spans="3:18" x14ac:dyDescent="0.2">
      <c r="C39" t="s">
        <v>83</v>
      </c>
      <c r="D39" s="7">
        <f>5729.578/37</f>
        <v>154.85345945945946</v>
      </c>
      <c r="E39" s="1" t="s">
        <v>70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1">
        <v>0.04</v>
      </c>
      <c r="M39">
        <f t="shared" si="24"/>
        <v>69</v>
      </c>
      <c r="N39">
        <f t="shared" si="25"/>
        <v>86</v>
      </c>
      <c r="O39">
        <f t="shared" si="26"/>
        <v>103</v>
      </c>
      <c r="P39">
        <f t="shared" si="27"/>
        <v>121</v>
      </c>
      <c r="Q39">
        <f t="shared" si="28"/>
        <v>138</v>
      </c>
      <c r="R39">
        <f t="shared" si="29"/>
        <v>154</v>
      </c>
    </row>
    <row r="40" spans="3:18" x14ac:dyDescent="0.2">
      <c r="C40" t="s">
        <v>54</v>
      </c>
      <c r="D40" s="5">
        <f>5729.578/40</f>
        <v>143.23945000000001</v>
      </c>
      <c r="E40" s="1" t="s">
        <v>70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1"/>
    </row>
    <row r="41" spans="3:18" x14ac:dyDescent="0.2">
      <c r="C41" t="s">
        <v>84</v>
      </c>
      <c r="D41" s="5">
        <f>5729.578/50</f>
        <v>114.59156000000002</v>
      </c>
      <c r="E41" s="1" t="s">
        <v>70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1"/>
    </row>
    <row r="42" spans="3:18" x14ac:dyDescent="0.2">
      <c r="C42" t="s">
        <v>85</v>
      </c>
      <c r="D42" s="5">
        <f>5729.578/54.5</f>
        <v>105.12987155963303</v>
      </c>
      <c r="E42" s="1">
        <v>1.6E-2</v>
      </c>
      <c r="F42">
        <f>ROUNDUP($B$2*$E42*$B$4,0)</f>
        <v>26</v>
      </c>
      <c r="G42">
        <f>ROUNDUP($B$2*1.5*$E42*$B$4*0.83,0)</f>
        <v>33</v>
      </c>
      <c r="H42">
        <f>ROUNDUP($B$2*2*$E42*$B$4*0.75,0)</f>
        <v>39</v>
      </c>
      <c r="I42">
        <f>ROUNDUP($B$2*2.5*$E42*$B$4*0.7,0)</f>
        <v>46</v>
      </c>
      <c r="J42">
        <f>ROUNDUP($B$2*3*$E42*$B$4*0.67,0)</f>
        <v>53</v>
      </c>
      <c r="K42">
        <f>ROUNDUP($B$2*3.5*$E42*$B$4*0.64,0)</f>
        <v>59</v>
      </c>
      <c r="L42" s="1"/>
    </row>
    <row r="43" spans="3:18" x14ac:dyDescent="0.2">
      <c r="C43" t="s">
        <v>86</v>
      </c>
      <c r="D43" s="5">
        <f>5729.578/56</f>
        <v>102.31389285714286</v>
      </c>
      <c r="E43" s="1">
        <v>1.6E-2</v>
      </c>
      <c r="F43">
        <f t="shared" ref="F43:F52" si="30">ROUNDUP($B$2*$E43*$B$4,0)</f>
        <v>26</v>
      </c>
      <c r="G43">
        <f t="shared" ref="G43:G52" si="31">ROUNDUP($B$2*1.5*$E43*$B$4*0.83,0)</f>
        <v>33</v>
      </c>
      <c r="H43">
        <f t="shared" ref="H43:H52" si="32">ROUNDUP($B$2*2*$E43*$B$4*0.75,0)</f>
        <v>39</v>
      </c>
      <c r="I43">
        <f t="shared" ref="I43:I52" si="33">ROUNDUP($B$2*2.5*$E43*$B$4*0.7,0)</f>
        <v>46</v>
      </c>
      <c r="J43">
        <f t="shared" ref="J43:J52" si="34">ROUNDUP($B$2*3*$E43*$B$4*0.67,0)</f>
        <v>53</v>
      </c>
      <c r="K43">
        <f t="shared" ref="K43:K52" si="35">ROUNDUP($B$2*3.5*$E43*$B$4*0.64,0)</f>
        <v>59</v>
      </c>
    </row>
    <row r="44" spans="3:18" x14ac:dyDescent="0.2">
      <c r="C44" t="s">
        <v>87</v>
      </c>
      <c r="D44" s="5">
        <f>5729.578/58</f>
        <v>98.785827586206906</v>
      </c>
      <c r="E44" s="1">
        <v>1.6E-2</v>
      </c>
      <c r="F44">
        <f t="shared" si="30"/>
        <v>26</v>
      </c>
      <c r="G44">
        <f t="shared" si="31"/>
        <v>33</v>
      </c>
      <c r="H44">
        <f t="shared" si="32"/>
        <v>39</v>
      </c>
      <c r="I44">
        <f t="shared" si="33"/>
        <v>46</v>
      </c>
      <c r="J44">
        <f t="shared" si="34"/>
        <v>53</v>
      </c>
      <c r="K44">
        <f t="shared" si="35"/>
        <v>59</v>
      </c>
    </row>
    <row r="45" spans="3:18" x14ac:dyDescent="0.2">
      <c r="C45" t="s">
        <v>88</v>
      </c>
      <c r="D45" s="5">
        <f>5729.578/61</f>
        <v>93.92750819672132</v>
      </c>
      <c r="E45" s="1">
        <v>1.6E-2</v>
      </c>
      <c r="F45">
        <f t="shared" si="30"/>
        <v>26</v>
      </c>
      <c r="G45">
        <f t="shared" si="31"/>
        <v>33</v>
      </c>
      <c r="H45">
        <f t="shared" si="32"/>
        <v>39</v>
      </c>
      <c r="I45">
        <f t="shared" si="33"/>
        <v>46</v>
      </c>
      <c r="J45">
        <f t="shared" si="34"/>
        <v>53</v>
      </c>
      <c r="K45">
        <f t="shared" si="35"/>
        <v>59</v>
      </c>
    </row>
    <row r="46" spans="3:18" x14ac:dyDescent="0.2">
      <c r="C46" t="s">
        <v>89</v>
      </c>
      <c r="D46" s="5">
        <f>5729.578/61.25</f>
        <v>93.544130612244899</v>
      </c>
      <c r="E46" s="1">
        <v>1.6E-2</v>
      </c>
      <c r="F46">
        <f t="shared" si="30"/>
        <v>26</v>
      </c>
      <c r="G46">
        <f t="shared" si="31"/>
        <v>33</v>
      </c>
      <c r="H46">
        <f t="shared" si="32"/>
        <v>39</v>
      </c>
      <c r="I46">
        <f t="shared" si="33"/>
        <v>46</v>
      </c>
      <c r="J46">
        <f t="shared" si="34"/>
        <v>53</v>
      </c>
      <c r="K46">
        <f t="shared" si="35"/>
        <v>59</v>
      </c>
    </row>
    <row r="47" spans="3:18" x14ac:dyDescent="0.2">
      <c r="C47" t="s">
        <v>90</v>
      </c>
      <c r="D47" s="5">
        <f>5729.578/62</f>
        <v>92.412548387096777</v>
      </c>
      <c r="E47" s="1">
        <v>0.02</v>
      </c>
      <c r="F47">
        <f t="shared" si="30"/>
        <v>33</v>
      </c>
      <c r="G47">
        <f t="shared" si="31"/>
        <v>41</v>
      </c>
      <c r="H47">
        <f t="shared" si="32"/>
        <v>49</v>
      </c>
      <c r="I47">
        <f t="shared" si="33"/>
        <v>57</v>
      </c>
      <c r="J47">
        <f t="shared" si="34"/>
        <v>66</v>
      </c>
      <c r="K47">
        <f t="shared" si="35"/>
        <v>73</v>
      </c>
    </row>
    <row r="48" spans="3:18" x14ac:dyDescent="0.2">
      <c r="C48" t="s">
        <v>91</v>
      </c>
      <c r="D48" s="5">
        <f>5729.578/63</f>
        <v>90.945682539682551</v>
      </c>
      <c r="E48" s="1">
        <v>2.4E-2</v>
      </c>
      <c r="F48">
        <f t="shared" si="30"/>
        <v>39</v>
      </c>
      <c r="G48">
        <f t="shared" si="31"/>
        <v>49</v>
      </c>
      <c r="H48">
        <f t="shared" si="32"/>
        <v>59</v>
      </c>
      <c r="I48">
        <f t="shared" si="33"/>
        <v>69</v>
      </c>
      <c r="J48">
        <f t="shared" si="34"/>
        <v>79</v>
      </c>
      <c r="K48">
        <f t="shared" si="35"/>
        <v>88</v>
      </c>
    </row>
    <row r="49" spans="3:11" x14ac:dyDescent="0.2">
      <c r="C49" t="s">
        <v>92</v>
      </c>
      <c r="D49" s="5">
        <f>5729.578/64</f>
        <v>89.524656250000007</v>
      </c>
      <c r="E49" s="1">
        <v>2.9000000000000001E-2</v>
      </c>
      <c r="F49">
        <f t="shared" si="30"/>
        <v>47</v>
      </c>
      <c r="G49">
        <f t="shared" si="31"/>
        <v>59</v>
      </c>
      <c r="H49">
        <f t="shared" si="32"/>
        <v>71</v>
      </c>
      <c r="I49">
        <f t="shared" si="33"/>
        <v>83</v>
      </c>
      <c r="J49">
        <f t="shared" si="34"/>
        <v>95</v>
      </c>
      <c r="K49">
        <f t="shared" si="35"/>
        <v>106</v>
      </c>
    </row>
    <row r="50" spans="3:11" x14ac:dyDescent="0.2">
      <c r="C50" t="s">
        <v>93</v>
      </c>
      <c r="D50" s="5">
        <f>5729.578/65</f>
        <v>88.147353846153848</v>
      </c>
      <c r="E50" s="1">
        <v>3.4000000000000002E-2</v>
      </c>
      <c r="F50">
        <f t="shared" si="30"/>
        <v>56</v>
      </c>
      <c r="G50">
        <f t="shared" si="31"/>
        <v>69</v>
      </c>
      <c r="H50">
        <f t="shared" si="32"/>
        <v>83</v>
      </c>
      <c r="I50">
        <f t="shared" si="33"/>
        <v>97</v>
      </c>
      <c r="J50">
        <f t="shared" si="34"/>
        <v>111</v>
      </c>
      <c r="K50">
        <f t="shared" si="35"/>
        <v>124</v>
      </c>
    </row>
    <row r="51" spans="3:11" x14ac:dyDescent="0.2">
      <c r="C51" t="s">
        <v>94</v>
      </c>
      <c r="D51" s="5">
        <f>5729.578/66</f>
        <v>86.811787878787882</v>
      </c>
      <c r="E51" s="1">
        <v>3.7999999999999999E-2</v>
      </c>
      <c r="F51">
        <f t="shared" si="30"/>
        <v>62</v>
      </c>
      <c r="G51">
        <f t="shared" si="31"/>
        <v>77</v>
      </c>
      <c r="H51">
        <f t="shared" si="32"/>
        <v>93</v>
      </c>
      <c r="I51">
        <f t="shared" si="33"/>
        <v>108</v>
      </c>
      <c r="J51">
        <f t="shared" si="34"/>
        <v>124</v>
      </c>
      <c r="K51">
        <f t="shared" si="35"/>
        <v>138</v>
      </c>
    </row>
    <row r="52" spans="3:11" x14ac:dyDescent="0.2">
      <c r="C52" t="s">
        <v>95</v>
      </c>
      <c r="D52" s="7">
        <f>5729.578/66.5</f>
        <v>86.159067669172941</v>
      </c>
      <c r="E52" s="1">
        <v>0.04</v>
      </c>
      <c r="F52">
        <f t="shared" si="30"/>
        <v>65</v>
      </c>
      <c r="G52">
        <f t="shared" si="31"/>
        <v>81</v>
      </c>
      <c r="H52">
        <f t="shared" si="32"/>
        <v>98</v>
      </c>
      <c r="I52">
        <f t="shared" si="33"/>
        <v>114</v>
      </c>
      <c r="J52">
        <f t="shared" si="34"/>
        <v>131</v>
      </c>
      <c r="K52">
        <f t="shared" si="35"/>
        <v>146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9"/>
  <sheetViews>
    <sheetView tabSelected="1" zoomScale="97" zoomScaleNormal="97" workbookViewId="0">
      <pane xSplit="4" topLeftCell="E1" activePane="topRight" state="frozen"/>
      <selection pane="topRight" activeCell="J51" sqref="J51"/>
    </sheetView>
  </sheetViews>
  <sheetFormatPr defaultRowHeight="12.75" x14ac:dyDescent="0.2"/>
  <cols>
    <col min="1" max="1" width="5.7109375" bestFit="1" customWidth="1"/>
    <col min="2" max="2" width="4.140625" bestFit="1" customWidth="1"/>
    <col min="3" max="3" width="6.140625" bestFit="1" customWidth="1"/>
    <col min="4" max="4" width="10.7109375" style="5" bestFit="1" customWidth="1"/>
    <col min="5" max="5" width="7.42578125" bestFit="1" customWidth="1"/>
    <col min="6" max="7" width="6.140625" bestFit="1" customWidth="1"/>
    <col min="8" max="8" width="7.42578125" bestFit="1" customWidth="1"/>
    <col min="9" max="10" width="6.140625" bestFit="1" customWidth="1"/>
    <col min="11" max="11" width="7.42578125" bestFit="1" customWidth="1"/>
    <col min="12" max="13" width="6.140625" bestFit="1" customWidth="1"/>
    <col min="14" max="14" width="7.42578125" bestFit="1" customWidth="1"/>
    <col min="15" max="16" width="6.140625" bestFit="1" customWidth="1"/>
    <col min="17" max="17" width="7.42578125" bestFit="1" customWidth="1"/>
    <col min="18" max="19" width="6.140625" bestFit="1" customWidth="1"/>
  </cols>
  <sheetData>
    <row r="1" spans="1:19" x14ac:dyDescent="0.2">
      <c r="A1" s="2" t="s">
        <v>107</v>
      </c>
    </row>
    <row r="2" spans="1:19" x14ac:dyDescent="0.2">
      <c r="A2" t="s">
        <v>103</v>
      </c>
      <c r="B2">
        <v>16</v>
      </c>
      <c r="E2" s="2" t="s">
        <v>56</v>
      </c>
      <c r="F2" t="s">
        <v>98</v>
      </c>
      <c r="G2" t="s">
        <v>62</v>
      </c>
      <c r="H2" s="2" t="s">
        <v>58</v>
      </c>
      <c r="I2" t="s">
        <v>98</v>
      </c>
      <c r="J2" t="s">
        <v>62</v>
      </c>
      <c r="K2" s="2" t="s">
        <v>59</v>
      </c>
      <c r="L2" t="s">
        <v>98</v>
      </c>
      <c r="M2" t="s">
        <v>62</v>
      </c>
      <c r="N2" s="2" t="s">
        <v>60</v>
      </c>
      <c r="O2" t="s">
        <v>98</v>
      </c>
      <c r="P2" t="s">
        <v>62</v>
      </c>
      <c r="Q2" s="2" t="s">
        <v>60</v>
      </c>
      <c r="R2" t="s">
        <v>98</v>
      </c>
      <c r="S2" t="s">
        <v>62</v>
      </c>
    </row>
    <row r="3" spans="1:19" x14ac:dyDescent="0.2">
      <c r="A3" t="s">
        <v>61</v>
      </c>
      <c r="B3" t="s">
        <v>1</v>
      </c>
      <c r="C3" t="s">
        <v>2</v>
      </c>
      <c r="D3" s="5" t="s">
        <v>3</v>
      </c>
      <c r="E3" t="s">
        <v>57</v>
      </c>
      <c r="F3" t="s">
        <v>0</v>
      </c>
      <c r="G3" t="s">
        <v>0</v>
      </c>
      <c r="H3" t="s">
        <v>57</v>
      </c>
      <c r="I3" t="s">
        <v>0</v>
      </c>
      <c r="J3" t="s">
        <v>0</v>
      </c>
      <c r="K3" t="s">
        <v>57</v>
      </c>
      <c r="L3" t="s">
        <v>0</v>
      </c>
      <c r="M3" t="s">
        <v>0</v>
      </c>
      <c r="N3" t="s">
        <v>57</v>
      </c>
      <c r="O3" t="s">
        <v>0</v>
      </c>
      <c r="P3" t="s">
        <v>0</v>
      </c>
      <c r="Q3" t="s">
        <v>57</v>
      </c>
      <c r="R3" t="s">
        <v>0</v>
      </c>
      <c r="S3" t="s">
        <v>0</v>
      </c>
    </row>
    <row r="4" spans="1:19" x14ac:dyDescent="0.2">
      <c r="A4">
        <v>20</v>
      </c>
      <c r="B4">
        <v>135</v>
      </c>
      <c r="C4" t="s">
        <v>4</v>
      </c>
      <c r="D4" s="5">
        <f>5729.578/0.25</f>
        <v>22918.312000000002</v>
      </c>
      <c r="E4" s="1" t="s">
        <v>70</v>
      </c>
      <c r="F4">
        <v>0</v>
      </c>
      <c r="G4">
        <v>0</v>
      </c>
      <c r="H4" s="1" t="s">
        <v>70</v>
      </c>
      <c r="I4">
        <v>0</v>
      </c>
      <c r="J4">
        <v>0</v>
      </c>
      <c r="K4" s="1" t="s">
        <v>70</v>
      </c>
      <c r="L4">
        <v>0</v>
      </c>
      <c r="M4">
        <v>0</v>
      </c>
      <c r="N4" s="1" t="s">
        <v>70</v>
      </c>
      <c r="O4">
        <v>0</v>
      </c>
      <c r="P4">
        <v>0</v>
      </c>
      <c r="Q4" s="1" t="s">
        <v>70</v>
      </c>
      <c r="R4">
        <v>0</v>
      </c>
      <c r="S4">
        <v>0</v>
      </c>
    </row>
    <row r="5" spans="1:19" x14ac:dyDescent="0.2">
      <c r="A5">
        <v>25</v>
      </c>
      <c r="B5">
        <v>143</v>
      </c>
      <c r="C5" t="s">
        <v>5</v>
      </c>
      <c r="D5" s="5">
        <f>5729.578/0.5</f>
        <v>11459.156000000001</v>
      </c>
      <c r="E5" s="1" t="s">
        <v>70</v>
      </c>
      <c r="F5">
        <v>0</v>
      </c>
      <c r="G5">
        <v>0</v>
      </c>
      <c r="H5" s="1" t="s">
        <v>70</v>
      </c>
      <c r="I5">
        <v>0</v>
      </c>
      <c r="J5">
        <v>0</v>
      </c>
      <c r="K5" s="1" t="s">
        <v>70</v>
      </c>
      <c r="L5">
        <v>0</v>
      </c>
      <c r="M5">
        <v>0</v>
      </c>
      <c r="N5" s="1" t="s">
        <v>70</v>
      </c>
      <c r="O5">
        <v>0</v>
      </c>
      <c r="P5">
        <v>0</v>
      </c>
      <c r="Q5" s="1" t="s">
        <v>70</v>
      </c>
      <c r="R5">
        <v>0</v>
      </c>
      <c r="S5">
        <v>0</v>
      </c>
    </row>
    <row r="6" spans="1:19" x14ac:dyDescent="0.2">
      <c r="A6">
        <v>30</v>
      </c>
      <c r="B6">
        <v>152</v>
      </c>
      <c r="C6" t="s">
        <v>6</v>
      </c>
      <c r="D6" s="5">
        <f>5729.578/0.75</f>
        <v>7639.4373333333342</v>
      </c>
      <c r="E6" s="1" t="s">
        <v>70</v>
      </c>
      <c r="F6">
        <v>0</v>
      </c>
      <c r="G6">
        <v>0</v>
      </c>
      <c r="H6" s="1" t="s">
        <v>70</v>
      </c>
      <c r="I6">
        <v>0</v>
      </c>
      <c r="J6">
        <v>0</v>
      </c>
      <c r="K6" s="1" t="s">
        <v>70</v>
      </c>
      <c r="L6">
        <v>0</v>
      </c>
      <c r="M6">
        <v>0</v>
      </c>
      <c r="N6" s="1" t="s">
        <v>70</v>
      </c>
      <c r="O6">
        <v>0</v>
      </c>
      <c r="P6">
        <v>0</v>
      </c>
      <c r="Q6" s="1" t="s">
        <v>70</v>
      </c>
      <c r="R6">
        <v>0</v>
      </c>
      <c r="S6">
        <v>0</v>
      </c>
    </row>
    <row r="7" spans="1:19" x14ac:dyDescent="0.2">
      <c r="A7">
        <v>35</v>
      </c>
      <c r="B7">
        <v>161</v>
      </c>
      <c r="C7" t="s">
        <v>7</v>
      </c>
      <c r="D7" s="5">
        <f>5729.578/1</f>
        <v>5729.5780000000004</v>
      </c>
      <c r="E7" s="1" t="s">
        <v>70</v>
      </c>
      <c r="F7">
        <v>0</v>
      </c>
      <c r="G7">
        <v>0</v>
      </c>
      <c r="H7" s="1" t="s">
        <v>70</v>
      </c>
      <c r="I7">
        <v>0</v>
      </c>
      <c r="J7">
        <v>0</v>
      </c>
      <c r="K7" s="1" t="s">
        <v>70</v>
      </c>
      <c r="L7">
        <v>0</v>
      </c>
      <c r="M7">
        <v>0</v>
      </c>
      <c r="N7" s="1" t="s">
        <v>70</v>
      </c>
      <c r="O7">
        <v>0</v>
      </c>
      <c r="P7">
        <v>0</v>
      </c>
      <c r="Q7" s="1">
        <v>1.7000000000000001E-2</v>
      </c>
      <c r="R7">
        <f>ROUNDUP($B$2*Q7*$B$9,0)</f>
        <v>51</v>
      </c>
      <c r="S7">
        <f>ROUNDUP($B$2*2*Q7*$B$9*0.75,0)</f>
        <v>76</v>
      </c>
    </row>
    <row r="8" spans="1:19" x14ac:dyDescent="0.2">
      <c r="A8">
        <v>40</v>
      </c>
      <c r="B8">
        <v>172</v>
      </c>
      <c r="C8" t="s">
        <v>9</v>
      </c>
      <c r="D8" s="5">
        <f>5729.578/1.5</f>
        <v>3819.7186666666671</v>
      </c>
      <c r="E8" s="1" t="s">
        <v>70</v>
      </c>
      <c r="F8">
        <v>0</v>
      </c>
      <c r="G8">
        <v>0</v>
      </c>
      <c r="H8" s="1" t="s">
        <v>70</v>
      </c>
      <c r="I8">
        <v>0</v>
      </c>
      <c r="J8">
        <v>0</v>
      </c>
      <c r="K8" s="1">
        <v>1.6E-2</v>
      </c>
      <c r="L8">
        <f>ROUNDUP($B$2*K8*$B$7,0)</f>
        <v>42</v>
      </c>
      <c r="M8">
        <f>ROUNDUP($B$2*2*K8*$B$7*0.75,0)</f>
        <v>62</v>
      </c>
      <c r="N8" s="1">
        <v>0.02</v>
      </c>
      <c r="O8">
        <f>ROUNDUP($B$2*N8*$B$8,0)</f>
        <v>56</v>
      </c>
      <c r="P8">
        <f>ROUNDUP($B$2*2*N8*$B$8*0.75,0)</f>
        <v>83</v>
      </c>
      <c r="Q8" s="1">
        <v>2.4E-2</v>
      </c>
      <c r="R8">
        <f t="shared" ref="R8:R23" si="0">ROUNDUP($B$2*Q8*$B$9,0)</f>
        <v>72</v>
      </c>
      <c r="S8">
        <f t="shared" ref="S8:S23" si="1">ROUNDUP($B$2*2*Q8*$B$9*0.75,0)</f>
        <v>107</v>
      </c>
    </row>
    <row r="9" spans="1:19" x14ac:dyDescent="0.2">
      <c r="A9">
        <v>45</v>
      </c>
      <c r="B9">
        <v>185</v>
      </c>
      <c r="C9" t="s">
        <v>11</v>
      </c>
      <c r="D9" s="5">
        <f>5729.578/2</f>
        <v>2864.7890000000002</v>
      </c>
      <c r="E9" s="1" t="s">
        <v>70</v>
      </c>
      <c r="F9">
        <v>0</v>
      </c>
      <c r="G9">
        <v>0</v>
      </c>
      <c r="H9" s="1">
        <v>1.6E-2</v>
      </c>
      <c r="I9">
        <f>ROUNDUP($B$2*H9*$B$6,0)</f>
        <v>39</v>
      </c>
      <c r="J9">
        <f>ROUNDUP($B$2*2*H9*$B$6*0.75,0)</f>
        <v>59</v>
      </c>
      <c r="K9">
        <v>2.1000000000000001E-2</v>
      </c>
      <c r="L9">
        <f t="shared" ref="L9:L36" si="2">ROUNDUP($B$2*K9*$B$7,0)</f>
        <v>55</v>
      </c>
      <c r="M9">
        <f t="shared" ref="M9:M36" si="3">ROUNDUP($B$2*2*K9*$B$7*0.75,0)</f>
        <v>82</v>
      </c>
      <c r="N9" s="1">
        <v>2.5000000000000001E-2</v>
      </c>
      <c r="O9">
        <f t="shared" ref="O9:O28" si="4">ROUNDUP($B$2*N9*$B$8,0)</f>
        <v>69</v>
      </c>
      <c r="P9">
        <f t="shared" ref="P9:P28" si="5">ROUNDUP($B$2*2*N9*$B$8*0.75,0)</f>
        <v>104</v>
      </c>
      <c r="Q9" s="1">
        <v>0.03</v>
      </c>
      <c r="R9">
        <f t="shared" si="0"/>
        <v>89</v>
      </c>
      <c r="S9">
        <f t="shared" si="1"/>
        <v>134</v>
      </c>
    </row>
    <row r="10" spans="1:19" x14ac:dyDescent="0.2">
      <c r="A10">
        <v>50</v>
      </c>
      <c r="B10">
        <v>200</v>
      </c>
      <c r="C10" t="s">
        <v>13</v>
      </c>
      <c r="D10" s="5">
        <f>5729.578/2.5</f>
        <v>2291.8312000000001</v>
      </c>
      <c r="E10" s="1" t="s">
        <v>70</v>
      </c>
      <c r="F10">
        <v>0</v>
      </c>
      <c r="G10">
        <v>0</v>
      </c>
      <c r="H10" s="1">
        <v>0.02</v>
      </c>
      <c r="I10">
        <f t="shared" ref="I10:I40" si="6">ROUNDUP($B$2*H10*$B$6,0)</f>
        <v>49</v>
      </c>
      <c r="J10">
        <f t="shared" ref="J10:J40" si="7">ROUNDUP($B$2*2*H10*$B$6*0.75,0)</f>
        <v>73</v>
      </c>
      <c r="K10">
        <v>2.5000000000000001E-2</v>
      </c>
      <c r="L10">
        <f t="shared" si="2"/>
        <v>65</v>
      </c>
      <c r="M10">
        <f t="shared" si="3"/>
        <v>97</v>
      </c>
      <c r="N10" s="1">
        <v>0.03</v>
      </c>
      <c r="O10">
        <f t="shared" si="4"/>
        <v>83</v>
      </c>
      <c r="P10">
        <f t="shared" si="5"/>
        <v>124</v>
      </c>
      <c r="Q10" s="1">
        <v>3.5000000000000003E-2</v>
      </c>
      <c r="R10">
        <f t="shared" si="0"/>
        <v>104</v>
      </c>
      <c r="S10">
        <f t="shared" si="1"/>
        <v>156</v>
      </c>
    </row>
    <row r="11" spans="1:19" x14ac:dyDescent="0.2">
      <c r="A11">
        <v>55</v>
      </c>
      <c r="B11">
        <v>213</v>
      </c>
      <c r="C11" t="s">
        <v>15</v>
      </c>
      <c r="D11" s="5">
        <f>5729.578/3</f>
        <v>1909.8593333333336</v>
      </c>
      <c r="E11" s="1">
        <v>1.7999999999999999E-2</v>
      </c>
      <c r="F11">
        <f>ROUNDUP($B$2*E11*$B$5,0)</f>
        <v>42</v>
      </c>
      <c r="G11">
        <f>ROUNDUP($B$2*2*E11*$B$5*0.75,0)</f>
        <v>62</v>
      </c>
      <c r="H11" s="1">
        <v>2.3E-2</v>
      </c>
      <c r="I11">
        <f t="shared" si="6"/>
        <v>56</v>
      </c>
      <c r="J11">
        <f t="shared" si="7"/>
        <v>84</v>
      </c>
      <c r="K11" s="1">
        <v>2.8000000000000001E-2</v>
      </c>
      <c r="L11">
        <f t="shared" si="2"/>
        <v>73</v>
      </c>
      <c r="M11">
        <f t="shared" si="3"/>
        <v>109</v>
      </c>
      <c r="N11" s="1">
        <v>3.4000000000000002E-2</v>
      </c>
      <c r="O11">
        <f t="shared" si="4"/>
        <v>94</v>
      </c>
      <c r="P11">
        <f t="shared" si="5"/>
        <v>141</v>
      </c>
      <c r="Q11" s="1">
        <v>3.9E-2</v>
      </c>
      <c r="R11">
        <f t="shared" si="0"/>
        <v>116</v>
      </c>
      <c r="S11">
        <f t="shared" si="1"/>
        <v>174</v>
      </c>
    </row>
    <row r="12" spans="1:19" x14ac:dyDescent="0.2">
      <c r="A12">
        <v>60</v>
      </c>
      <c r="B12">
        <v>222</v>
      </c>
      <c r="C12" t="s">
        <v>21</v>
      </c>
      <c r="D12" s="5">
        <f>5729.578/3.5</f>
        <v>1637.0222857142858</v>
      </c>
      <c r="E12" s="1">
        <v>0.02</v>
      </c>
      <c r="F12">
        <f t="shared" ref="F12:F47" si="8">ROUNDUP($B$2*E12*$B$5,0)</f>
        <v>46</v>
      </c>
      <c r="G12">
        <f t="shared" ref="G12:G47" si="9">ROUNDUP($B$2*2*E12*$B$5*0.75,0)</f>
        <v>69</v>
      </c>
      <c r="H12" s="1">
        <v>2.5999999999999999E-2</v>
      </c>
      <c r="I12">
        <f t="shared" si="6"/>
        <v>64</v>
      </c>
      <c r="J12">
        <f t="shared" si="7"/>
        <v>95</v>
      </c>
      <c r="K12" s="1">
        <v>3.2000000000000001E-2</v>
      </c>
      <c r="L12">
        <f t="shared" si="2"/>
        <v>83</v>
      </c>
      <c r="M12">
        <f t="shared" si="3"/>
        <v>124</v>
      </c>
      <c r="N12" s="1">
        <v>3.6999999999999998E-2</v>
      </c>
      <c r="O12">
        <f t="shared" si="4"/>
        <v>102</v>
      </c>
      <c r="P12">
        <f t="shared" si="5"/>
        <v>153</v>
      </c>
      <c r="Q12" s="1">
        <v>4.2999999999999997E-2</v>
      </c>
      <c r="R12">
        <f t="shared" si="0"/>
        <v>128</v>
      </c>
      <c r="S12">
        <f t="shared" si="1"/>
        <v>191</v>
      </c>
    </row>
    <row r="13" spans="1:19" x14ac:dyDescent="0.2">
      <c r="A13">
        <v>65</v>
      </c>
      <c r="B13">
        <v>233</v>
      </c>
      <c r="C13" t="s">
        <v>18</v>
      </c>
      <c r="D13" s="5">
        <f>5729.578/4</f>
        <v>1432.3945000000001</v>
      </c>
      <c r="E13" s="1">
        <v>2.1999999999999999E-2</v>
      </c>
      <c r="F13">
        <f t="shared" si="8"/>
        <v>51</v>
      </c>
      <c r="G13">
        <f t="shared" si="9"/>
        <v>76</v>
      </c>
      <c r="H13" s="1">
        <v>2.8000000000000001E-2</v>
      </c>
      <c r="I13">
        <f t="shared" si="6"/>
        <v>69</v>
      </c>
      <c r="J13">
        <f t="shared" si="7"/>
        <v>103</v>
      </c>
      <c r="K13" s="1">
        <v>3.4000000000000002E-2</v>
      </c>
      <c r="L13">
        <f t="shared" si="2"/>
        <v>88</v>
      </c>
      <c r="M13">
        <f t="shared" si="3"/>
        <v>132</v>
      </c>
      <c r="N13" s="1">
        <v>0.04</v>
      </c>
      <c r="O13">
        <f t="shared" si="4"/>
        <v>111</v>
      </c>
      <c r="P13">
        <f t="shared" si="5"/>
        <v>166</v>
      </c>
      <c r="Q13" s="1">
        <v>4.5999999999999999E-2</v>
      </c>
      <c r="R13">
        <f t="shared" si="0"/>
        <v>137</v>
      </c>
      <c r="S13">
        <f t="shared" si="1"/>
        <v>205</v>
      </c>
    </row>
    <row r="14" spans="1:19" x14ac:dyDescent="0.2">
      <c r="A14">
        <v>70</v>
      </c>
      <c r="B14">
        <v>250</v>
      </c>
      <c r="C14" t="s">
        <v>19</v>
      </c>
      <c r="D14" s="5">
        <f>5729.578/4.5</f>
        <v>1273.2395555555556</v>
      </c>
      <c r="E14" s="1">
        <v>2.4E-2</v>
      </c>
      <c r="F14">
        <f t="shared" si="8"/>
        <v>55</v>
      </c>
      <c r="G14">
        <f t="shared" si="9"/>
        <v>83</v>
      </c>
      <c r="H14" s="1">
        <v>3.1E-2</v>
      </c>
      <c r="I14">
        <f t="shared" si="6"/>
        <v>76</v>
      </c>
      <c r="J14">
        <f t="shared" si="7"/>
        <v>114</v>
      </c>
      <c r="K14" s="1">
        <v>3.6999999999999998E-2</v>
      </c>
      <c r="L14">
        <f t="shared" si="2"/>
        <v>96</v>
      </c>
      <c r="M14">
        <f t="shared" si="3"/>
        <v>143</v>
      </c>
      <c r="N14" s="1">
        <v>4.2999999999999997E-2</v>
      </c>
      <c r="O14">
        <f t="shared" si="4"/>
        <v>119</v>
      </c>
      <c r="P14">
        <f t="shared" si="5"/>
        <v>178</v>
      </c>
      <c r="Q14" s="1">
        <v>4.9000000000000002E-2</v>
      </c>
      <c r="R14">
        <f t="shared" si="0"/>
        <v>146</v>
      </c>
      <c r="S14">
        <f t="shared" si="1"/>
        <v>218</v>
      </c>
    </row>
    <row r="15" spans="1:19" x14ac:dyDescent="0.2">
      <c r="A15">
        <v>70</v>
      </c>
      <c r="B15">
        <v>263</v>
      </c>
      <c r="C15" t="s">
        <v>20</v>
      </c>
      <c r="D15" s="5">
        <f>5729.578/5</f>
        <v>1145.9156</v>
      </c>
      <c r="E15" s="1">
        <v>2.5999999999999999E-2</v>
      </c>
      <c r="F15">
        <f t="shared" si="8"/>
        <v>60</v>
      </c>
      <c r="G15">
        <f t="shared" si="9"/>
        <v>90</v>
      </c>
      <c r="H15" s="1">
        <v>3.3000000000000002E-2</v>
      </c>
      <c r="I15">
        <f t="shared" si="6"/>
        <v>81</v>
      </c>
      <c r="J15">
        <f t="shared" si="7"/>
        <v>121</v>
      </c>
      <c r="K15" s="1">
        <v>3.9E-2</v>
      </c>
      <c r="L15">
        <f t="shared" si="2"/>
        <v>101</v>
      </c>
      <c r="M15">
        <f t="shared" si="3"/>
        <v>151</v>
      </c>
      <c r="N15" s="1">
        <v>4.4999999999999998E-2</v>
      </c>
      <c r="O15">
        <f t="shared" si="4"/>
        <v>124</v>
      </c>
      <c r="P15">
        <f t="shared" si="5"/>
        <v>186</v>
      </c>
      <c r="Q15" s="1">
        <v>5.0999999999999997E-2</v>
      </c>
      <c r="R15">
        <f t="shared" si="0"/>
        <v>151</v>
      </c>
      <c r="S15">
        <f t="shared" si="1"/>
        <v>227</v>
      </c>
    </row>
    <row r="16" spans="1:19" x14ac:dyDescent="0.2">
      <c r="C16" t="s">
        <v>22</v>
      </c>
      <c r="D16" s="5">
        <f>5729.578/5.5</f>
        <v>1041.7414545454546</v>
      </c>
      <c r="E16" s="1">
        <v>2.8000000000000001E-2</v>
      </c>
      <c r="F16">
        <f t="shared" si="8"/>
        <v>65</v>
      </c>
      <c r="G16">
        <f t="shared" si="9"/>
        <v>97</v>
      </c>
      <c r="H16" s="1">
        <v>3.5000000000000003E-2</v>
      </c>
      <c r="I16">
        <f t="shared" si="6"/>
        <v>86</v>
      </c>
      <c r="J16">
        <f t="shared" si="7"/>
        <v>128</v>
      </c>
      <c r="K16" s="1">
        <v>4.1000000000000002E-2</v>
      </c>
      <c r="L16">
        <f t="shared" si="2"/>
        <v>106</v>
      </c>
      <c r="M16">
        <f t="shared" si="3"/>
        <v>159</v>
      </c>
      <c r="N16" s="1">
        <v>4.7E-2</v>
      </c>
      <c r="O16">
        <f t="shared" si="4"/>
        <v>130</v>
      </c>
      <c r="P16">
        <f t="shared" si="5"/>
        <v>195</v>
      </c>
      <c r="Q16" s="1">
        <v>5.2999999999999999E-2</v>
      </c>
      <c r="R16">
        <f t="shared" si="0"/>
        <v>157</v>
      </c>
      <c r="S16">
        <f t="shared" si="1"/>
        <v>236</v>
      </c>
    </row>
    <row r="17" spans="3:19" x14ac:dyDescent="0.2">
      <c r="C17" t="s">
        <v>23</v>
      </c>
      <c r="D17" s="5">
        <f>5729.578/6</f>
        <v>954.92966666666678</v>
      </c>
      <c r="E17" s="1">
        <v>0.03</v>
      </c>
      <c r="F17">
        <f t="shared" si="8"/>
        <v>69</v>
      </c>
      <c r="G17">
        <f t="shared" si="9"/>
        <v>103</v>
      </c>
      <c r="H17" s="1">
        <v>3.5999999999999997E-2</v>
      </c>
      <c r="I17">
        <f t="shared" si="6"/>
        <v>88</v>
      </c>
      <c r="J17">
        <f t="shared" si="7"/>
        <v>132</v>
      </c>
      <c r="K17" s="1">
        <v>4.2000000000000003E-2</v>
      </c>
      <c r="L17">
        <f t="shared" si="2"/>
        <v>109</v>
      </c>
      <c r="M17">
        <f t="shared" si="3"/>
        <v>163</v>
      </c>
      <c r="N17" s="1">
        <v>4.9000000000000002E-2</v>
      </c>
      <c r="O17">
        <f t="shared" si="4"/>
        <v>135</v>
      </c>
      <c r="P17">
        <f t="shared" si="5"/>
        <v>203</v>
      </c>
      <c r="Q17" s="1">
        <v>5.5E-2</v>
      </c>
      <c r="R17">
        <f t="shared" si="0"/>
        <v>163</v>
      </c>
      <c r="S17">
        <f t="shared" si="1"/>
        <v>245</v>
      </c>
    </row>
    <row r="18" spans="3:19" x14ac:dyDescent="0.2">
      <c r="C18" t="s">
        <v>24</v>
      </c>
      <c r="D18" s="5">
        <f>5729.578/6.5</f>
        <v>881.47353846153851</v>
      </c>
      <c r="E18" s="1">
        <v>3.1E-2</v>
      </c>
      <c r="F18">
        <f t="shared" si="8"/>
        <v>71</v>
      </c>
      <c r="G18">
        <f t="shared" si="9"/>
        <v>107</v>
      </c>
      <c r="H18" s="1">
        <v>3.7999999999999999E-2</v>
      </c>
      <c r="I18">
        <f t="shared" si="6"/>
        <v>93</v>
      </c>
      <c r="J18">
        <f t="shared" si="7"/>
        <v>139</v>
      </c>
      <c r="K18" s="1">
        <v>4.3999999999999997E-2</v>
      </c>
      <c r="L18">
        <f t="shared" si="2"/>
        <v>114</v>
      </c>
      <c r="M18">
        <f t="shared" si="3"/>
        <v>171</v>
      </c>
      <c r="N18" s="1">
        <v>5.0999999999999997E-2</v>
      </c>
      <c r="O18">
        <f t="shared" si="4"/>
        <v>141</v>
      </c>
      <c r="P18">
        <f t="shared" si="5"/>
        <v>211</v>
      </c>
      <c r="Q18" s="1">
        <v>5.7000000000000002E-2</v>
      </c>
      <c r="R18">
        <f t="shared" si="0"/>
        <v>169</v>
      </c>
      <c r="S18">
        <f t="shared" si="1"/>
        <v>254</v>
      </c>
    </row>
    <row r="19" spans="3:19" x14ac:dyDescent="0.2">
      <c r="C19" t="s">
        <v>25</v>
      </c>
      <c r="D19" s="5">
        <f>5729.578/7</f>
        <v>818.51114285714289</v>
      </c>
      <c r="E19" s="1">
        <v>3.3000000000000002E-2</v>
      </c>
      <c r="F19">
        <f t="shared" si="8"/>
        <v>76</v>
      </c>
      <c r="G19">
        <f t="shared" si="9"/>
        <v>114</v>
      </c>
      <c r="H19" s="1">
        <v>3.9E-2</v>
      </c>
      <c r="I19">
        <f t="shared" si="6"/>
        <v>95</v>
      </c>
      <c r="J19">
        <f t="shared" si="7"/>
        <v>143</v>
      </c>
      <c r="K19" s="1">
        <v>4.4999999999999998E-2</v>
      </c>
      <c r="L19">
        <f t="shared" si="2"/>
        <v>116</v>
      </c>
      <c r="M19">
        <f t="shared" si="3"/>
        <v>174</v>
      </c>
      <c r="N19" s="1">
        <v>5.2999999999999999E-2</v>
      </c>
      <c r="O19">
        <f t="shared" si="4"/>
        <v>146</v>
      </c>
      <c r="P19">
        <f t="shared" si="5"/>
        <v>219</v>
      </c>
      <c r="Q19" s="1">
        <v>5.8000000000000003E-2</v>
      </c>
      <c r="R19">
        <f t="shared" si="0"/>
        <v>172</v>
      </c>
      <c r="S19">
        <f t="shared" si="1"/>
        <v>258</v>
      </c>
    </row>
    <row r="20" spans="3:19" x14ac:dyDescent="0.2">
      <c r="C20" t="s">
        <v>26</v>
      </c>
      <c r="D20" s="5">
        <f>5729.578/7.5</f>
        <v>763.9437333333334</v>
      </c>
      <c r="E20" s="1">
        <v>3.4000000000000002E-2</v>
      </c>
      <c r="F20">
        <f t="shared" si="8"/>
        <v>78</v>
      </c>
      <c r="G20">
        <f t="shared" si="9"/>
        <v>117</v>
      </c>
      <c r="H20" s="1">
        <v>0.04</v>
      </c>
      <c r="I20">
        <f t="shared" si="6"/>
        <v>98</v>
      </c>
      <c r="J20">
        <f t="shared" si="7"/>
        <v>146</v>
      </c>
      <c r="K20" s="1">
        <v>4.7E-2</v>
      </c>
      <c r="L20">
        <f t="shared" si="2"/>
        <v>122</v>
      </c>
      <c r="M20">
        <f t="shared" si="3"/>
        <v>182</v>
      </c>
      <c r="N20" s="1">
        <v>5.3999999999999999E-2</v>
      </c>
      <c r="O20">
        <f t="shared" si="4"/>
        <v>149</v>
      </c>
      <c r="P20">
        <f t="shared" si="5"/>
        <v>223</v>
      </c>
      <c r="Q20" s="1">
        <v>5.8999999999999997E-2</v>
      </c>
      <c r="R20">
        <f t="shared" si="0"/>
        <v>175</v>
      </c>
      <c r="S20">
        <f t="shared" si="1"/>
        <v>262</v>
      </c>
    </row>
    <row r="21" spans="3:19" x14ac:dyDescent="0.2">
      <c r="C21" t="s">
        <v>27</v>
      </c>
      <c r="D21" s="5">
        <f>5729.578/8</f>
        <v>716.19725000000005</v>
      </c>
      <c r="E21" s="1">
        <v>3.5000000000000003E-2</v>
      </c>
      <c r="F21">
        <f t="shared" si="8"/>
        <v>81</v>
      </c>
      <c r="G21">
        <f t="shared" si="9"/>
        <v>121</v>
      </c>
      <c r="H21" s="1">
        <v>4.1000000000000002E-2</v>
      </c>
      <c r="I21">
        <f t="shared" si="6"/>
        <v>100</v>
      </c>
      <c r="J21">
        <f t="shared" si="7"/>
        <v>150</v>
      </c>
      <c r="K21" s="1">
        <v>4.8000000000000001E-2</v>
      </c>
      <c r="L21">
        <f t="shared" si="2"/>
        <v>124</v>
      </c>
      <c r="M21">
        <f t="shared" si="3"/>
        <v>186</v>
      </c>
      <c r="N21" s="1">
        <v>5.5E-2</v>
      </c>
      <c r="O21">
        <f t="shared" si="4"/>
        <v>152</v>
      </c>
      <c r="P21">
        <f t="shared" si="5"/>
        <v>228</v>
      </c>
      <c r="Q21" s="1">
        <v>0.06</v>
      </c>
      <c r="R21">
        <f t="shared" si="0"/>
        <v>178</v>
      </c>
      <c r="S21">
        <f t="shared" si="1"/>
        <v>267</v>
      </c>
    </row>
    <row r="22" spans="3:19" x14ac:dyDescent="0.2">
      <c r="C22" t="s">
        <v>28</v>
      </c>
      <c r="D22" s="5">
        <f>5729.578/8.5</f>
        <v>674.0680000000001</v>
      </c>
      <c r="E22" s="1">
        <v>3.5999999999999997E-2</v>
      </c>
      <c r="F22">
        <f t="shared" si="8"/>
        <v>83</v>
      </c>
      <c r="G22">
        <f t="shared" si="9"/>
        <v>124</v>
      </c>
      <c r="H22" s="1">
        <v>4.2000000000000003E-2</v>
      </c>
      <c r="I22">
        <f t="shared" si="6"/>
        <v>103</v>
      </c>
      <c r="J22">
        <f t="shared" si="7"/>
        <v>154</v>
      </c>
      <c r="K22" s="1">
        <v>0.05</v>
      </c>
      <c r="L22">
        <f t="shared" si="2"/>
        <v>129</v>
      </c>
      <c r="M22">
        <f t="shared" si="3"/>
        <v>194</v>
      </c>
      <c r="N22" s="1">
        <v>5.6000000000000001E-2</v>
      </c>
      <c r="O22">
        <f t="shared" si="4"/>
        <v>155</v>
      </c>
      <c r="P22">
        <f t="shared" si="5"/>
        <v>232</v>
      </c>
      <c r="Q22" s="1">
        <v>0.06</v>
      </c>
      <c r="R22">
        <f t="shared" si="0"/>
        <v>178</v>
      </c>
      <c r="S22">
        <f t="shared" si="1"/>
        <v>267</v>
      </c>
    </row>
    <row r="23" spans="3:19" x14ac:dyDescent="0.2">
      <c r="C23" t="s">
        <v>29</v>
      </c>
      <c r="D23" s="7">
        <f>5729.578/9</f>
        <v>636.61977777777781</v>
      </c>
      <c r="E23" s="1">
        <v>3.6999999999999998E-2</v>
      </c>
      <c r="F23">
        <f t="shared" si="8"/>
        <v>85</v>
      </c>
      <c r="G23">
        <f t="shared" si="9"/>
        <v>127</v>
      </c>
      <c r="H23" s="1">
        <v>4.2999999999999997E-2</v>
      </c>
      <c r="I23">
        <f t="shared" si="6"/>
        <v>105</v>
      </c>
      <c r="J23">
        <f t="shared" si="7"/>
        <v>157</v>
      </c>
      <c r="K23" s="1">
        <v>5.0999999999999997E-2</v>
      </c>
      <c r="L23">
        <f t="shared" si="2"/>
        <v>132</v>
      </c>
      <c r="M23">
        <f t="shared" si="3"/>
        <v>198</v>
      </c>
      <c r="N23" s="1">
        <v>5.7000000000000002E-2</v>
      </c>
      <c r="O23">
        <f t="shared" si="4"/>
        <v>157</v>
      </c>
      <c r="P23">
        <f t="shared" si="5"/>
        <v>236</v>
      </c>
      <c r="Q23" s="1">
        <v>0.06</v>
      </c>
      <c r="R23">
        <f t="shared" si="0"/>
        <v>178</v>
      </c>
      <c r="S23">
        <f t="shared" si="1"/>
        <v>267</v>
      </c>
    </row>
    <row r="24" spans="3:19" x14ac:dyDescent="0.2">
      <c r="C24" t="s">
        <v>30</v>
      </c>
      <c r="D24" s="5">
        <f>5729.578/9.5</f>
        <v>603.11347368421059</v>
      </c>
      <c r="E24" s="1">
        <v>3.7999999999999999E-2</v>
      </c>
      <c r="F24">
        <f t="shared" si="8"/>
        <v>87</v>
      </c>
      <c r="G24">
        <f t="shared" si="9"/>
        <v>131</v>
      </c>
      <c r="H24" s="1">
        <v>4.4999999999999998E-2</v>
      </c>
      <c r="I24">
        <f t="shared" si="6"/>
        <v>110</v>
      </c>
      <c r="J24">
        <f t="shared" si="7"/>
        <v>165</v>
      </c>
      <c r="K24" s="1">
        <v>5.1999999999999998E-2</v>
      </c>
      <c r="L24">
        <f t="shared" si="2"/>
        <v>134</v>
      </c>
      <c r="M24">
        <f t="shared" si="3"/>
        <v>201</v>
      </c>
      <c r="N24" s="1">
        <v>5.8000000000000003E-2</v>
      </c>
      <c r="O24">
        <f t="shared" si="4"/>
        <v>160</v>
      </c>
      <c r="P24">
        <f t="shared" si="5"/>
        <v>240</v>
      </c>
    </row>
    <row r="25" spans="3:19" x14ac:dyDescent="0.2">
      <c r="C25" t="s">
        <v>31</v>
      </c>
      <c r="D25" s="5">
        <f>5729.578/10</f>
        <v>572.95780000000002</v>
      </c>
      <c r="E25" s="1">
        <v>3.7999999999999999E-2</v>
      </c>
      <c r="F25">
        <f t="shared" si="8"/>
        <v>87</v>
      </c>
      <c r="G25">
        <f t="shared" si="9"/>
        <v>131</v>
      </c>
      <c r="H25" s="1">
        <v>4.5999999999999999E-2</v>
      </c>
      <c r="I25">
        <f t="shared" si="6"/>
        <v>112</v>
      </c>
      <c r="J25">
        <f t="shared" si="7"/>
        <v>168</v>
      </c>
      <c r="K25" s="1">
        <v>5.2999999999999999E-2</v>
      </c>
      <c r="L25">
        <f t="shared" si="2"/>
        <v>137</v>
      </c>
      <c r="M25">
        <f t="shared" si="3"/>
        <v>205</v>
      </c>
      <c r="N25" s="1">
        <v>5.8999999999999997E-2</v>
      </c>
      <c r="O25">
        <f t="shared" si="4"/>
        <v>163</v>
      </c>
      <c r="P25">
        <f t="shared" si="5"/>
        <v>244</v>
      </c>
    </row>
    <row r="26" spans="3:19" x14ac:dyDescent="0.2">
      <c r="C26" t="s">
        <v>32</v>
      </c>
      <c r="D26" s="5">
        <f>5729.578/10.5</f>
        <v>545.67409523809533</v>
      </c>
      <c r="E26" s="1">
        <v>3.9E-2</v>
      </c>
      <c r="F26">
        <f t="shared" si="8"/>
        <v>90</v>
      </c>
      <c r="G26">
        <f t="shared" si="9"/>
        <v>134</v>
      </c>
      <c r="H26" s="1">
        <v>4.5999999999999999E-2</v>
      </c>
      <c r="I26">
        <f t="shared" si="6"/>
        <v>112</v>
      </c>
      <c r="J26">
        <f t="shared" si="7"/>
        <v>168</v>
      </c>
      <c r="K26" s="1">
        <v>5.3999999999999999E-2</v>
      </c>
      <c r="L26">
        <f t="shared" si="2"/>
        <v>140</v>
      </c>
      <c r="M26">
        <f t="shared" si="3"/>
        <v>209</v>
      </c>
      <c r="N26" s="1">
        <v>5.8999999999999997E-2</v>
      </c>
      <c r="O26">
        <f t="shared" si="4"/>
        <v>163</v>
      </c>
      <c r="P26">
        <f t="shared" si="5"/>
        <v>244</v>
      </c>
    </row>
    <row r="27" spans="3:19" x14ac:dyDescent="0.2">
      <c r="C27" t="s">
        <v>33</v>
      </c>
      <c r="D27" s="5">
        <f>5729.578/11</f>
        <v>520.87072727272732</v>
      </c>
      <c r="E27" s="1">
        <v>0.04</v>
      </c>
      <c r="F27">
        <f t="shared" si="8"/>
        <v>92</v>
      </c>
      <c r="G27">
        <f t="shared" si="9"/>
        <v>138</v>
      </c>
      <c r="H27" s="1">
        <v>4.7E-2</v>
      </c>
      <c r="I27">
        <f t="shared" si="6"/>
        <v>115</v>
      </c>
      <c r="J27">
        <f t="shared" si="7"/>
        <v>172</v>
      </c>
      <c r="K27" s="1">
        <v>5.5E-2</v>
      </c>
      <c r="L27">
        <f t="shared" si="2"/>
        <v>142</v>
      </c>
      <c r="M27">
        <f t="shared" si="3"/>
        <v>213</v>
      </c>
      <c r="N27" s="1">
        <v>0.06</v>
      </c>
      <c r="O27">
        <f t="shared" si="4"/>
        <v>166</v>
      </c>
      <c r="P27">
        <f t="shared" si="5"/>
        <v>248</v>
      </c>
    </row>
    <row r="28" spans="3:19" x14ac:dyDescent="0.2">
      <c r="C28" t="s">
        <v>34</v>
      </c>
      <c r="D28" s="7">
        <f>5729.578/11.5</f>
        <v>498.2241739130435</v>
      </c>
      <c r="E28" s="1">
        <v>0.04</v>
      </c>
      <c r="F28">
        <f t="shared" si="8"/>
        <v>92</v>
      </c>
      <c r="G28">
        <f t="shared" si="9"/>
        <v>138</v>
      </c>
      <c r="H28" s="1">
        <v>4.8000000000000001E-2</v>
      </c>
      <c r="I28">
        <f t="shared" si="6"/>
        <v>117</v>
      </c>
      <c r="J28">
        <f t="shared" si="7"/>
        <v>176</v>
      </c>
      <c r="K28" s="1">
        <v>5.6000000000000001E-2</v>
      </c>
      <c r="L28">
        <f t="shared" si="2"/>
        <v>145</v>
      </c>
      <c r="M28">
        <f t="shared" si="3"/>
        <v>217</v>
      </c>
      <c r="N28" s="1">
        <v>0.06</v>
      </c>
      <c r="O28">
        <f t="shared" si="4"/>
        <v>166</v>
      </c>
      <c r="P28">
        <f t="shared" si="5"/>
        <v>248</v>
      </c>
    </row>
    <row r="29" spans="3:19" x14ac:dyDescent="0.2">
      <c r="C29" t="s">
        <v>35</v>
      </c>
      <c r="D29" s="5">
        <f>5729.578/12</f>
        <v>477.46483333333339</v>
      </c>
      <c r="E29" s="1">
        <v>4.1000000000000002E-2</v>
      </c>
      <c r="F29">
        <f t="shared" si="8"/>
        <v>94</v>
      </c>
      <c r="G29">
        <f t="shared" si="9"/>
        <v>141</v>
      </c>
      <c r="H29" s="1">
        <v>4.9000000000000002E-2</v>
      </c>
      <c r="I29">
        <f t="shared" si="6"/>
        <v>120</v>
      </c>
      <c r="J29">
        <f t="shared" si="7"/>
        <v>179</v>
      </c>
      <c r="K29" s="1">
        <v>5.7000000000000002E-2</v>
      </c>
      <c r="L29">
        <f t="shared" si="2"/>
        <v>147</v>
      </c>
      <c r="M29">
        <f t="shared" si="3"/>
        <v>221</v>
      </c>
    </row>
    <row r="30" spans="3:19" x14ac:dyDescent="0.2">
      <c r="C30" t="s">
        <v>36</v>
      </c>
      <c r="D30" s="5">
        <f>5729.578/12.5</f>
        <v>458.36624000000006</v>
      </c>
      <c r="E30" s="1">
        <v>4.2000000000000003E-2</v>
      </c>
      <c r="F30">
        <f t="shared" si="8"/>
        <v>97</v>
      </c>
      <c r="G30">
        <f t="shared" si="9"/>
        <v>145</v>
      </c>
      <c r="H30" s="1">
        <v>0.05</v>
      </c>
      <c r="I30">
        <f t="shared" si="6"/>
        <v>122</v>
      </c>
      <c r="J30">
        <f t="shared" si="7"/>
        <v>183</v>
      </c>
      <c r="K30" s="1">
        <v>5.7000000000000002E-2</v>
      </c>
      <c r="L30">
        <f t="shared" si="2"/>
        <v>147</v>
      </c>
      <c r="M30">
        <f t="shared" si="3"/>
        <v>221</v>
      </c>
    </row>
    <row r="31" spans="3:19" x14ac:dyDescent="0.2">
      <c r="C31" t="s">
        <v>37</v>
      </c>
      <c r="D31" s="5">
        <f>5729.578/13</f>
        <v>440.73676923076926</v>
      </c>
      <c r="E31" s="1">
        <v>4.2000000000000003E-2</v>
      </c>
      <c r="F31">
        <f t="shared" si="8"/>
        <v>97</v>
      </c>
      <c r="G31">
        <f t="shared" si="9"/>
        <v>145</v>
      </c>
      <c r="H31" s="1">
        <v>5.0999999999999997E-2</v>
      </c>
      <c r="I31">
        <f t="shared" si="6"/>
        <v>125</v>
      </c>
      <c r="J31">
        <f t="shared" si="7"/>
        <v>187</v>
      </c>
      <c r="K31" s="1">
        <v>5.8000000000000003E-2</v>
      </c>
      <c r="L31">
        <f t="shared" si="2"/>
        <v>150</v>
      </c>
      <c r="M31">
        <f t="shared" si="3"/>
        <v>225</v>
      </c>
    </row>
    <row r="32" spans="3:19" x14ac:dyDescent="0.2">
      <c r="C32" t="s">
        <v>38</v>
      </c>
      <c r="D32" s="5">
        <f>5729.578/13.5</f>
        <v>424.41318518518523</v>
      </c>
      <c r="E32" s="1">
        <v>4.2999999999999997E-2</v>
      </c>
      <c r="F32">
        <f t="shared" si="8"/>
        <v>99</v>
      </c>
      <c r="G32">
        <f t="shared" si="9"/>
        <v>148</v>
      </c>
      <c r="H32" s="1">
        <v>5.1999999999999998E-2</v>
      </c>
      <c r="I32">
        <f t="shared" si="6"/>
        <v>127</v>
      </c>
      <c r="J32">
        <f t="shared" si="7"/>
        <v>190</v>
      </c>
      <c r="K32" s="1">
        <v>5.8000000000000003E-2</v>
      </c>
      <c r="L32">
        <f t="shared" si="2"/>
        <v>150</v>
      </c>
      <c r="M32">
        <f t="shared" si="3"/>
        <v>225</v>
      </c>
    </row>
    <row r="33" spans="3:13" x14ac:dyDescent="0.2">
      <c r="C33" t="s">
        <v>39</v>
      </c>
      <c r="D33" s="5">
        <f>5729.578/14</f>
        <v>409.25557142857144</v>
      </c>
      <c r="E33" s="1">
        <v>4.3999999999999997E-2</v>
      </c>
      <c r="F33">
        <f t="shared" si="8"/>
        <v>101</v>
      </c>
      <c r="G33">
        <f t="shared" si="9"/>
        <v>152</v>
      </c>
      <c r="H33" s="1">
        <v>5.1999999999999998E-2</v>
      </c>
      <c r="I33">
        <f t="shared" si="6"/>
        <v>127</v>
      </c>
      <c r="J33">
        <f t="shared" si="7"/>
        <v>190</v>
      </c>
      <c r="K33" s="1">
        <v>5.8999999999999997E-2</v>
      </c>
      <c r="L33">
        <f t="shared" si="2"/>
        <v>152</v>
      </c>
      <c r="M33">
        <f t="shared" si="3"/>
        <v>228</v>
      </c>
    </row>
    <row r="34" spans="3:13" x14ac:dyDescent="0.2">
      <c r="C34" t="s">
        <v>40</v>
      </c>
      <c r="D34" s="5">
        <f>5729.578/14.5</f>
        <v>395.14331034482763</v>
      </c>
      <c r="E34" s="1">
        <v>4.3999999999999997E-2</v>
      </c>
      <c r="F34">
        <f t="shared" si="8"/>
        <v>101</v>
      </c>
      <c r="G34">
        <f t="shared" si="9"/>
        <v>152</v>
      </c>
      <c r="H34" s="1">
        <v>5.2999999999999999E-2</v>
      </c>
      <c r="I34">
        <f t="shared" si="6"/>
        <v>129</v>
      </c>
      <c r="J34">
        <f t="shared" si="7"/>
        <v>194</v>
      </c>
      <c r="K34" s="1">
        <v>5.8999999999999997E-2</v>
      </c>
      <c r="L34">
        <f t="shared" si="2"/>
        <v>152</v>
      </c>
      <c r="M34">
        <f t="shared" si="3"/>
        <v>228</v>
      </c>
    </row>
    <row r="35" spans="3:13" x14ac:dyDescent="0.2">
      <c r="C35" t="s">
        <v>41</v>
      </c>
      <c r="D35" s="5">
        <f>5729.578/15</f>
        <v>381.9718666666667</v>
      </c>
      <c r="E35" s="1">
        <v>4.4999999999999998E-2</v>
      </c>
      <c r="F35">
        <f t="shared" si="8"/>
        <v>103</v>
      </c>
      <c r="G35">
        <f t="shared" si="9"/>
        <v>155</v>
      </c>
      <c r="H35" s="1">
        <v>5.3999999999999999E-2</v>
      </c>
      <c r="I35">
        <f t="shared" si="6"/>
        <v>132</v>
      </c>
      <c r="J35">
        <f t="shared" si="7"/>
        <v>197</v>
      </c>
      <c r="K35" s="1">
        <v>0.06</v>
      </c>
      <c r="L35">
        <f t="shared" si="2"/>
        <v>155</v>
      </c>
      <c r="M35">
        <f t="shared" si="3"/>
        <v>232</v>
      </c>
    </row>
    <row r="36" spans="3:13" x14ac:dyDescent="0.2">
      <c r="C36" t="s">
        <v>42</v>
      </c>
      <c r="D36" s="7">
        <f>5729.578/16.5</f>
        <v>347.24715151515153</v>
      </c>
      <c r="E36" s="1">
        <v>4.7E-2</v>
      </c>
      <c r="F36">
        <f t="shared" si="8"/>
        <v>108</v>
      </c>
      <c r="G36">
        <f t="shared" si="9"/>
        <v>162</v>
      </c>
      <c r="H36" s="1">
        <v>5.5E-2</v>
      </c>
      <c r="I36">
        <f t="shared" si="6"/>
        <v>134</v>
      </c>
      <c r="J36">
        <f t="shared" si="7"/>
        <v>201</v>
      </c>
      <c r="K36" s="1">
        <v>0.06</v>
      </c>
      <c r="L36">
        <f t="shared" si="2"/>
        <v>155</v>
      </c>
      <c r="M36">
        <f t="shared" si="3"/>
        <v>232</v>
      </c>
    </row>
    <row r="37" spans="3:13" x14ac:dyDescent="0.2">
      <c r="C37" t="s">
        <v>43</v>
      </c>
      <c r="D37" s="5">
        <f>5729.578/18</f>
        <v>318.30988888888891</v>
      </c>
      <c r="E37" s="1">
        <v>4.8000000000000001E-2</v>
      </c>
      <c r="F37">
        <f t="shared" si="8"/>
        <v>110</v>
      </c>
      <c r="G37">
        <f t="shared" si="9"/>
        <v>165</v>
      </c>
      <c r="H37" s="1">
        <v>5.7000000000000002E-2</v>
      </c>
      <c r="I37">
        <f t="shared" si="6"/>
        <v>139</v>
      </c>
      <c r="J37">
        <f t="shared" si="7"/>
        <v>208</v>
      </c>
    </row>
    <row r="38" spans="3:13" x14ac:dyDescent="0.2">
      <c r="C38" t="s">
        <v>44</v>
      </c>
      <c r="D38" s="5">
        <f>5729.578/20</f>
        <v>286.47890000000001</v>
      </c>
      <c r="E38" s="1">
        <v>0.05</v>
      </c>
      <c r="F38">
        <f t="shared" si="8"/>
        <v>115</v>
      </c>
      <c r="G38">
        <f t="shared" si="9"/>
        <v>172</v>
      </c>
      <c r="H38" s="1">
        <v>5.8000000000000003E-2</v>
      </c>
      <c r="I38">
        <f t="shared" si="6"/>
        <v>142</v>
      </c>
      <c r="J38">
        <f t="shared" si="7"/>
        <v>212</v>
      </c>
    </row>
    <row r="39" spans="3:13" x14ac:dyDescent="0.2">
      <c r="C39" t="s">
        <v>45</v>
      </c>
      <c r="D39" s="5">
        <f>5729.578/22</f>
        <v>260.43536363636366</v>
      </c>
      <c r="E39" s="1">
        <v>5.1999999999999998E-2</v>
      </c>
      <c r="F39">
        <f t="shared" si="8"/>
        <v>119</v>
      </c>
      <c r="G39">
        <f t="shared" si="9"/>
        <v>179</v>
      </c>
      <c r="H39" s="1">
        <v>5.8999999999999997E-2</v>
      </c>
      <c r="I39">
        <f t="shared" si="6"/>
        <v>144</v>
      </c>
      <c r="J39">
        <f t="shared" si="7"/>
        <v>216</v>
      </c>
    </row>
    <row r="40" spans="3:13" x14ac:dyDescent="0.2">
      <c r="C40" t="s">
        <v>46</v>
      </c>
      <c r="D40" s="7">
        <f>5729.578/23</f>
        <v>249.11208695652175</v>
      </c>
      <c r="E40" s="1">
        <v>5.2999999999999999E-2</v>
      </c>
      <c r="F40">
        <f t="shared" si="8"/>
        <v>122</v>
      </c>
      <c r="G40">
        <f t="shared" si="9"/>
        <v>182</v>
      </c>
      <c r="H40" s="1">
        <v>0.06</v>
      </c>
      <c r="I40">
        <f t="shared" si="6"/>
        <v>146</v>
      </c>
      <c r="J40">
        <f t="shared" si="7"/>
        <v>219</v>
      </c>
    </row>
    <row r="41" spans="3:13" x14ac:dyDescent="0.2">
      <c r="C41" t="s">
        <v>47</v>
      </c>
      <c r="D41" s="5">
        <f>5729.578/25</f>
        <v>229.18312000000003</v>
      </c>
      <c r="E41" s="1">
        <v>5.5E-2</v>
      </c>
      <c r="F41">
        <f t="shared" si="8"/>
        <v>126</v>
      </c>
      <c r="G41">
        <f t="shared" si="9"/>
        <v>189</v>
      </c>
    </row>
    <row r="42" spans="3:13" x14ac:dyDescent="0.2">
      <c r="C42" t="s">
        <v>49</v>
      </c>
      <c r="D42" s="5">
        <f>5729.578/28</f>
        <v>204.62778571428572</v>
      </c>
      <c r="E42" s="1">
        <v>5.7000000000000002E-2</v>
      </c>
      <c r="F42">
        <f t="shared" si="8"/>
        <v>131</v>
      </c>
      <c r="G42">
        <f t="shared" si="9"/>
        <v>196</v>
      </c>
    </row>
    <row r="43" spans="3:13" x14ac:dyDescent="0.2">
      <c r="C43" t="s">
        <v>50</v>
      </c>
      <c r="D43" s="5">
        <f>5729.578/31</f>
        <v>184.82509677419355</v>
      </c>
      <c r="E43" s="1">
        <v>5.8000000000000003E-2</v>
      </c>
      <c r="F43">
        <f t="shared" si="8"/>
        <v>133</v>
      </c>
      <c r="G43">
        <f t="shared" si="9"/>
        <v>200</v>
      </c>
    </row>
    <row r="44" spans="3:13" x14ac:dyDescent="0.2">
      <c r="C44" t="s">
        <v>51</v>
      </c>
      <c r="D44" s="5">
        <f>5729.578/34</f>
        <v>168.51700000000002</v>
      </c>
      <c r="E44" s="1">
        <v>5.8999999999999997E-2</v>
      </c>
      <c r="F44">
        <f t="shared" si="8"/>
        <v>135</v>
      </c>
      <c r="G44">
        <f t="shared" si="9"/>
        <v>203</v>
      </c>
    </row>
    <row r="45" spans="3:13" x14ac:dyDescent="0.2">
      <c r="C45" t="s">
        <v>52</v>
      </c>
      <c r="D45" s="5">
        <f>5729.578/36</f>
        <v>159.15494444444445</v>
      </c>
      <c r="E45" s="1">
        <v>0.06</v>
      </c>
      <c r="F45">
        <f t="shared" si="8"/>
        <v>138</v>
      </c>
      <c r="G45">
        <f t="shared" si="9"/>
        <v>206</v>
      </c>
    </row>
    <row r="46" spans="3:13" x14ac:dyDescent="0.2">
      <c r="C46" t="s">
        <v>53</v>
      </c>
      <c r="D46" s="5">
        <f>5729.578/38</f>
        <v>150.77836842105265</v>
      </c>
      <c r="E46" s="1">
        <v>0.06</v>
      </c>
      <c r="F46">
        <f t="shared" si="8"/>
        <v>138</v>
      </c>
      <c r="G46">
        <f t="shared" si="9"/>
        <v>206</v>
      </c>
    </row>
    <row r="47" spans="3:13" x14ac:dyDescent="0.2">
      <c r="C47" t="s">
        <v>97</v>
      </c>
      <c r="D47" s="7">
        <f>5729.578/39.5</f>
        <v>145.05260759493672</v>
      </c>
      <c r="E47" s="1">
        <v>0.06</v>
      </c>
      <c r="F47">
        <f t="shared" si="8"/>
        <v>138</v>
      </c>
      <c r="G47">
        <f t="shared" si="9"/>
        <v>206</v>
      </c>
    </row>
    <row r="49" spans="5:5" x14ac:dyDescent="0.2">
      <c r="E4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202-7E</vt:lpstr>
      <vt:lpstr>202-8E</vt:lpstr>
      <vt:lpstr>202-9E</vt:lpstr>
      <vt:lpstr>202-10E</vt:lpstr>
    </vt:vector>
  </TitlesOfParts>
  <Company>ODOT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Thomas</dc:creator>
  <cp:lastModifiedBy>John Drsek</cp:lastModifiedBy>
  <dcterms:created xsi:type="dcterms:W3CDTF">2009-01-28T13:30:32Z</dcterms:created>
  <dcterms:modified xsi:type="dcterms:W3CDTF">2016-03-02T21:10:00Z</dcterms:modified>
</cp:coreProperties>
</file>