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I:\ProjectData\ADA\107639_ADA_770_1031\Design\Structures\ADA770_1031C\EngData\"/>
    </mc:Choice>
  </mc:AlternateContent>
  <xr:revisionPtr revIDLastSave="0" documentId="13_ncr:1_{BA2A132F-D44C-4980-B725-971DAFB30DC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ructu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5" i="1" l="1"/>
  <c r="B55" i="1"/>
  <c r="E54" i="1"/>
  <c r="B54" i="1"/>
  <c r="K106" i="1" l="1"/>
  <c r="K107" i="1"/>
  <c r="K108" i="1"/>
  <c r="H106" i="1"/>
  <c r="H107" i="1"/>
  <c r="H108" i="1"/>
  <c r="E106" i="1"/>
  <c r="E107" i="1"/>
  <c r="E108" i="1"/>
  <c r="K105" i="1"/>
  <c r="H105" i="1"/>
  <c r="E105" i="1"/>
  <c r="N72" i="1"/>
  <c r="N76" i="1" s="1"/>
  <c r="J76" i="1"/>
  <c r="C76" i="1"/>
  <c r="C67" i="1"/>
  <c r="B67" i="1"/>
  <c r="B86" i="1"/>
  <c r="E46" i="1"/>
  <c r="K44" i="1"/>
  <c r="E42" i="1"/>
  <c r="E40" i="1"/>
  <c r="E38" i="1"/>
  <c r="E34" i="1"/>
  <c r="B24" i="1"/>
  <c r="E24" i="1" s="1"/>
  <c r="E33" i="1"/>
  <c r="D29" i="1"/>
  <c r="K23" i="1"/>
  <c r="H23" i="1"/>
  <c r="E23" i="1"/>
  <c r="B25" i="1"/>
  <c r="K25" i="1" s="1"/>
  <c r="E25" i="1"/>
  <c r="B18" i="1"/>
  <c r="K11" i="1"/>
  <c r="E13" i="1" s="1"/>
  <c r="E5" i="1"/>
  <c r="H24" i="1" l="1"/>
  <c r="K24" i="1"/>
  <c r="H25" i="1"/>
  <c r="E11" i="1"/>
  <c r="C30" i="1" l="1"/>
  <c r="B23" i="1" l="1"/>
  <c r="E57" i="1" l="1"/>
  <c r="B93" i="1" l="1"/>
  <c r="F93" i="1" s="1"/>
  <c r="B76" i="1" l="1"/>
  <c r="D31" i="1" l="1"/>
  <c r="C28" i="1"/>
  <c r="K109" i="1" l="1"/>
  <c r="H109" i="1"/>
  <c r="E109" i="1"/>
  <c r="B109" i="1"/>
  <c r="F86" i="1"/>
  <c r="E100" i="1"/>
  <c r="B100" i="1"/>
  <c r="E44" i="1"/>
  <c r="E58" i="1" l="1"/>
  <c r="B68" i="1"/>
  <c r="B77" i="1"/>
  <c r="E111" i="1"/>
  <c r="E101" i="1"/>
  <c r="E47" i="1"/>
  <c r="F77" i="1" l="1"/>
  <c r="G79" i="1" s="1"/>
  <c r="F68" i="1"/>
  <c r="N68" i="1"/>
  <c r="J6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Joshua Zickafoose</author>
  </authors>
  <commentList>
    <comment ref="B6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0.5' below top of wings along length of wing</t>
        </r>
      </text>
    </comment>
    <comment ref="C6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0.5' below top of wing at outside edge</t>
        </r>
      </text>
    </comment>
    <comment ref="C6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inside bottom of box culvert to top of wing</t>
        </r>
      </text>
    </comment>
  </commentList>
</comments>
</file>

<file path=xl/sharedStrings.xml><?xml version="1.0" encoding="utf-8"?>
<sst xmlns="http://schemas.openxmlformats.org/spreadsheetml/2006/main" count="301" uniqueCount="82">
  <si>
    <t>Item 511- Class QC1 Concrete, Footing</t>
  </si>
  <si>
    <t>North Footing</t>
  </si>
  <si>
    <t>South Footing</t>
  </si>
  <si>
    <t>Item 511- Class QC1 Concrete, Headwall</t>
  </si>
  <si>
    <t>North Headwall</t>
  </si>
  <si>
    <t>South Headwall</t>
  </si>
  <si>
    <t>Item 512 - Sealing of Concrete Surfaces (Epoxy-Urethane)</t>
  </si>
  <si>
    <t>Wingwall 1</t>
  </si>
  <si>
    <t xml:space="preserve">L = </t>
  </si>
  <si>
    <t xml:space="preserve">W = </t>
  </si>
  <si>
    <t xml:space="preserve">H = </t>
  </si>
  <si>
    <t>ft</t>
  </si>
  <si>
    <t xml:space="preserve">H1 = </t>
  </si>
  <si>
    <t xml:space="preserve">H2 = </t>
  </si>
  <si>
    <t>Wingwall 2</t>
  </si>
  <si>
    <t>Wingwall 3</t>
  </si>
  <si>
    <t>Wingwall 4</t>
  </si>
  <si>
    <t>TOTAL = L*W*[(H1+H2)/2]</t>
  </si>
  <si>
    <t xml:space="preserve">Total = </t>
  </si>
  <si>
    <r>
      <t>ft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</si>
  <si>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Sum = </t>
  </si>
  <si>
    <t>CY</t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</si>
  <si>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</si>
  <si>
    <r>
      <t>D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</t>
    </r>
  </si>
  <si>
    <r>
      <t>D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</t>
    </r>
  </si>
  <si>
    <r>
      <t>D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 </t>
    </r>
  </si>
  <si>
    <r>
      <t>Total = A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*D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+A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*D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+A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*D</t>
    </r>
    <r>
      <rPr>
        <vertAlign val="subscript"/>
        <sz val="11"/>
        <color theme="1"/>
        <rFont val="Calibri"/>
        <family val="2"/>
        <scheme val="minor"/>
      </rPr>
      <t>3</t>
    </r>
  </si>
  <si>
    <t xml:space="preserve">Convert to CY = </t>
  </si>
  <si>
    <r>
      <t>L</t>
    </r>
    <r>
      <rPr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= </t>
    </r>
  </si>
  <si>
    <r>
      <t>Total = L</t>
    </r>
    <r>
      <rPr>
        <sz val="11"/>
        <color theme="1"/>
        <rFont val="Calibri"/>
        <family val="2"/>
        <scheme val="minor"/>
      </rPr>
      <t>*W*H</t>
    </r>
  </si>
  <si>
    <t>Item 516 - 1" Preformed Expansion Joint Filler</t>
  </si>
  <si>
    <t>North End</t>
  </si>
  <si>
    <t>South End</t>
  </si>
  <si>
    <t>SY</t>
  </si>
  <si>
    <t>SF</t>
  </si>
  <si>
    <t xml:space="preserve">Sides = </t>
  </si>
  <si>
    <t xml:space="preserve">T = H*W*2 = </t>
  </si>
  <si>
    <t xml:space="preserve">Convert to SY = </t>
  </si>
  <si>
    <t>Front</t>
  </si>
  <si>
    <r>
      <t>W</t>
    </r>
    <r>
      <rPr>
        <vertAlign val="subscript"/>
        <sz val="11"/>
        <color theme="1"/>
        <rFont val="Calibri"/>
        <family val="2"/>
        <scheme val="minor"/>
      </rPr>
      <t>TOP</t>
    </r>
    <r>
      <rPr>
        <sz val="11"/>
        <color theme="1"/>
        <rFont val="Calibri"/>
        <family val="2"/>
        <scheme val="minor"/>
      </rPr>
      <t xml:space="preserve"> = </t>
    </r>
  </si>
  <si>
    <t>Back/Top</t>
  </si>
  <si>
    <t xml:space="preserve">Overhang = </t>
  </si>
  <si>
    <t xml:space="preserve">Width = </t>
  </si>
  <si>
    <t>Item 518 - Porous Backfill with Geotextile Fabric</t>
  </si>
  <si>
    <t>Item 511 - Class QC1 Concrete, Retaining/Wingwall Not Including Footing</t>
  </si>
  <si>
    <t>Minus Pipes and Weep Holes</t>
  </si>
  <si>
    <t xml:space="preserve">Weep Hole Vol. = </t>
  </si>
  <si>
    <t xml:space="preserve">pi*r^2*w = </t>
  </si>
  <si>
    <t xml:space="preserve"># Weep Holes = </t>
  </si>
  <si>
    <t xml:space="preserve">Pipe Vol. = </t>
  </si>
  <si>
    <t xml:space="preserve"># Pipes = </t>
  </si>
  <si>
    <r>
      <t>Total B/T= L*W</t>
    </r>
    <r>
      <rPr>
        <vertAlign val="subscript"/>
        <sz val="11"/>
        <color theme="1"/>
        <rFont val="Calibri"/>
        <family val="2"/>
        <scheme val="minor"/>
      </rPr>
      <t>TOP</t>
    </r>
    <r>
      <rPr>
        <sz val="11"/>
        <color theme="1"/>
        <rFont val="Calibri"/>
        <family val="2"/>
        <scheme val="minor"/>
      </rPr>
      <t>+L*H</t>
    </r>
  </si>
  <si>
    <r>
      <t xml:space="preserve">Total F= </t>
    </r>
    <r>
      <rPr>
        <sz val="11"/>
        <color theme="1"/>
        <rFont val="Calibri"/>
        <family val="2"/>
        <scheme val="minor"/>
      </rPr>
      <t>L*H</t>
    </r>
  </si>
  <si>
    <t>Inside of Box</t>
  </si>
  <si>
    <t>Total Box = (L*W*S+L*H*S)*2</t>
  </si>
  <si>
    <t>Total = (L*[H1+H2]/2) + (L*W) + (W*H1) + (L*[H1+H2]/2)</t>
  </si>
  <si>
    <t>Front/Edge</t>
  </si>
  <si>
    <t>Face of Box</t>
  </si>
  <si>
    <t xml:space="preserve">Area of Opening = </t>
  </si>
  <si>
    <t>Total = [(L*W*H)-A]*S</t>
  </si>
  <si>
    <t>T=L*(W+O) =</t>
  </si>
  <si>
    <t xml:space="preserve">T= H*(L+O)*S = </t>
  </si>
  <si>
    <t xml:space="preserve">**Convert to CY = </t>
  </si>
  <si>
    <t>**for information only</t>
  </si>
  <si>
    <t xml:space="preserve">Corner Total = </t>
  </si>
  <si>
    <t xml:space="preserve">Corner Area = </t>
  </si>
  <si>
    <t>Item 512 - Type 2 Waterproofing (Top)</t>
  </si>
  <si>
    <t>Quantity Calculations for ADA-770-1026</t>
  </si>
  <si>
    <t>Item 503 - Rock Excavation</t>
  </si>
  <si>
    <r>
      <t>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Culvert area from MicroStation = </t>
    </r>
  </si>
  <si>
    <r>
      <t>A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Wingwall Area from MicroStation = </t>
    </r>
  </si>
  <si>
    <r>
      <t>A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 Step between culvert and wingwall area = </t>
    </r>
  </si>
  <si>
    <t>Same as North Footing</t>
  </si>
  <si>
    <t>Same as WW 1</t>
  </si>
  <si>
    <t xml:space="preserve">A1 = Wingwall Area from MicroStation = </t>
  </si>
  <si>
    <t xml:space="preserve">A2 = Culvert area from MicroStation = </t>
  </si>
  <si>
    <t xml:space="preserve">A3 = Step between culvert and wingwall area = </t>
  </si>
  <si>
    <t>Volume of keyway</t>
  </si>
  <si>
    <t>Item 512 - Type 2 Waterproofing (Overlap on wings)</t>
  </si>
  <si>
    <t>Samve as WW 1</t>
  </si>
  <si>
    <t>width of headwall</t>
  </si>
  <si>
    <t>Same as North Headwall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</si>
</sst>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0" fontId="1" fillId="0" borderId="0" xfId="0" applyFont="1"/>
    <xf numFmtId="0" fontId="5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ont="1"/>
    <xf numFmtId="164" fontId="0" fillId="0" borderId="0" xfId="0" applyNumberFormat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right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1" fontId="4" fillId="2" borderId="10" xfId="0" applyNumberFormat="1" applyFont="1" applyFill="1" applyBorder="1" applyAlignment="1">
      <alignment horizontal="center"/>
    </xf>
    <xf numFmtId="0" fontId="4" fillId="2" borderId="11" xfId="0" applyFont="1" applyFill="1" applyBorder="1"/>
    <xf numFmtId="0" fontId="4" fillId="2" borderId="9" xfId="0" applyFont="1" applyFill="1" applyBorder="1" applyAlignment="1">
      <alignment horizontal="right"/>
    </xf>
    <xf numFmtId="0" fontId="0" fillId="0" borderId="0" xfId="0" applyFill="1"/>
    <xf numFmtId="0" fontId="0" fillId="0" borderId="0" xfId="0" applyFill="1" applyBorder="1" applyAlignment="1">
      <alignment horizontal="right"/>
    </xf>
    <xf numFmtId="165" fontId="0" fillId="0" borderId="0" xfId="0" applyNumberFormat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right"/>
    </xf>
    <xf numFmtId="0" fontId="0" fillId="0" borderId="3" xfId="0" applyFill="1" applyBorder="1"/>
    <xf numFmtId="0" fontId="0" fillId="0" borderId="0" xfId="0" applyFill="1" applyBorder="1" applyAlignment="1">
      <alignment horizontal="center"/>
    </xf>
    <xf numFmtId="0" fontId="0" fillId="0" borderId="5" xfId="0" applyFill="1" applyBorder="1"/>
    <xf numFmtId="2" fontId="0" fillId="0" borderId="0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13" xfId="0" applyFill="1" applyBorder="1"/>
    <xf numFmtId="0" fontId="0" fillId="0" borderId="4" xfId="0" applyFill="1" applyBorder="1"/>
    <xf numFmtId="0" fontId="0" fillId="0" borderId="0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/>
    </xf>
    <xf numFmtId="0" fontId="0" fillId="0" borderId="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4" fontId="4" fillId="2" borderId="10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164" fontId="0" fillId="0" borderId="2" xfId="0" applyNumberFormat="1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0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1"/>
  <sheetViews>
    <sheetView tabSelected="1" topLeftCell="A67" workbookViewId="0">
      <selection activeCell="B89" sqref="B89"/>
    </sheetView>
  </sheetViews>
  <sheetFormatPr defaultRowHeight="15" x14ac:dyDescent="0.25"/>
  <cols>
    <col min="1" max="1" width="25.28515625" customWidth="1"/>
    <col min="2" max="2" width="13" customWidth="1"/>
    <col min="3" max="3" width="10.5703125" customWidth="1"/>
    <col min="4" max="4" width="10.140625" customWidth="1"/>
    <col min="5" max="5" width="10.5703125" bestFit="1" customWidth="1"/>
    <col min="6" max="6" width="12.7109375" customWidth="1"/>
    <col min="7" max="7" width="10.5703125" customWidth="1"/>
    <col min="10" max="10" width="10.140625" customWidth="1"/>
    <col min="11" max="11" width="11.140625" customWidth="1"/>
    <col min="14" max="14" width="10.140625" customWidth="1"/>
    <col min="15" max="15" width="10.5703125" customWidth="1"/>
  </cols>
  <sheetData>
    <row r="1" spans="1:12" ht="15.75" x14ac:dyDescent="0.25">
      <c r="A1" s="97" t="s">
        <v>67</v>
      </c>
      <c r="B1" s="97"/>
      <c r="C1" s="97"/>
      <c r="D1" s="97"/>
      <c r="E1" s="97"/>
      <c r="F1" s="97"/>
    </row>
    <row r="2" spans="1:12" ht="15.75" x14ac:dyDescent="0.25">
      <c r="A2" s="74"/>
      <c r="B2" s="74"/>
      <c r="C2" s="74"/>
      <c r="D2" s="74"/>
      <c r="E2" s="74"/>
      <c r="F2" s="74"/>
    </row>
    <row r="3" spans="1:12" x14ac:dyDescent="0.25">
      <c r="A3" s="6" t="s">
        <v>68</v>
      </c>
    </row>
    <row r="4" spans="1:12" x14ac:dyDescent="0.25">
      <c r="A4" s="94" t="s">
        <v>1</v>
      </c>
      <c r="B4" s="95"/>
      <c r="C4" s="95"/>
      <c r="D4" s="95"/>
      <c r="E4" s="95"/>
      <c r="F4" s="96"/>
      <c r="G4" s="94" t="s">
        <v>2</v>
      </c>
      <c r="H4" s="95"/>
      <c r="I4" s="95"/>
      <c r="J4" s="95"/>
      <c r="K4" s="95"/>
      <c r="L4" s="96"/>
    </row>
    <row r="5" spans="1:12" ht="18.75" x14ac:dyDescent="0.35">
      <c r="A5" s="44"/>
      <c r="B5" s="5"/>
      <c r="C5" s="5"/>
      <c r="D5" s="71" t="s">
        <v>70</v>
      </c>
      <c r="E5" s="35">
        <f>126.2*2</f>
        <v>252.4</v>
      </c>
      <c r="F5" s="34" t="s">
        <v>22</v>
      </c>
      <c r="G5" s="76" t="s">
        <v>72</v>
      </c>
      <c r="H5" s="77"/>
      <c r="I5" s="77"/>
      <c r="J5" s="77"/>
      <c r="K5" s="77"/>
      <c r="L5" s="78"/>
    </row>
    <row r="6" spans="1:12" ht="18" x14ac:dyDescent="0.35">
      <c r="A6" s="44"/>
      <c r="B6" s="5"/>
      <c r="C6" s="5"/>
      <c r="D6" s="71" t="s">
        <v>23</v>
      </c>
      <c r="E6" s="33">
        <v>1.75</v>
      </c>
      <c r="F6" s="34" t="s">
        <v>11</v>
      </c>
      <c r="G6" s="76"/>
      <c r="H6" s="77"/>
      <c r="I6" s="77"/>
      <c r="J6" s="77"/>
      <c r="K6" s="77"/>
      <c r="L6" s="78"/>
    </row>
    <row r="7" spans="1:12" ht="18.75" x14ac:dyDescent="0.35">
      <c r="A7" s="44"/>
      <c r="B7" s="5"/>
      <c r="C7" s="5"/>
      <c r="D7" s="71" t="s">
        <v>69</v>
      </c>
      <c r="E7" s="35">
        <v>172.6</v>
      </c>
      <c r="F7" s="34" t="s">
        <v>22</v>
      </c>
      <c r="G7" s="76"/>
      <c r="H7" s="77"/>
      <c r="I7" s="77"/>
      <c r="J7" s="77"/>
      <c r="K7" s="77"/>
      <c r="L7" s="78"/>
    </row>
    <row r="8" spans="1:12" ht="18" x14ac:dyDescent="0.35">
      <c r="A8" s="44"/>
      <c r="B8" s="5"/>
      <c r="C8" s="5"/>
      <c r="D8" s="71" t="s">
        <v>24</v>
      </c>
      <c r="E8" s="33">
        <v>2.75</v>
      </c>
      <c r="F8" s="34" t="s">
        <v>11</v>
      </c>
      <c r="G8" s="76"/>
      <c r="H8" s="77"/>
      <c r="I8" s="77"/>
      <c r="J8" s="77"/>
      <c r="K8" s="77"/>
      <c r="L8" s="78"/>
    </row>
    <row r="9" spans="1:12" ht="18.75" x14ac:dyDescent="0.35">
      <c r="A9" s="44"/>
      <c r="B9" s="5"/>
      <c r="C9" s="5"/>
      <c r="D9" s="71" t="s">
        <v>71</v>
      </c>
      <c r="E9" s="35">
        <v>7</v>
      </c>
      <c r="F9" s="34" t="s">
        <v>22</v>
      </c>
      <c r="G9" s="76"/>
      <c r="H9" s="77"/>
      <c r="I9" s="77"/>
      <c r="J9" s="77"/>
      <c r="K9" s="77"/>
      <c r="L9" s="78"/>
    </row>
    <row r="10" spans="1:12" ht="18" x14ac:dyDescent="0.35">
      <c r="A10" s="55"/>
      <c r="B10" s="56"/>
      <c r="C10" s="56"/>
      <c r="D10" s="72" t="s">
        <v>25</v>
      </c>
      <c r="E10" s="41">
        <v>2.25</v>
      </c>
      <c r="F10" s="37" t="s">
        <v>11</v>
      </c>
      <c r="G10" s="79"/>
      <c r="H10" s="80"/>
      <c r="I10" s="80"/>
      <c r="J10" s="80"/>
      <c r="K10" s="80"/>
      <c r="L10" s="81"/>
    </row>
    <row r="11" spans="1:12" ht="17.25" x14ac:dyDescent="0.25">
      <c r="A11" s="5"/>
      <c r="B11" s="5"/>
      <c r="C11" s="5"/>
      <c r="D11" s="71" t="s">
        <v>18</v>
      </c>
      <c r="E11" s="73">
        <f>E5*E6+E7*E8+E9*E10</f>
        <v>932.09999999999991</v>
      </c>
      <c r="F11" s="5" t="s">
        <v>19</v>
      </c>
      <c r="G11" s="5"/>
      <c r="H11" s="5"/>
      <c r="I11" s="5"/>
      <c r="J11" s="71" t="s">
        <v>18</v>
      </c>
      <c r="K11" s="73">
        <f>+E11</f>
        <v>932.09999999999991</v>
      </c>
      <c r="L11" s="5" t="s">
        <v>19</v>
      </c>
    </row>
    <row r="12" spans="1:12" ht="18.75" thickBot="1" x14ac:dyDescent="0.4">
      <c r="A12" s="4" t="s">
        <v>26</v>
      </c>
      <c r="B12" s="4"/>
      <c r="C12" s="4"/>
      <c r="D12" s="3"/>
      <c r="E12" s="12"/>
      <c r="F12" s="4"/>
      <c r="G12" s="4"/>
      <c r="H12" s="4"/>
      <c r="I12" s="4"/>
      <c r="J12" s="3"/>
      <c r="K12" s="12"/>
      <c r="L12" s="4"/>
    </row>
    <row r="13" spans="1:12" ht="15.75" thickBot="1" x14ac:dyDescent="0.3">
      <c r="A13" s="4"/>
      <c r="B13" s="4"/>
      <c r="C13" s="100" t="s">
        <v>27</v>
      </c>
      <c r="D13" s="101"/>
      <c r="E13" s="19">
        <f>ROUNDUP((E11+K11)/27,0)</f>
        <v>70</v>
      </c>
      <c r="F13" s="20" t="s">
        <v>21</v>
      </c>
      <c r="G13" s="4"/>
      <c r="H13" s="4"/>
      <c r="I13" s="4"/>
      <c r="J13" s="3"/>
      <c r="K13" s="12"/>
      <c r="L13" s="4"/>
    </row>
    <row r="14" spans="1:12" ht="15.75" x14ac:dyDescent="0.25">
      <c r="A14" s="74"/>
      <c r="B14" s="74"/>
      <c r="C14" s="74"/>
      <c r="D14" s="74"/>
      <c r="E14" s="74"/>
      <c r="F14" s="74"/>
    </row>
    <row r="15" spans="1:12" x14ac:dyDescent="0.25">
      <c r="A15" s="8"/>
      <c r="B15" s="70"/>
      <c r="C15" s="10"/>
      <c r="D15" s="16"/>
      <c r="E15" s="16"/>
      <c r="F15" s="16"/>
      <c r="G15" s="16"/>
      <c r="H15" s="16"/>
      <c r="I15" s="16"/>
      <c r="J15" s="16"/>
      <c r="K15" s="16"/>
      <c r="L15" s="16"/>
    </row>
    <row r="16" spans="1:12" x14ac:dyDescent="0.25">
      <c r="A16" s="6" t="s">
        <v>44</v>
      </c>
      <c r="B16" s="11"/>
    </row>
    <row r="17" spans="1:12" x14ac:dyDescent="0.25">
      <c r="A17" s="94" t="s">
        <v>7</v>
      </c>
      <c r="B17" s="95"/>
      <c r="C17" s="96"/>
      <c r="D17" s="94" t="s">
        <v>14</v>
      </c>
      <c r="E17" s="95"/>
      <c r="F17" s="96"/>
      <c r="G17" s="94" t="s">
        <v>15</v>
      </c>
      <c r="H17" s="95"/>
      <c r="I17" s="96"/>
      <c r="J17" s="94" t="s">
        <v>16</v>
      </c>
      <c r="K17" s="95"/>
      <c r="L17" s="96"/>
    </row>
    <row r="18" spans="1:12" ht="17.25" x14ac:dyDescent="0.25">
      <c r="A18" s="65" t="s">
        <v>65</v>
      </c>
      <c r="B18" s="69">
        <f>1.5*12.6666667</f>
        <v>19.000000050000001</v>
      </c>
      <c r="C18" s="34" t="s">
        <v>22</v>
      </c>
      <c r="D18" s="82" t="s">
        <v>73</v>
      </c>
      <c r="E18" s="83"/>
      <c r="F18" s="84"/>
      <c r="G18" s="82" t="s">
        <v>73</v>
      </c>
      <c r="H18" s="83"/>
      <c r="I18" s="84"/>
      <c r="J18" s="82" t="s">
        <v>73</v>
      </c>
      <c r="K18" s="83"/>
      <c r="L18" s="84"/>
    </row>
    <row r="19" spans="1:12" x14ac:dyDescent="0.25">
      <c r="A19" s="63" t="s">
        <v>8</v>
      </c>
      <c r="B19" s="58">
        <v>17</v>
      </c>
      <c r="C19" s="34" t="s">
        <v>11</v>
      </c>
      <c r="D19" s="82"/>
      <c r="E19" s="83"/>
      <c r="F19" s="84"/>
      <c r="G19" s="82"/>
      <c r="H19" s="83"/>
      <c r="I19" s="84"/>
      <c r="J19" s="82"/>
      <c r="K19" s="83"/>
      <c r="L19" s="84"/>
    </row>
    <row r="20" spans="1:12" x14ac:dyDescent="0.25">
      <c r="A20" s="63" t="s">
        <v>9</v>
      </c>
      <c r="B20" s="58">
        <v>1.25</v>
      </c>
      <c r="C20" s="34" t="s">
        <v>11</v>
      </c>
      <c r="D20" s="82"/>
      <c r="E20" s="83"/>
      <c r="F20" s="84"/>
      <c r="G20" s="82"/>
      <c r="H20" s="83"/>
      <c r="I20" s="84"/>
      <c r="J20" s="82"/>
      <c r="K20" s="83"/>
      <c r="L20" s="84"/>
    </row>
    <row r="21" spans="1:12" x14ac:dyDescent="0.25">
      <c r="A21" s="63" t="s">
        <v>12</v>
      </c>
      <c r="B21" s="58">
        <v>12.666700000000001</v>
      </c>
      <c r="C21" s="34" t="s">
        <v>11</v>
      </c>
      <c r="D21" s="82"/>
      <c r="E21" s="83"/>
      <c r="F21" s="84"/>
      <c r="G21" s="82"/>
      <c r="H21" s="83"/>
      <c r="I21" s="84"/>
      <c r="J21" s="82"/>
      <c r="K21" s="83"/>
      <c r="L21" s="84"/>
    </row>
    <row r="22" spans="1:12" x14ac:dyDescent="0.25">
      <c r="A22" s="59" t="s">
        <v>13</v>
      </c>
      <c r="B22" s="41">
        <v>7.5</v>
      </c>
      <c r="C22" s="37" t="s">
        <v>11</v>
      </c>
      <c r="D22" s="85"/>
      <c r="E22" s="86"/>
      <c r="F22" s="87"/>
      <c r="G22" s="85"/>
      <c r="H22" s="86"/>
      <c r="I22" s="87"/>
      <c r="J22" s="85"/>
      <c r="K22" s="86"/>
      <c r="L22" s="87"/>
    </row>
    <row r="23" spans="1:12" ht="17.25" x14ac:dyDescent="0.25">
      <c r="A23" s="64" t="s">
        <v>18</v>
      </c>
      <c r="B23" s="58">
        <f>$B$19*(($B$21+$B$22)/2)</f>
        <v>171.41694999999999</v>
      </c>
      <c r="C23" s="5" t="s">
        <v>22</v>
      </c>
      <c r="D23" s="64" t="s">
        <v>18</v>
      </c>
      <c r="E23" s="75">
        <f t="shared" ref="E23:E24" si="0">+B23</f>
        <v>171.41694999999999</v>
      </c>
      <c r="F23" s="5" t="s">
        <v>22</v>
      </c>
      <c r="G23" s="64" t="s">
        <v>18</v>
      </c>
      <c r="H23" s="75">
        <f t="shared" ref="H23:H24" si="1">+B23</f>
        <v>171.41694999999999</v>
      </c>
      <c r="I23" s="5" t="s">
        <v>22</v>
      </c>
      <c r="J23" s="64" t="s">
        <v>18</v>
      </c>
      <c r="K23" s="75">
        <f t="shared" ref="K23:K24" si="2">+B23</f>
        <v>171.41694999999999</v>
      </c>
      <c r="L23" s="5" t="s">
        <v>22</v>
      </c>
    </row>
    <row r="24" spans="1:12" ht="17.25" x14ac:dyDescent="0.25">
      <c r="A24" s="64" t="s">
        <v>18</v>
      </c>
      <c r="B24" s="58">
        <f>+(B23+B25)*B20</f>
        <v>238.02118756249999</v>
      </c>
      <c r="C24" s="5" t="s">
        <v>19</v>
      </c>
      <c r="D24" s="64" t="s">
        <v>18</v>
      </c>
      <c r="E24" s="75">
        <f t="shared" si="0"/>
        <v>238.02118756249999</v>
      </c>
      <c r="F24" s="5" t="s">
        <v>19</v>
      </c>
      <c r="G24" s="64" t="s">
        <v>18</v>
      </c>
      <c r="H24" s="75">
        <f t="shared" si="1"/>
        <v>238.02118756249999</v>
      </c>
      <c r="I24" s="5" t="s">
        <v>19</v>
      </c>
      <c r="J24" s="64" t="s">
        <v>18</v>
      </c>
      <c r="K24" s="75">
        <f t="shared" si="2"/>
        <v>238.02118756249999</v>
      </c>
      <c r="L24" s="5" t="s">
        <v>19</v>
      </c>
    </row>
    <row r="25" spans="1:12" ht="17.25" x14ac:dyDescent="0.25">
      <c r="A25" s="64" t="s">
        <v>64</v>
      </c>
      <c r="B25" s="58">
        <f>+B18</f>
        <v>19.000000050000001</v>
      </c>
      <c r="C25" s="5" t="s">
        <v>19</v>
      </c>
      <c r="D25" s="64" t="s">
        <v>64</v>
      </c>
      <c r="E25" s="58">
        <f>+B25</f>
        <v>19.000000050000001</v>
      </c>
      <c r="F25" s="5" t="s">
        <v>19</v>
      </c>
      <c r="G25" s="64" t="s">
        <v>64</v>
      </c>
      <c r="H25" s="58">
        <f>+B25</f>
        <v>19.000000050000001</v>
      </c>
      <c r="I25" s="5" t="s">
        <v>19</v>
      </c>
      <c r="J25" s="64" t="s">
        <v>64</v>
      </c>
      <c r="K25" s="58">
        <f>+B25</f>
        <v>19.000000050000001</v>
      </c>
      <c r="L25" s="5" t="s">
        <v>19</v>
      </c>
    </row>
    <row r="26" spans="1:12" x14ac:dyDescent="0.25">
      <c r="A26" t="s">
        <v>17</v>
      </c>
    </row>
    <row r="27" spans="1:12" x14ac:dyDescent="0.25">
      <c r="A27" s="15" t="s">
        <v>45</v>
      </c>
    </row>
    <row r="28" spans="1:12" ht="17.25" x14ac:dyDescent="0.25">
      <c r="A28" s="23" t="s">
        <v>46</v>
      </c>
      <c r="B28" s="2" t="s">
        <v>47</v>
      </c>
      <c r="C28" s="24">
        <f>PI()*(2/12)^2*1</f>
        <v>8.7266462599716474E-2</v>
      </c>
      <c r="D28" s="5" t="s">
        <v>19</v>
      </c>
    </row>
    <row r="29" spans="1:12" ht="17.25" x14ac:dyDescent="0.25">
      <c r="A29" s="23" t="s">
        <v>48</v>
      </c>
      <c r="B29" s="1">
        <v>8</v>
      </c>
      <c r="C29" s="2" t="s">
        <v>18</v>
      </c>
      <c r="D29" s="24">
        <f>B29*C28</f>
        <v>0.69813170079773179</v>
      </c>
      <c r="E29" s="5" t="s">
        <v>19</v>
      </c>
    </row>
    <row r="30" spans="1:12" ht="17.25" x14ac:dyDescent="0.25">
      <c r="A30" s="23" t="s">
        <v>49</v>
      </c>
      <c r="B30" t="s">
        <v>47</v>
      </c>
      <c r="C30" s="24">
        <f>PI()*(0)^2*1</f>
        <v>0</v>
      </c>
      <c r="D30" s="5" t="s">
        <v>19</v>
      </c>
    </row>
    <row r="31" spans="1:12" ht="17.25" x14ac:dyDescent="0.25">
      <c r="A31" s="23" t="s">
        <v>50</v>
      </c>
      <c r="B31" s="1">
        <v>0</v>
      </c>
      <c r="C31" s="2" t="s">
        <v>18</v>
      </c>
      <c r="D31" s="24">
        <f>B31*C30</f>
        <v>0</v>
      </c>
      <c r="E31" s="5" t="s">
        <v>19</v>
      </c>
    </row>
    <row r="32" spans="1:12" ht="15.75" thickBot="1" x14ac:dyDescent="0.3"/>
    <row r="33" spans="1:14" ht="15.75" thickBot="1" x14ac:dyDescent="0.3">
      <c r="C33" s="98" t="s">
        <v>37</v>
      </c>
      <c r="D33" s="99"/>
      <c r="E33" s="54">
        <f>ROUNDUP((B23+B25+E23+E25+H23+H25+K23+K25)/9,0)</f>
        <v>85</v>
      </c>
      <c r="F33" s="18" t="s">
        <v>33</v>
      </c>
    </row>
    <row r="34" spans="1:14" ht="15.75" thickBot="1" x14ac:dyDescent="0.3">
      <c r="A34" s="57" t="s">
        <v>63</v>
      </c>
      <c r="C34" s="98" t="s">
        <v>62</v>
      </c>
      <c r="D34" s="99"/>
      <c r="E34" s="54">
        <f>ROUNDUP((B24+E24+H24+K24-D29-D31)/27,0)</f>
        <v>36</v>
      </c>
      <c r="F34" s="18" t="s">
        <v>21</v>
      </c>
    </row>
    <row r="35" spans="1:14" x14ac:dyDescent="0.25">
      <c r="D35" s="8"/>
      <c r="E35" s="9"/>
      <c r="F35" s="10"/>
    </row>
    <row r="36" spans="1:14" x14ac:dyDescent="0.25">
      <c r="A36" s="6" t="s">
        <v>0</v>
      </c>
    </row>
    <row r="37" spans="1:14" x14ac:dyDescent="0.25">
      <c r="A37" s="94" t="s">
        <v>1</v>
      </c>
      <c r="B37" s="95"/>
      <c r="C37" s="95"/>
      <c r="D37" s="95"/>
      <c r="E37" s="95"/>
      <c r="F37" s="96"/>
      <c r="G37" s="94" t="s">
        <v>2</v>
      </c>
      <c r="H37" s="95"/>
      <c r="I37" s="95"/>
      <c r="J37" s="95"/>
      <c r="K37" s="95"/>
      <c r="L37" s="96"/>
    </row>
    <row r="38" spans="1:14" ht="17.25" x14ac:dyDescent="0.25">
      <c r="A38" s="44"/>
      <c r="B38" s="5"/>
      <c r="C38" s="5"/>
      <c r="D38" s="64" t="s">
        <v>74</v>
      </c>
      <c r="E38" s="35">
        <f>+E5</f>
        <v>252.4</v>
      </c>
      <c r="F38" s="34" t="s">
        <v>22</v>
      </c>
      <c r="G38" s="76" t="s">
        <v>72</v>
      </c>
      <c r="H38" s="77"/>
      <c r="I38" s="77"/>
      <c r="J38" s="77"/>
      <c r="K38" s="77"/>
      <c r="L38" s="78"/>
      <c r="N38" s="7"/>
    </row>
    <row r="39" spans="1:14" ht="18" x14ac:dyDescent="0.35">
      <c r="A39" s="44"/>
      <c r="B39" s="5"/>
      <c r="C39" s="5"/>
      <c r="D39" s="64" t="s">
        <v>23</v>
      </c>
      <c r="E39" s="33">
        <v>2</v>
      </c>
      <c r="F39" s="34" t="s">
        <v>11</v>
      </c>
      <c r="G39" s="76"/>
      <c r="H39" s="77"/>
      <c r="I39" s="77"/>
      <c r="J39" s="77"/>
      <c r="K39" s="77"/>
      <c r="L39" s="78"/>
    </row>
    <row r="40" spans="1:14" ht="17.25" x14ac:dyDescent="0.25">
      <c r="A40" s="44"/>
      <c r="B40" s="5"/>
      <c r="C40" s="5"/>
      <c r="D40" s="64" t="s">
        <v>75</v>
      </c>
      <c r="E40" s="35">
        <f>+E7</f>
        <v>172.6</v>
      </c>
      <c r="F40" s="34" t="s">
        <v>22</v>
      </c>
      <c r="G40" s="76"/>
      <c r="H40" s="77"/>
      <c r="I40" s="77"/>
      <c r="J40" s="77"/>
      <c r="K40" s="77"/>
      <c r="L40" s="78"/>
    </row>
    <row r="41" spans="1:14" ht="18" x14ac:dyDescent="0.35">
      <c r="A41" s="44"/>
      <c r="B41" s="5"/>
      <c r="C41" s="5"/>
      <c r="D41" s="64" t="s">
        <v>24</v>
      </c>
      <c r="E41" s="33">
        <v>3</v>
      </c>
      <c r="F41" s="34" t="s">
        <v>11</v>
      </c>
      <c r="G41" s="76"/>
      <c r="H41" s="77"/>
      <c r="I41" s="77"/>
      <c r="J41" s="77"/>
      <c r="K41" s="77"/>
      <c r="L41" s="78"/>
    </row>
    <row r="42" spans="1:14" ht="17.25" x14ac:dyDescent="0.25">
      <c r="A42" s="44"/>
      <c r="B42" s="5"/>
      <c r="C42" s="5"/>
      <c r="D42" s="64" t="s">
        <v>76</v>
      </c>
      <c r="E42" s="35">
        <f>+E9</f>
        <v>7</v>
      </c>
      <c r="F42" s="34" t="s">
        <v>22</v>
      </c>
      <c r="G42" s="76"/>
      <c r="H42" s="77"/>
      <c r="I42" s="77"/>
      <c r="J42" s="77"/>
      <c r="K42" s="77"/>
      <c r="L42" s="78"/>
    </row>
    <row r="43" spans="1:14" ht="18" x14ac:dyDescent="0.35">
      <c r="A43" s="55"/>
      <c r="B43" s="56"/>
      <c r="C43" s="56"/>
      <c r="D43" s="60" t="s">
        <v>25</v>
      </c>
      <c r="E43" s="41">
        <v>2.5</v>
      </c>
      <c r="F43" s="37" t="s">
        <v>11</v>
      </c>
      <c r="G43" s="79"/>
      <c r="H43" s="80"/>
      <c r="I43" s="80"/>
      <c r="J43" s="80"/>
      <c r="K43" s="80"/>
      <c r="L43" s="81"/>
    </row>
    <row r="44" spans="1:14" ht="17.25" x14ac:dyDescent="0.25">
      <c r="A44" s="5"/>
      <c r="B44" s="5"/>
      <c r="C44" s="5"/>
      <c r="D44" s="64" t="s">
        <v>18</v>
      </c>
      <c r="E44" s="58">
        <f>E38*E39+E40*E41+E42*E43</f>
        <v>1040.0999999999999</v>
      </c>
      <c r="F44" s="5" t="s">
        <v>19</v>
      </c>
      <c r="G44" s="5"/>
      <c r="H44" s="5"/>
      <c r="I44" s="5"/>
      <c r="J44" s="64" t="s">
        <v>18</v>
      </c>
      <c r="K44" s="58">
        <f>+E44</f>
        <v>1040.0999999999999</v>
      </c>
      <c r="L44" s="5" t="s">
        <v>19</v>
      </c>
    </row>
    <row r="45" spans="1:14" ht="18" x14ac:dyDescent="0.35">
      <c r="A45" s="4" t="s">
        <v>26</v>
      </c>
      <c r="B45" s="4"/>
      <c r="C45" s="4"/>
      <c r="D45" s="3"/>
      <c r="E45" s="12"/>
      <c r="F45" s="4"/>
      <c r="G45" s="4"/>
      <c r="H45" s="4"/>
      <c r="I45" s="4"/>
      <c r="J45" s="3"/>
      <c r="K45" s="12"/>
      <c r="L45" s="4"/>
    </row>
    <row r="46" spans="1:14" ht="15.75" thickBot="1" x14ac:dyDescent="0.3">
      <c r="A46" s="4"/>
      <c r="B46" s="4"/>
      <c r="C46" s="4" t="s">
        <v>77</v>
      </c>
      <c r="D46" s="3"/>
      <c r="E46" s="12">
        <f>54.33333333*0.25*1.333333333/27</f>
        <v>0.67078189279526745</v>
      </c>
      <c r="F46" s="4"/>
      <c r="G46" s="4"/>
      <c r="H46" s="4"/>
      <c r="I46" s="4"/>
      <c r="J46" s="3"/>
      <c r="K46" s="12"/>
      <c r="L46" s="4"/>
    </row>
    <row r="47" spans="1:14" ht="15.75" thickBot="1" x14ac:dyDescent="0.3">
      <c r="A47" s="4"/>
      <c r="B47" s="4"/>
      <c r="C47" s="100" t="s">
        <v>27</v>
      </c>
      <c r="D47" s="101"/>
      <c r="E47" s="19">
        <f>ROUNDUP((E44+K44)/27,0)</f>
        <v>78</v>
      </c>
      <c r="F47" s="20" t="s">
        <v>21</v>
      </c>
      <c r="G47" s="4"/>
      <c r="H47" s="4"/>
      <c r="I47" s="4"/>
      <c r="J47" s="3"/>
      <c r="K47" s="12"/>
      <c r="L47" s="4"/>
    </row>
    <row r="49" spans="1:16" x14ac:dyDescent="0.25">
      <c r="A49" s="6" t="s">
        <v>3</v>
      </c>
    </row>
    <row r="50" spans="1:16" x14ac:dyDescent="0.25">
      <c r="A50" s="94" t="s">
        <v>4</v>
      </c>
      <c r="B50" s="95"/>
      <c r="C50" s="96"/>
      <c r="D50" s="94" t="s">
        <v>5</v>
      </c>
      <c r="E50" s="95"/>
      <c r="F50" s="96"/>
    </row>
    <row r="51" spans="1:16" ht="18" x14ac:dyDescent="0.35">
      <c r="A51" s="63" t="s">
        <v>28</v>
      </c>
      <c r="B51" s="35">
        <v>34</v>
      </c>
      <c r="C51" s="34" t="s">
        <v>11</v>
      </c>
      <c r="D51" s="63" t="s">
        <v>28</v>
      </c>
      <c r="E51" s="35">
        <v>34</v>
      </c>
      <c r="F51" s="34" t="s">
        <v>11</v>
      </c>
    </row>
    <row r="52" spans="1:16" x14ac:dyDescent="0.25">
      <c r="A52" s="63" t="s">
        <v>9</v>
      </c>
      <c r="B52" s="58">
        <v>1.5</v>
      </c>
      <c r="C52" s="34" t="s">
        <v>11</v>
      </c>
      <c r="D52" s="63" t="s">
        <v>9</v>
      </c>
      <c r="E52" s="58">
        <v>1.5</v>
      </c>
      <c r="F52" s="34" t="s">
        <v>11</v>
      </c>
    </row>
    <row r="53" spans="1:16" x14ac:dyDescent="0.25">
      <c r="A53" s="59" t="s">
        <v>10</v>
      </c>
      <c r="B53" s="51">
        <v>12.66667</v>
      </c>
      <c r="C53" s="37" t="s">
        <v>11</v>
      </c>
      <c r="D53" s="59" t="s">
        <v>10</v>
      </c>
      <c r="E53" s="51">
        <v>12.66667</v>
      </c>
      <c r="F53" s="37" t="s">
        <v>11</v>
      </c>
    </row>
    <row r="54" spans="1:16" ht="17.25" x14ac:dyDescent="0.25">
      <c r="A54" s="63" t="s">
        <v>18</v>
      </c>
      <c r="B54" s="27">
        <f>B51*B53-299</f>
        <v>131.66678000000002</v>
      </c>
      <c r="C54" s="5" t="s">
        <v>22</v>
      </c>
      <c r="D54" s="64" t="s">
        <v>18</v>
      </c>
      <c r="E54" s="27">
        <f>E51*E53-299</f>
        <v>131.66678000000002</v>
      </c>
      <c r="F54" s="5" t="s">
        <v>22</v>
      </c>
    </row>
    <row r="55" spans="1:16" ht="17.25" x14ac:dyDescent="0.25">
      <c r="A55" s="63" t="s">
        <v>18</v>
      </c>
      <c r="B55" s="27">
        <f>+B54*B52</f>
        <v>197.50017000000003</v>
      </c>
      <c r="C55" s="5" t="s">
        <v>19</v>
      </c>
      <c r="D55" s="64" t="s">
        <v>18</v>
      </c>
      <c r="E55" s="27">
        <f>+E54*E52</f>
        <v>197.50017000000003</v>
      </c>
      <c r="F55" s="5" t="s">
        <v>19</v>
      </c>
    </row>
    <row r="56" spans="1:16" ht="15.75" thickBot="1" x14ac:dyDescent="0.3">
      <c r="A56" s="13" t="s">
        <v>29</v>
      </c>
    </row>
    <row r="57" spans="1:16" ht="15.75" thickBot="1" x14ac:dyDescent="0.3">
      <c r="A57" s="15"/>
      <c r="C57" s="100" t="s">
        <v>37</v>
      </c>
      <c r="D57" s="101"/>
      <c r="E57" s="53">
        <f>ROUNDUP((B54+E54)/9,0)</f>
        <v>30</v>
      </c>
      <c r="F57" s="20" t="s">
        <v>33</v>
      </c>
    </row>
    <row r="58" spans="1:16" ht="15.75" thickBot="1" x14ac:dyDescent="0.3">
      <c r="A58" s="15" t="s">
        <v>63</v>
      </c>
      <c r="C58" s="100" t="s">
        <v>62</v>
      </c>
      <c r="D58" s="101"/>
      <c r="E58" s="53">
        <f>ROUNDUP((B55+E55)/27,0)</f>
        <v>15</v>
      </c>
      <c r="F58" s="20" t="s">
        <v>21</v>
      </c>
    </row>
    <row r="60" spans="1:16" x14ac:dyDescent="0.25">
      <c r="A60" s="25" t="s">
        <v>6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6" x14ac:dyDescent="0.25">
      <c r="A61" s="94" t="s">
        <v>7</v>
      </c>
      <c r="B61" s="95"/>
      <c r="C61" s="95"/>
      <c r="D61" s="96"/>
      <c r="E61" s="94" t="s">
        <v>14</v>
      </c>
      <c r="F61" s="95"/>
      <c r="G61" s="95"/>
      <c r="H61" s="96"/>
      <c r="I61" s="94" t="s">
        <v>15</v>
      </c>
      <c r="J61" s="95"/>
      <c r="K61" s="95"/>
      <c r="L61" s="96"/>
      <c r="M61" s="94" t="s">
        <v>16</v>
      </c>
      <c r="N61" s="95"/>
      <c r="O61" s="95"/>
      <c r="P61" s="96"/>
    </row>
    <row r="62" spans="1:16" x14ac:dyDescent="0.25">
      <c r="A62" s="38"/>
      <c r="B62" s="39" t="s">
        <v>40</v>
      </c>
      <c r="C62" s="39" t="s">
        <v>56</v>
      </c>
      <c r="D62" s="40"/>
      <c r="E62" s="88" t="s">
        <v>73</v>
      </c>
      <c r="F62" s="89"/>
      <c r="G62" s="89"/>
      <c r="H62" s="90"/>
      <c r="I62" s="88" t="s">
        <v>73</v>
      </c>
      <c r="J62" s="89"/>
      <c r="K62" s="89"/>
      <c r="L62" s="90"/>
      <c r="M62" s="88" t="s">
        <v>79</v>
      </c>
      <c r="N62" s="89"/>
      <c r="O62" s="89"/>
      <c r="P62" s="90"/>
    </row>
    <row r="63" spans="1:16" x14ac:dyDescent="0.25">
      <c r="A63" s="63" t="s">
        <v>8</v>
      </c>
      <c r="B63" s="58">
        <v>19</v>
      </c>
      <c r="C63" s="58">
        <v>18.5</v>
      </c>
      <c r="D63" s="34" t="s">
        <v>11</v>
      </c>
      <c r="E63" s="88"/>
      <c r="F63" s="89"/>
      <c r="G63" s="89"/>
      <c r="H63" s="90"/>
      <c r="I63" s="88"/>
      <c r="J63" s="89"/>
      <c r="K63" s="89"/>
      <c r="L63" s="90"/>
      <c r="M63" s="88"/>
      <c r="N63" s="89"/>
      <c r="O63" s="89"/>
      <c r="P63" s="90"/>
    </row>
    <row r="64" spans="1:16" x14ac:dyDescent="0.25">
      <c r="A64" s="63" t="s">
        <v>9</v>
      </c>
      <c r="B64" s="108">
        <v>1.25</v>
      </c>
      <c r="C64" s="108"/>
      <c r="D64" s="34" t="s">
        <v>11</v>
      </c>
      <c r="E64" s="88"/>
      <c r="F64" s="89"/>
      <c r="G64" s="89"/>
      <c r="H64" s="90"/>
      <c r="I64" s="88"/>
      <c r="J64" s="89"/>
      <c r="K64" s="89"/>
      <c r="L64" s="90"/>
      <c r="M64" s="88"/>
      <c r="N64" s="89"/>
      <c r="O64" s="89"/>
      <c r="P64" s="90"/>
    </row>
    <row r="65" spans="1:16" x14ac:dyDescent="0.25">
      <c r="A65" s="63" t="s">
        <v>12</v>
      </c>
      <c r="B65" s="58">
        <v>0.5</v>
      </c>
      <c r="C65" s="58">
        <v>0.5</v>
      </c>
      <c r="D65" s="34" t="s">
        <v>11</v>
      </c>
      <c r="E65" s="88"/>
      <c r="F65" s="89"/>
      <c r="G65" s="89"/>
      <c r="H65" s="90"/>
      <c r="I65" s="88"/>
      <c r="J65" s="89"/>
      <c r="K65" s="89"/>
      <c r="L65" s="90"/>
      <c r="M65" s="88"/>
      <c r="N65" s="89"/>
      <c r="O65" s="89"/>
      <c r="P65" s="90"/>
    </row>
    <row r="66" spans="1:16" x14ac:dyDescent="0.25">
      <c r="A66" s="59" t="s">
        <v>13</v>
      </c>
      <c r="B66" s="41">
        <v>0.5</v>
      </c>
      <c r="C66" s="41">
        <v>12.67</v>
      </c>
      <c r="D66" s="37" t="s">
        <v>11</v>
      </c>
      <c r="E66" s="88"/>
      <c r="F66" s="89"/>
      <c r="G66" s="89"/>
      <c r="H66" s="90"/>
      <c r="I66" s="88"/>
      <c r="J66" s="89"/>
      <c r="K66" s="89"/>
      <c r="L66" s="90"/>
      <c r="M66" s="88"/>
      <c r="N66" s="89"/>
      <c r="O66" s="89"/>
      <c r="P66" s="90"/>
    </row>
    <row r="67" spans="1:16" ht="17.25" x14ac:dyDescent="0.25">
      <c r="A67" s="61" t="s">
        <v>18</v>
      </c>
      <c r="B67" s="42">
        <f>+(B66+B65+B64)*B63</f>
        <v>42.75</v>
      </c>
      <c r="C67" s="42">
        <f>+(C66+B66)/2*C63</f>
        <v>121.82250000000001</v>
      </c>
      <c r="D67" s="43" t="s">
        <v>22</v>
      </c>
      <c r="E67" s="91"/>
      <c r="F67" s="92"/>
      <c r="G67" s="92"/>
      <c r="H67" s="93"/>
      <c r="I67" s="91"/>
      <c r="J67" s="92"/>
      <c r="K67" s="92"/>
      <c r="L67" s="93"/>
      <c r="M67" s="91"/>
      <c r="N67" s="92"/>
      <c r="O67" s="92"/>
      <c r="P67" s="93"/>
    </row>
    <row r="68" spans="1:16" ht="17.25" x14ac:dyDescent="0.25">
      <c r="A68" s="64" t="s">
        <v>20</v>
      </c>
      <c r="B68" s="108">
        <f>B67+C67</f>
        <v>164.57249999999999</v>
      </c>
      <c r="C68" s="108"/>
      <c r="D68" s="5" t="s">
        <v>22</v>
      </c>
      <c r="E68" s="64" t="s">
        <v>20</v>
      </c>
      <c r="F68" s="108">
        <f>+B68</f>
        <v>164.57249999999999</v>
      </c>
      <c r="G68" s="108"/>
      <c r="H68" s="5" t="s">
        <v>22</v>
      </c>
      <c r="I68" s="64" t="s">
        <v>20</v>
      </c>
      <c r="J68" s="108">
        <f>+B68</f>
        <v>164.57249999999999</v>
      </c>
      <c r="K68" s="108"/>
      <c r="L68" s="5" t="s">
        <v>22</v>
      </c>
      <c r="M68" s="64" t="s">
        <v>20</v>
      </c>
      <c r="N68" s="108">
        <f>+B68</f>
        <v>164.57249999999999</v>
      </c>
      <c r="O68" s="108"/>
      <c r="P68" s="5" t="s">
        <v>22</v>
      </c>
    </row>
    <row r="69" spans="1:16" x14ac:dyDescent="0.25">
      <c r="A69" s="13" t="s">
        <v>55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1:16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</row>
    <row r="71" spans="1:16" x14ac:dyDescent="0.25">
      <c r="A71" s="94" t="s">
        <v>4</v>
      </c>
      <c r="B71" s="95"/>
      <c r="C71" s="95"/>
      <c r="D71" s="96"/>
      <c r="E71" s="94" t="s">
        <v>5</v>
      </c>
      <c r="F71" s="95"/>
      <c r="G71" s="95"/>
      <c r="H71" s="96"/>
      <c r="I71" s="94" t="s">
        <v>53</v>
      </c>
      <c r="J71" s="95"/>
      <c r="K71" s="96"/>
      <c r="L71" s="105" t="s">
        <v>57</v>
      </c>
      <c r="M71" s="106"/>
      <c r="N71" s="106"/>
      <c r="O71" s="107"/>
      <c r="P71" s="22"/>
    </row>
    <row r="72" spans="1:16" x14ac:dyDescent="0.25">
      <c r="A72" s="38"/>
      <c r="B72" s="39" t="s">
        <v>40</v>
      </c>
      <c r="C72" s="39" t="s">
        <v>38</v>
      </c>
      <c r="D72" s="40"/>
      <c r="E72" s="82" t="s">
        <v>81</v>
      </c>
      <c r="F72" s="83"/>
      <c r="G72" s="83"/>
      <c r="H72" s="84"/>
      <c r="I72" s="63" t="s">
        <v>8</v>
      </c>
      <c r="J72" s="45">
        <v>41.81</v>
      </c>
      <c r="K72" s="46" t="s">
        <v>11</v>
      </c>
      <c r="L72" s="114" t="s">
        <v>9</v>
      </c>
      <c r="M72" s="115"/>
      <c r="N72" s="49">
        <f>86.3/2</f>
        <v>43.15</v>
      </c>
      <c r="O72" s="34" t="s">
        <v>11</v>
      </c>
      <c r="P72" s="22"/>
    </row>
    <row r="73" spans="1:16" x14ac:dyDescent="0.25">
      <c r="A73" s="63" t="s">
        <v>80</v>
      </c>
      <c r="B73" s="35">
        <v>34</v>
      </c>
      <c r="C73" s="35">
        <v>31.8333333</v>
      </c>
      <c r="D73" s="34" t="s">
        <v>11</v>
      </c>
      <c r="E73" s="82"/>
      <c r="F73" s="83"/>
      <c r="G73" s="83"/>
      <c r="H73" s="84"/>
      <c r="I73" s="63" t="s">
        <v>9</v>
      </c>
      <c r="J73" s="45">
        <v>2</v>
      </c>
      <c r="K73" s="34" t="s">
        <v>11</v>
      </c>
      <c r="L73" s="114" t="s">
        <v>10</v>
      </c>
      <c r="M73" s="115"/>
      <c r="N73" s="49">
        <v>0.83333299999999999</v>
      </c>
      <c r="O73" s="34" t="s">
        <v>11</v>
      </c>
    </row>
    <row r="74" spans="1:16" ht="18" x14ac:dyDescent="0.35">
      <c r="A74" s="63" t="s">
        <v>39</v>
      </c>
      <c r="B74" s="108">
        <v>1.5</v>
      </c>
      <c r="C74" s="108"/>
      <c r="D74" s="34" t="s">
        <v>11</v>
      </c>
      <c r="E74" s="82"/>
      <c r="F74" s="83"/>
      <c r="G74" s="83"/>
      <c r="H74" s="84"/>
      <c r="I74" s="63" t="s">
        <v>10</v>
      </c>
      <c r="J74" s="45"/>
      <c r="K74" s="34" t="s">
        <v>11</v>
      </c>
      <c r="L74" s="114" t="s">
        <v>35</v>
      </c>
      <c r="M74" s="115"/>
      <c r="N74" s="45">
        <v>2</v>
      </c>
      <c r="O74" s="34"/>
      <c r="P74" s="22"/>
    </row>
    <row r="75" spans="1:16" ht="17.25" x14ac:dyDescent="0.25">
      <c r="A75" s="63" t="s">
        <v>10</v>
      </c>
      <c r="B75" s="35">
        <v>0.5</v>
      </c>
      <c r="C75" s="35">
        <v>12.666700000000001</v>
      </c>
      <c r="D75" s="34" t="s">
        <v>11</v>
      </c>
      <c r="E75" s="82"/>
      <c r="F75" s="83"/>
      <c r="G75" s="83"/>
      <c r="H75" s="84"/>
      <c r="I75" s="63" t="s">
        <v>35</v>
      </c>
      <c r="J75" s="45">
        <v>2</v>
      </c>
      <c r="K75" s="34"/>
      <c r="L75" s="109" t="s">
        <v>58</v>
      </c>
      <c r="M75" s="110"/>
      <c r="N75" s="47"/>
      <c r="O75" s="37" t="s">
        <v>22</v>
      </c>
      <c r="P75" s="22"/>
    </row>
    <row r="76" spans="1:16" ht="17.25" x14ac:dyDescent="0.25">
      <c r="A76" s="61" t="s">
        <v>18</v>
      </c>
      <c r="B76" s="42">
        <f>(B73*B74)+(B73*B75)</f>
        <v>68</v>
      </c>
      <c r="C76" s="42">
        <f>(C73*C75)-299</f>
        <v>104.22328291111</v>
      </c>
      <c r="D76" s="43" t="s">
        <v>22</v>
      </c>
      <c r="E76" s="85"/>
      <c r="F76" s="86"/>
      <c r="G76" s="86"/>
      <c r="H76" s="87"/>
      <c r="I76" s="61" t="s">
        <v>18</v>
      </c>
      <c r="J76" s="48">
        <f>+J72*J73*J75</f>
        <v>167.24</v>
      </c>
      <c r="K76" s="43" t="s">
        <v>22</v>
      </c>
      <c r="L76" s="111" t="s">
        <v>18</v>
      </c>
      <c r="M76" s="112"/>
      <c r="N76" s="50">
        <f>+N72*N73*N74</f>
        <v>71.916637899999998</v>
      </c>
      <c r="O76" s="43" t="s">
        <v>22</v>
      </c>
      <c r="P76" s="22"/>
    </row>
    <row r="77" spans="1:16" ht="17.25" x14ac:dyDescent="0.25">
      <c r="A77" s="63" t="s">
        <v>20</v>
      </c>
      <c r="B77" s="113">
        <f>B76+C76</f>
        <v>172.22328291111</v>
      </c>
      <c r="C77" s="113"/>
      <c r="D77" s="5" t="s">
        <v>22</v>
      </c>
      <c r="E77" s="64" t="s">
        <v>20</v>
      </c>
      <c r="F77" s="113">
        <f>+B77</f>
        <v>172.22328291111</v>
      </c>
      <c r="G77" s="113"/>
      <c r="H77" s="5" t="s">
        <v>22</v>
      </c>
      <c r="I77" s="22" t="s">
        <v>54</v>
      </c>
      <c r="J77" s="22"/>
      <c r="K77" s="22"/>
      <c r="L77" s="22" t="s">
        <v>59</v>
      </c>
      <c r="M77" s="22"/>
      <c r="N77" s="22"/>
      <c r="O77" s="22"/>
      <c r="P77" s="22"/>
    </row>
    <row r="78" spans="1:16" ht="18.75" thickBot="1" x14ac:dyDescent="0.4">
      <c r="A78" s="13" t="s">
        <v>51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M78" s="22"/>
      <c r="N78" s="22"/>
      <c r="O78" s="22"/>
      <c r="P78" s="22"/>
    </row>
    <row r="79" spans="1:16" ht="15.75" thickBot="1" x14ac:dyDescent="0.3">
      <c r="A79" s="13" t="s">
        <v>52</v>
      </c>
      <c r="B79" s="22"/>
      <c r="C79" s="22"/>
      <c r="D79" s="22"/>
      <c r="E79" s="100" t="s">
        <v>37</v>
      </c>
      <c r="F79" s="101"/>
      <c r="G79" s="19">
        <f>ROUNDUP((B68+F68+J68+N68+B77+F77+J76+N76)/9,0)</f>
        <v>138</v>
      </c>
      <c r="H79" s="20" t="s">
        <v>33</v>
      </c>
      <c r="I79" s="22"/>
    </row>
    <row r="81" spans="1:10" x14ac:dyDescent="0.25">
      <c r="A81" s="25" t="s">
        <v>78</v>
      </c>
      <c r="B81" s="22"/>
      <c r="C81" s="22"/>
      <c r="D81" s="22"/>
      <c r="E81" s="22"/>
      <c r="F81" s="22"/>
      <c r="G81" s="22"/>
      <c r="I81" s="28"/>
      <c r="J81" s="29"/>
    </row>
    <row r="82" spans="1:10" x14ac:dyDescent="0.25">
      <c r="A82" s="31" t="s">
        <v>8</v>
      </c>
      <c r="B82" s="62">
        <v>1.5</v>
      </c>
      <c r="C82" s="32" t="s">
        <v>11</v>
      </c>
      <c r="D82" s="22"/>
      <c r="E82" s="22"/>
      <c r="F82" s="22"/>
      <c r="G82" s="22"/>
      <c r="I82" s="28"/>
      <c r="J82" s="29"/>
    </row>
    <row r="83" spans="1:10" x14ac:dyDescent="0.25">
      <c r="A83" s="63" t="s">
        <v>10</v>
      </c>
      <c r="B83" s="49">
        <v>12.666667</v>
      </c>
      <c r="C83" s="34" t="s">
        <v>11</v>
      </c>
      <c r="D83" s="22"/>
      <c r="E83" s="22"/>
      <c r="F83" s="22"/>
      <c r="G83" s="22"/>
      <c r="I83" s="28"/>
      <c r="J83" s="30"/>
    </row>
    <row r="84" spans="1:10" x14ac:dyDescent="0.25">
      <c r="A84" s="63" t="s">
        <v>41</v>
      </c>
      <c r="B84" s="58"/>
      <c r="C84" s="34" t="s">
        <v>11</v>
      </c>
      <c r="D84" s="22"/>
      <c r="E84" s="22"/>
      <c r="F84" s="22"/>
      <c r="G84" s="22"/>
      <c r="I84" s="28"/>
      <c r="J84" s="30"/>
    </row>
    <row r="85" spans="1:10" ht="15.75" thickBot="1" x14ac:dyDescent="0.3">
      <c r="A85" s="59" t="s">
        <v>35</v>
      </c>
      <c r="B85" s="36">
        <v>2</v>
      </c>
      <c r="C85" s="37"/>
      <c r="D85" s="22"/>
      <c r="E85" s="22"/>
      <c r="F85" s="22"/>
      <c r="G85" s="22"/>
    </row>
    <row r="86" spans="1:10" ht="18" thickBot="1" x14ac:dyDescent="0.3">
      <c r="A86" s="26" t="s">
        <v>61</v>
      </c>
      <c r="B86" s="27">
        <f>+B82*B83*B85</f>
        <v>38.000000999999997</v>
      </c>
      <c r="C86" s="22" t="s">
        <v>22</v>
      </c>
      <c r="D86" s="100" t="s">
        <v>37</v>
      </c>
      <c r="E86" s="101"/>
      <c r="F86" s="19">
        <f>ROUNDUP((B86)/9,0)</f>
        <v>5</v>
      </c>
      <c r="G86" s="20" t="s">
        <v>33</v>
      </c>
    </row>
    <row r="87" spans="1:10" x14ac:dyDescent="0.25">
      <c r="A87" s="14"/>
      <c r="H87" s="22"/>
    </row>
    <row r="88" spans="1:10" x14ac:dyDescent="0.25">
      <c r="A88" s="25" t="s">
        <v>66</v>
      </c>
      <c r="B88" s="22"/>
      <c r="C88" s="22"/>
      <c r="D88" s="22"/>
      <c r="E88" s="22"/>
      <c r="F88" s="22"/>
      <c r="G88" s="22"/>
      <c r="H88" s="22"/>
    </row>
    <row r="89" spans="1:10" x14ac:dyDescent="0.25">
      <c r="A89" s="31" t="s">
        <v>8</v>
      </c>
      <c r="B89" s="62">
        <v>54</v>
      </c>
      <c r="C89" s="32" t="s">
        <v>11</v>
      </c>
      <c r="D89" s="22"/>
      <c r="E89" s="22"/>
      <c r="F89" s="22"/>
      <c r="G89" s="22"/>
      <c r="H89" s="22"/>
    </row>
    <row r="90" spans="1:10" x14ac:dyDescent="0.25">
      <c r="A90" s="63" t="s">
        <v>42</v>
      </c>
      <c r="B90" s="35">
        <v>44.5</v>
      </c>
      <c r="C90" s="34" t="s">
        <v>11</v>
      </c>
      <c r="D90" s="22"/>
      <c r="E90" s="22"/>
      <c r="F90" s="22"/>
      <c r="G90" s="22"/>
      <c r="H90" s="22"/>
    </row>
    <row r="91" spans="1:10" x14ac:dyDescent="0.25">
      <c r="A91" s="63" t="s">
        <v>41</v>
      </c>
      <c r="B91" s="58">
        <v>1</v>
      </c>
      <c r="C91" s="34" t="s">
        <v>11</v>
      </c>
      <c r="D91" s="22"/>
      <c r="E91" s="22"/>
      <c r="F91" s="22"/>
      <c r="G91" s="22"/>
      <c r="H91" s="22"/>
    </row>
    <row r="92" spans="1:10" ht="15.75" thickBot="1" x14ac:dyDescent="0.3">
      <c r="A92" s="59" t="s">
        <v>35</v>
      </c>
      <c r="B92" s="36">
        <v>2</v>
      </c>
      <c r="C92" s="37"/>
      <c r="D92" s="22"/>
      <c r="E92" s="22"/>
      <c r="F92" s="22"/>
      <c r="G92" s="22"/>
      <c r="H92" s="22"/>
    </row>
    <row r="93" spans="1:10" ht="18" thickBot="1" x14ac:dyDescent="0.3">
      <c r="A93" s="26" t="s">
        <v>60</v>
      </c>
      <c r="B93" s="27">
        <f>B89*(B90+(B91*B92))</f>
        <v>2511</v>
      </c>
      <c r="C93" s="22" t="s">
        <v>22</v>
      </c>
      <c r="D93" s="100" t="s">
        <v>37</v>
      </c>
      <c r="E93" s="101"/>
      <c r="F93" s="19">
        <f>ROUNDUP((B93)/9,0)</f>
        <v>279</v>
      </c>
      <c r="G93" s="20" t="s">
        <v>33</v>
      </c>
      <c r="H93" s="22"/>
    </row>
    <row r="94" spans="1:10" x14ac:dyDescent="0.25">
      <c r="A94" s="52"/>
      <c r="H94" s="22"/>
    </row>
    <row r="95" spans="1:10" x14ac:dyDescent="0.25">
      <c r="A95" s="6" t="s">
        <v>30</v>
      </c>
    </row>
    <row r="96" spans="1:10" x14ac:dyDescent="0.25">
      <c r="A96" s="102" t="s">
        <v>31</v>
      </c>
      <c r="B96" s="103"/>
      <c r="C96" s="104"/>
      <c r="D96" s="105" t="s">
        <v>32</v>
      </c>
      <c r="E96" s="106"/>
      <c r="F96" s="107"/>
    </row>
    <row r="97" spans="1:12" x14ac:dyDescent="0.25">
      <c r="A97" s="65" t="s">
        <v>10</v>
      </c>
      <c r="B97" s="49">
        <v>12.66667</v>
      </c>
      <c r="C97" s="34" t="s">
        <v>11</v>
      </c>
      <c r="D97" s="65" t="s">
        <v>10</v>
      </c>
      <c r="E97" s="49">
        <v>12.666667</v>
      </c>
      <c r="F97" s="34" t="s">
        <v>11</v>
      </c>
    </row>
    <row r="98" spans="1:12" x14ac:dyDescent="0.25">
      <c r="A98" s="65" t="s">
        <v>9</v>
      </c>
      <c r="B98" s="33">
        <v>1.25</v>
      </c>
      <c r="C98" s="34" t="s">
        <v>11</v>
      </c>
      <c r="D98" s="65" t="s">
        <v>9</v>
      </c>
      <c r="E98" s="33">
        <v>1.25</v>
      </c>
      <c r="F98" s="34" t="s">
        <v>11</v>
      </c>
    </row>
    <row r="99" spans="1:12" x14ac:dyDescent="0.25">
      <c r="A99" s="66" t="s">
        <v>35</v>
      </c>
      <c r="B99" s="36">
        <v>2</v>
      </c>
      <c r="C99" s="37"/>
      <c r="D99" s="66" t="s">
        <v>35</v>
      </c>
      <c r="E99" s="36">
        <v>2</v>
      </c>
      <c r="F99" s="37"/>
    </row>
    <row r="100" spans="1:12" ht="18" thickBot="1" x14ac:dyDescent="0.3">
      <c r="A100" s="67" t="s">
        <v>36</v>
      </c>
      <c r="B100" s="27">
        <f>B97*B98*B99</f>
        <v>31.666674999999998</v>
      </c>
      <c r="C100" s="22" t="s">
        <v>22</v>
      </c>
      <c r="D100" s="68" t="s">
        <v>18</v>
      </c>
      <c r="E100" s="27">
        <f>E97*E98*E99</f>
        <v>31.666667500000003</v>
      </c>
      <c r="F100" s="22" t="s">
        <v>22</v>
      </c>
    </row>
    <row r="101" spans="1:12" ht="15.75" thickBot="1" x14ac:dyDescent="0.3">
      <c r="A101" s="16"/>
      <c r="B101" s="1"/>
      <c r="D101" s="21" t="s">
        <v>20</v>
      </c>
      <c r="E101" s="19">
        <f>ROUNDUP((B100+E100),0)</f>
        <v>64</v>
      </c>
      <c r="F101" s="20" t="s">
        <v>34</v>
      </c>
    </row>
    <row r="103" spans="1:12" x14ac:dyDescent="0.25">
      <c r="A103" s="25" t="s">
        <v>43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1:12" x14ac:dyDescent="0.25">
      <c r="A104" s="94" t="s">
        <v>7</v>
      </c>
      <c r="B104" s="95"/>
      <c r="C104" s="96"/>
      <c r="D104" s="94" t="s">
        <v>14</v>
      </c>
      <c r="E104" s="95"/>
      <c r="F104" s="96"/>
      <c r="G104" s="94" t="s">
        <v>15</v>
      </c>
      <c r="H104" s="95"/>
      <c r="I104" s="96"/>
      <c r="J104" s="94" t="s">
        <v>16</v>
      </c>
      <c r="K104" s="95"/>
      <c r="L104" s="96"/>
    </row>
    <row r="105" spans="1:12" x14ac:dyDescent="0.25">
      <c r="A105" s="63" t="s">
        <v>8</v>
      </c>
      <c r="B105" s="58">
        <v>17.5</v>
      </c>
      <c r="C105" s="34" t="s">
        <v>11</v>
      </c>
      <c r="D105" s="63" t="s">
        <v>8</v>
      </c>
      <c r="E105" s="58">
        <f>+B105</f>
        <v>17.5</v>
      </c>
      <c r="F105" s="34" t="s">
        <v>11</v>
      </c>
      <c r="G105" s="63" t="s">
        <v>8</v>
      </c>
      <c r="H105" s="73">
        <f>+B105</f>
        <v>17.5</v>
      </c>
      <c r="I105" s="34" t="s">
        <v>11</v>
      </c>
      <c r="J105" s="63" t="s">
        <v>8</v>
      </c>
      <c r="K105" s="73">
        <f>+B105</f>
        <v>17.5</v>
      </c>
      <c r="L105" s="34" t="s">
        <v>11</v>
      </c>
    </row>
    <row r="106" spans="1:12" x14ac:dyDescent="0.25">
      <c r="A106" s="63" t="s">
        <v>9</v>
      </c>
      <c r="B106" s="58">
        <v>2</v>
      </c>
      <c r="C106" s="34" t="s">
        <v>11</v>
      </c>
      <c r="D106" s="63" t="s">
        <v>9</v>
      </c>
      <c r="E106" s="75">
        <f t="shared" ref="E106:E108" si="3">+B106</f>
        <v>2</v>
      </c>
      <c r="F106" s="34" t="s">
        <v>11</v>
      </c>
      <c r="G106" s="63" t="s">
        <v>9</v>
      </c>
      <c r="H106" s="75">
        <f t="shared" ref="H106:H108" si="4">+B106</f>
        <v>2</v>
      </c>
      <c r="I106" s="34" t="s">
        <v>11</v>
      </c>
      <c r="J106" s="63" t="s">
        <v>9</v>
      </c>
      <c r="K106" s="75">
        <f t="shared" ref="K106:K108" si="5">+B106</f>
        <v>2</v>
      </c>
      <c r="L106" s="34" t="s">
        <v>11</v>
      </c>
    </row>
    <row r="107" spans="1:12" x14ac:dyDescent="0.25">
      <c r="A107" s="63" t="s">
        <v>12</v>
      </c>
      <c r="B107" s="35">
        <v>6.5</v>
      </c>
      <c r="C107" s="34" t="s">
        <v>11</v>
      </c>
      <c r="D107" s="63" t="s">
        <v>12</v>
      </c>
      <c r="E107" s="75">
        <f t="shared" si="3"/>
        <v>6.5</v>
      </c>
      <c r="F107" s="34" t="s">
        <v>11</v>
      </c>
      <c r="G107" s="63" t="s">
        <v>12</v>
      </c>
      <c r="H107" s="75">
        <f t="shared" si="4"/>
        <v>6.5</v>
      </c>
      <c r="I107" s="34" t="s">
        <v>11</v>
      </c>
      <c r="J107" s="63" t="s">
        <v>12</v>
      </c>
      <c r="K107" s="75">
        <f t="shared" si="5"/>
        <v>6.5</v>
      </c>
      <c r="L107" s="34" t="s">
        <v>11</v>
      </c>
    </row>
    <row r="108" spans="1:12" x14ac:dyDescent="0.25">
      <c r="A108" s="59" t="s">
        <v>13</v>
      </c>
      <c r="B108" s="51">
        <v>11.66667</v>
      </c>
      <c r="C108" s="37" t="s">
        <v>11</v>
      </c>
      <c r="D108" s="59" t="s">
        <v>13</v>
      </c>
      <c r="E108" s="75">
        <f t="shared" si="3"/>
        <v>11.66667</v>
      </c>
      <c r="F108" s="37" t="s">
        <v>11</v>
      </c>
      <c r="G108" s="59" t="s">
        <v>13</v>
      </c>
      <c r="H108" s="75">
        <f t="shared" si="4"/>
        <v>11.66667</v>
      </c>
      <c r="I108" s="37" t="s">
        <v>11</v>
      </c>
      <c r="J108" s="59" t="s">
        <v>13</v>
      </c>
      <c r="K108" s="75">
        <f t="shared" si="5"/>
        <v>11.66667</v>
      </c>
      <c r="L108" s="37" t="s">
        <v>11</v>
      </c>
    </row>
    <row r="109" spans="1:12" ht="17.25" x14ac:dyDescent="0.25">
      <c r="A109" s="64" t="s">
        <v>18</v>
      </c>
      <c r="B109" s="58">
        <f>B105*B106*((B107+B108)/2)</f>
        <v>317.91672499999999</v>
      </c>
      <c r="C109" s="5" t="s">
        <v>19</v>
      </c>
      <c r="D109" s="64" t="s">
        <v>18</v>
      </c>
      <c r="E109" s="58">
        <f>E105*E106*((E107+E108)/2)</f>
        <v>317.91672499999999</v>
      </c>
      <c r="F109" s="5" t="s">
        <v>19</v>
      </c>
      <c r="G109" s="64" t="s">
        <v>18</v>
      </c>
      <c r="H109" s="58">
        <f>H105*H106*((H107+H108)/2)</f>
        <v>317.91672499999999</v>
      </c>
      <c r="I109" s="5" t="s">
        <v>19</v>
      </c>
      <c r="J109" s="64" t="s">
        <v>18</v>
      </c>
      <c r="K109" s="58">
        <f>K105*K106*((K107+K108)/2)</f>
        <v>317.91672499999999</v>
      </c>
      <c r="L109" s="5" t="s">
        <v>19</v>
      </c>
    </row>
    <row r="110" spans="1:12" ht="15.75" thickBot="1" x14ac:dyDescent="0.3">
      <c r="A110" s="22" t="s">
        <v>17</v>
      </c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</row>
    <row r="111" spans="1:12" ht="15.75" thickBot="1" x14ac:dyDescent="0.3">
      <c r="A111" s="22"/>
      <c r="B111" s="22"/>
      <c r="C111" s="98" t="s">
        <v>27</v>
      </c>
      <c r="D111" s="99"/>
      <c r="E111" s="17">
        <f>ROUNDUP((B109+E109+H109+K109)/27,0)</f>
        <v>48</v>
      </c>
      <c r="F111" s="18" t="s">
        <v>21</v>
      </c>
      <c r="G111" s="22"/>
      <c r="H111" s="22"/>
      <c r="I111" s="22"/>
      <c r="J111" s="22"/>
      <c r="K111" s="22"/>
      <c r="L111" s="22"/>
    </row>
  </sheetData>
  <mergeCells count="57">
    <mergeCell ref="G104:I104"/>
    <mergeCell ref="J104:L104"/>
    <mergeCell ref="C111:D111"/>
    <mergeCell ref="B77:C77"/>
    <mergeCell ref="F77:G77"/>
    <mergeCell ref="D93:E93"/>
    <mergeCell ref="M61:P61"/>
    <mergeCell ref="B68:C68"/>
    <mergeCell ref="F68:G68"/>
    <mergeCell ref="J68:K68"/>
    <mergeCell ref="N68:O68"/>
    <mergeCell ref="B64:C64"/>
    <mergeCell ref="A61:D61"/>
    <mergeCell ref="E61:H61"/>
    <mergeCell ref="I61:L61"/>
    <mergeCell ref="M62:P67"/>
    <mergeCell ref="E79:F79"/>
    <mergeCell ref="B74:C74"/>
    <mergeCell ref="A71:D71"/>
    <mergeCell ref="E71:H71"/>
    <mergeCell ref="C58:D58"/>
    <mergeCell ref="A96:C96"/>
    <mergeCell ref="D96:F96"/>
    <mergeCell ref="D86:E86"/>
    <mergeCell ref="A104:C104"/>
    <mergeCell ref="D104:F104"/>
    <mergeCell ref="G4:L4"/>
    <mergeCell ref="C13:D13"/>
    <mergeCell ref="A50:C50"/>
    <mergeCell ref="D50:F50"/>
    <mergeCell ref="C57:D57"/>
    <mergeCell ref="A1:F1"/>
    <mergeCell ref="C33:D33"/>
    <mergeCell ref="C47:D47"/>
    <mergeCell ref="A17:C17"/>
    <mergeCell ref="D17:F17"/>
    <mergeCell ref="C34:D34"/>
    <mergeCell ref="A4:F4"/>
    <mergeCell ref="E62:H67"/>
    <mergeCell ref="I62:L67"/>
    <mergeCell ref="E72:H76"/>
    <mergeCell ref="A37:F37"/>
    <mergeCell ref="G37:L37"/>
    <mergeCell ref="L75:M75"/>
    <mergeCell ref="L76:M76"/>
    <mergeCell ref="I71:K71"/>
    <mergeCell ref="L71:O71"/>
    <mergeCell ref="L72:M72"/>
    <mergeCell ref="L73:M73"/>
    <mergeCell ref="L74:M74"/>
    <mergeCell ref="G5:L10"/>
    <mergeCell ref="D18:F22"/>
    <mergeCell ref="G18:I22"/>
    <mergeCell ref="J18:L22"/>
    <mergeCell ref="G38:L43"/>
    <mergeCell ref="G17:I17"/>
    <mergeCell ref="J17:L17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Structure</vt:lpstr>
    </vt:vector>
  </TitlesOfParts>
  <Company>Ohio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Zickafoose</dc:creator>
  <cp:lastModifiedBy>Matthew Mcclellan</cp:lastModifiedBy>
  <dcterms:created xsi:type="dcterms:W3CDTF">2015-06-30T11:25:24Z</dcterms:created>
  <dcterms:modified xsi:type="dcterms:W3CDTF">2021-10-19T12:48:52Z</dcterms:modified>
</cp:coreProperties>
</file>