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6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cclell\Desktop\Temp PW folder\ADA-770\CADD\400-Engineering\Structures\SFN_0104469\EngData\03.Quantities\Final Tracings\"/>
    </mc:Choice>
  </mc:AlternateContent>
  <xr:revisionPtr revIDLastSave="0" documentId="13_ncr:1_{7944A304-2278-4A1A-8381-2C4DA1AAFBF2}" xr6:coauthVersionLast="47" xr6:coauthVersionMax="47" xr10:uidLastSave="{00000000-0000-0000-0000-000000000000}"/>
  <bookViews>
    <workbookView xWindow="22920" yWindow="-120" windowWidth="29040" windowHeight="15840" xr2:uid="{E29D6BE1-6DBF-4AD8-8F7C-203CD0F56ED8}"/>
  </bookViews>
  <sheets>
    <sheet name="FOR CAD" sheetId="14" r:id="rId1"/>
    <sheet name="Structure Removed" sheetId="3" r:id="rId2"/>
    <sheet name="Wearing Removed" sheetId="26" r:id="rId3"/>
    <sheet name="Unclassified Excavation" sheetId="35" r:id="rId4"/>
    <sheet name="Shale Excavation" sheetId="44" r:id="rId5"/>
    <sheet name="Reinforcing Steel" sheetId="24" r:id="rId6"/>
    <sheet name="Sealing" sheetId="33" r:id="rId7"/>
    <sheet name="Deck" sheetId="19" r:id="rId8"/>
    <sheet name="Abutment" sheetId="20" r:id="rId9"/>
    <sheet name="Footing" sheetId="22" r:id="rId10"/>
    <sheet name="Beams" sheetId="17" r:id="rId11"/>
    <sheet name="2&quot; PEJF" sheetId="27" r:id="rId12"/>
    <sheet name="Semi-Int Exp Jt Seal" sheetId="39" r:id="rId13"/>
    <sheet name="Bearing Pad" sheetId="43" r:id="rId14"/>
    <sheet name="Bearings" sheetId="41" r:id="rId15"/>
    <sheet name="TST Railing" sheetId="18" r:id="rId16"/>
    <sheet name="Porous Backfill" sheetId="28" r:id="rId17"/>
    <sheet name="Drip Strip" sheetId="42" r:id="rId18"/>
    <sheet name="6&quot;PCPP" sheetId="30" r:id="rId19"/>
    <sheet name="6&quot;NPCPP" sheetId="31" r:id="rId20"/>
    <sheet name="Drilled Shafts" sheetId="23" r:id="rId21"/>
    <sheet name="Approach Slab" sheetId="25" r:id="rId22"/>
    <sheet name="Type A Installation" sheetId="36" r:id="rId23"/>
    <sheet name="RCP" sheetId="32" r:id="rId24"/>
  </sheets>
  <definedNames>
    <definedName name="_xlnm.Print_Area" localSheetId="11">'2" PEJF'!$A$1:$H$40</definedName>
    <definedName name="_xlnm.Print_Area" localSheetId="19">'6"NPCPP'!$A$1:$H$22</definedName>
    <definedName name="_xlnm.Print_Area" localSheetId="18">'6"PCPP'!$A$1:$H$16</definedName>
    <definedName name="_xlnm.Print_Area" localSheetId="8">Abutment!$A$1:$H$23</definedName>
    <definedName name="_xlnm.Print_Area" localSheetId="21">'Approach Slab'!$A$1:$H$19</definedName>
    <definedName name="_xlnm.Print_Area" localSheetId="10">Beams!$A$1:$H$15</definedName>
    <definedName name="_xlnm.Print_Area" localSheetId="13">'Bearing Pad'!$A$1:$H$16</definedName>
    <definedName name="_xlnm.Print_Area" localSheetId="14">Bearings!$A$1:$H$16</definedName>
    <definedName name="_xlnm.Print_Area" localSheetId="7">Deck!$A$1:$H$55</definedName>
    <definedName name="_xlnm.Print_Area" localSheetId="20">'Drilled Shafts'!$A$1:$H$26</definedName>
    <definedName name="_xlnm.Print_Area" localSheetId="17">'Drip Strip'!$A$1:$H$15</definedName>
    <definedName name="_xlnm.Print_Area" localSheetId="9">Footing!$A$1:$H$23</definedName>
    <definedName name="_xlnm.Print_Area" localSheetId="16">'Porous Backfill'!$A$1:$H$25</definedName>
    <definedName name="_xlnm.Print_Area" localSheetId="23">RCP!$A$1:$H$21</definedName>
    <definedName name="_xlnm.Print_Area" localSheetId="5">'Reinforcing Steel'!$A$1:$H$16</definedName>
    <definedName name="_xlnm.Print_Area" localSheetId="6">Sealing!$A$1:$H$40</definedName>
    <definedName name="_xlnm.Print_Area" localSheetId="12">'Semi-Int Exp Jt Seal'!$A$1:$H$17</definedName>
    <definedName name="_xlnm.Print_Area" localSheetId="1">'Structure Removed'!$A$1:$H$27</definedName>
    <definedName name="_xlnm.Print_Area" localSheetId="15">'TST Railing'!$A$1:$H$16</definedName>
    <definedName name="_xlnm.Print_Area" localSheetId="22">'Type A Installation'!$A$1:$H$19</definedName>
    <definedName name="_xlnm.Print_Area" localSheetId="3">'Unclassified Excavation'!$A$1:$H$67</definedName>
    <definedName name="_xlnm.Print_Area" localSheetId="2">'Wearing Removed'!$A$1:$H$17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4" l="1"/>
  <c r="D22" i="44"/>
  <c r="D16" i="44"/>
  <c r="F9" i="14"/>
  <c r="E9" i="14"/>
  <c r="C9" i="14"/>
  <c r="B9" i="14"/>
  <c r="D9" i="14" l="1"/>
  <c r="G9" i="14" s="1"/>
  <c r="D20" i="35" l="1"/>
  <c r="D29" i="35"/>
  <c r="D38" i="14"/>
  <c r="G38" i="14" s="1"/>
  <c r="D36" i="14"/>
  <c r="I36" i="14" s="1"/>
  <c r="D35" i="14"/>
  <c r="I35" i="14" s="1"/>
  <c r="D33" i="14"/>
  <c r="G33" i="14" s="1"/>
  <c r="D31" i="14"/>
  <c r="G31" i="14" s="1"/>
  <c r="D30" i="14"/>
  <c r="G30" i="14" s="1"/>
  <c r="D29" i="14"/>
  <c r="H29" i="14" s="1"/>
  <c r="D28" i="14"/>
  <c r="G28" i="14" s="1"/>
  <c r="D26" i="14"/>
  <c r="H26" i="14" s="1"/>
  <c r="D24" i="14"/>
  <c r="G24" i="14" s="1"/>
  <c r="D23" i="14"/>
  <c r="G23" i="14" s="1"/>
  <c r="D22" i="14"/>
  <c r="G22" i="14" s="1"/>
  <c r="D21" i="14"/>
  <c r="G21" i="14" s="1"/>
  <c r="D19" i="14"/>
  <c r="H19" i="14" s="1"/>
  <c r="D15" i="14"/>
  <c r="G15" i="14" s="1"/>
  <c r="D14" i="14"/>
  <c r="G14" i="14" s="1"/>
  <c r="D13" i="14"/>
  <c r="H13" i="14" s="1"/>
  <c r="H17" i="14"/>
  <c r="G17" i="14"/>
  <c r="D17" i="14"/>
  <c r="F17" i="14"/>
  <c r="E17" i="14"/>
  <c r="C17" i="14"/>
  <c r="B17" i="14"/>
  <c r="E112" i="33"/>
  <c r="E17" i="33"/>
  <c r="H11" i="14" l="1"/>
  <c r="G11" i="14"/>
  <c r="D11" i="14"/>
  <c r="D13" i="24"/>
  <c r="D15" i="24" s="1"/>
  <c r="D6" i="14"/>
  <c r="I6" i="14" s="1"/>
  <c r="E5" i="14"/>
  <c r="D15" i="43" l="1"/>
  <c r="D13" i="18"/>
  <c r="D12" i="18"/>
  <c r="D17" i="32"/>
  <c r="D13" i="32"/>
  <c r="D17" i="33"/>
  <c r="F23" i="14"/>
  <c r="D39" i="27"/>
  <c r="D16" i="22"/>
  <c r="D85" i="20"/>
  <c r="D18" i="20"/>
  <c r="D15" i="41"/>
  <c r="E23" i="14"/>
  <c r="C23" i="14"/>
  <c r="B23" i="14"/>
  <c r="D27" i="35"/>
  <c r="D26" i="35"/>
  <c r="D25" i="35"/>
  <c r="D24" i="35"/>
  <c r="D66" i="35"/>
  <c r="D57" i="35"/>
  <c r="D48" i="35"/>
  <c r="D38" i="35"/>
  <c r="D18" i="36"/>
  <c r="D25" i="23"/>
  <c r="D19" i="39"/>
  <c r="D54" i="19"/>
  <c r="D46" i="19"/>
  <c r="D52" i="19" s="1"/>
  <c r="D35" i="19"/>
  <c r="D41" i="19" s="1"/>
  <c r="F20" i="19"/>
  <c r="F19" i="19"/>
  <c r="F18" i="19"/>
  <c r="F17" i="19"/>
  <c r="F16" i="19"/>
  <c r="F15" i="19"/>
  <c r="F14" i="19"/>
  <c r="F13" i="19"/>
  <c r="E20" i="19"/>
  <c r="D30" i="19" s="1"/>
  <c r="E19" i="19"/>
  <c r="D29" i="19" s="1"/>
  <c r="E18" i="19"/>
  <c r="D28" i="19" s="1"/>
  <c r="E17" i="19"/>
  <c r="D27" i="19" s="1"/>
  <c r="E16" i="19"/>
  <c r="D26" i="19" s="1"/>
  <c r="E15" i="19"/>
  <c r="D25" i="19" s="1"/>
  <c r="E14" i="19"/>
  <c r="D24" i="19" s="1"/>
  <c r="E13" i="19"/>
  <c r="D23" i="19" s="1"/>
  <c r="D36" i="27"/>
  <c r="D30" i="27"/>
  <c r="D23" i="27"/>
  <c r="D17" i="27"/>
  <c r="D81" i="20"/>
  <c r="D83" i="20" s="1"/>
  <c r="D76" i="20"/>
  <c r="D69" i="20"/>
  <c r="D62" i="20"/>
  <c r="D55" i="20"/>
  <c r="D46" i="20"/>
  <c r="D39" i="20"/>
  <c r="D32" i="20"/>
  <c r="D25" i="20"/>
  <c r="D75" i="33"/>
  <c r="D70" i="28" s="1"/>
  <c r="D63" i="28"/>
  <c r="D62" i="28"/>
  <c r="D61" i="28"/>
  <c r="D99" i="28"/>
  <c r="D90" i="28"/>
  <c r="D89" i="28"/>
  <c r="D81" i="28"/>
  <c r="D72" i="28"/>
  <c r="D65" i="28"/>
  <c r="D52" i="28"/>
  <c r="D43" i="28"/>
  <c r="D42" i="28"/>
  <c r="D34" i="28"/>
  <c r="D25" i="28"/>
  <c r="D24" i="28"/>
  <c r="D16" i="28"/>
  <c r="D15" i="28"/>
  <c r="D18" i="28"/>
  <c r="D20" i="32"/>
  <c r="D18" i="25"/>
  <c r="D20" i="31"/>
  <c r="D18" i="30"/>
  <c r="D14" i="42"/>
  <c r="D16" i="33"/>
  <c r="D68" i="35" l="1"/>
  <c r="D8" i="14" s="1"/>
  <c r="G8" i="14" s="1"/>
  <c r="D67" i="28"/>
  <c r="D76" i="28"/>
  <c r="D14" i="33" l="1"/>
  <c r="D105" i="33"/>
  <c r="D94" i="33"/>
  <c r="D88" i="28" s="1"/>
  <c r="D94" i="28" s="1"/>
  <c r="D86" i="33"/>
  <c r="D82" i="33"/>
  <c r="D101" i="33"/>
  <c r="D72" i="33"/>
  <c r="D58" i="33"/>
  <c r="D47" i="33"/>
  <c r="D41" i="28" s="1"/>
  <c r="D47" i="28" s="1"/>
  <c r="D54" i="33"/>
  <c r="D39" i="33"/>
  <c r="D28" i="33"/>
  <c r="D21" i="33"/>
  <c r="F29" i="14"/>
  <c r="E29" i="14"/>
  <c r="C29" i="14"/>
  <c r="B29" i="14"/>
  <c r="F24" i="14"/>
  <c r="E24" i="14"/>
  <c r="C24" i="14"/>
  <c r="B24" i="14"/>
  <c r="F22" i="14"/>
  <c r="E22" i="14"/>
  <c r="C22" i="14"/>
  <c r="B22" i="14"/>
  <c r="D25" i="22"/>
  <c r="D23" i="22"/>
  <c r="D25" i="33" l="1"/>
  <c r="D14" i="28"/>
  <c r="D20" i="28" s="1"/>
  <c r="D35" i="33"/>
  <c r="D23" i="28"/>
  <c r="D29" i="28" s="1"/>
  <c r="D91" i="33"/>
  <c r="D80" i="28"/>
  <c r="D85" i="28" s="1"/>
  <c r="D44" i="33"/>
  <c r="D33" i="28"/>
  <c r="D38" i="28" s="1"/>
  <c r="D110" i="33"/>
  <c r="D98" i="28"/>
  <c r="D103" i="28" s="1"/>
  <c r="D63" i="33"/>
  <c r="D51" i="28"/>
  <c r="D56" i="28" s="1"/>
  <c r="D15" i="26"/>
  <c r="F36" i="14"/>
  <c r="E36" i="14"/>
  <c r="C36" i="14"/>
  <c r="B36" i="14"/>
  <c r="F38" i="14"/>
  <c r="E38" i="14"/>
  <c r="C38" i="14"/>
  <c r="B38" i="14"/>
  <c r="F35" i="14"/>
  <c r="E35" i="14"/>
  <c r="C35" i="14"/>
  <c r="B35" i="14"/>
  <c r="F33" i="14"/>
  <c r="E33" i="14"/>
  <c r="C33" i="14"/>
  <c r="B33" i="14"/>
  <c r="F31" i="14"/>
  <c r="E31" i="14"/>
  <c r="C31" i="14"/>
  <c r="B31" i="14"/>
  <c r="F30" i="14"/>
  <c r="E30" i="14"/>
  <c r="C30" i="14"/>
  <c r="B30" i="14"/>
  <c r="F28" i="14"/>
  <c r="E28" i="14"/>
  <c r="C28" i="14"/>
  <c r="B28" i="14"/>
  <c r="F26" i="14"/>
  <c r="E26" i="14"/>
  <c r="C26" i="14"/>
  <c r="B26" i="14"/>
  <c r="F21" i="14"/>
  <c r="E21" i="14"/>
  <c r="C21" i="14"/>
  <c r="B21" i="14"/>
  <c r="F19" i="14"/>
  <c r="E19" i="14"/>
  <c r="C19" i="14"/>
  <c r="B19" i="14"/>
  <c r="F15" i="14"/>
  <c r="E15" i="14"/>
  <c r="C15" i="14"/>
  <c r="B15" i="14"/>
  <c r="F14" i="14"/>
  <c r="E14" i="14"/>
  <c r="C14" i="14"/>
  <c r="B14" i="14"/>
  <c r="F13" i="14"/>
  <c r="E13" i="14"/>
  <c r="C13" i="14"/>
  <c r="B13" i="14"/>
  <c r="F11" i="14"/>
  <c r="E11" i="14"/>
  <c r="C11" i="14"/>
  <c r="B11" i="14"/>
  <c r="F8" i="14"/>
  <c r="E8" i="14"/>
  <c r="C8" i="14"/>
  <c r="B8" i="14"/>
  <c r="F6" i="14"/>
  <c r="E6" i="14"/>
  <c r="C6" i="14"/>
  <c r="B6" i="14"/>
  <c r="F5" i="14"/>
  <c r="C5" i="14"/>
  <c r="B5" i="14"/>
  <c r="D23" i="23"/>
  <c r="D16" i="23"/>
  <c r="D15" i="18"/>
  <c r="D14" i="17"/>
  <c r="D105" i="28" l="1"/>
  <c r="D112" i="33"/>
  <c r="D114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tc={32AFFA8E-9C44-4381-A519-04BE14B4B55F}</author>
  </authors>
  <commentList>
    <comment ref="D41" authorId="0" shapeId="0" xr:uid="{32AFFA8E-9C44-4381-A519-04BE14B4B55F}">
      <text>
        <t>[Threaded comment]
Your version of Excel allows you to read this threaded comment; however, any edits to it will get removed if the file is opened in a newer version of Excel. Learn more: https://go.microsoft.com/fwlink/?linkid=870924
Comment:
    Area indepently verified using microstation with 1' offsets, I got about 360 SF compared to 450 SF, so it seems like this is too high
Reply:
    Re-verified areas shown, they are correct and about 450 SF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tc={87FF9BD6-9356-4134-8EF7-2F6B9D81B0C8}</author>
  </authors>
  <commentList>
    <comment ref="D17" authorId="0" shapeId="0" xr:uid="{87FF9BD6-9356-4134-8EF7-2F6B9D81B0C8}">
      <text>
        <t>[Threaded comment]
Your version of Excel allows you to read this threaded comment; however, any edits to it will get removed if the file is opened in a newer version of Excel. Learn more: https://go.microsoft.com/fwlink/?linkid=870924
Comment:
    Multiply by 2 for 2 sides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Dudley</author>
  </authors>
  <commentList>
    <comment ref="D15" authorId="0" shapeId="0" xr:uid="{D50CE20F-933F-436E-8A48-C5202D5E4882}">
      <text>
        <r>
          <rPr>
            <b/>
            <sz val="9"/>
            <color indexed="81"/>
            <rFont val="Tahoma"/>
            <family val="2"/>
          </rPr>
          <t>Brian Dudley:</t>
        </r>
        <r>
          <rPr>
            <sz val="9"/>
            <color indexed="81"/>
            <rFont val="Tahoma"/>
            <family val="2"/>
          </rPr>
          <t xml:space="preserve">
Should be 32 EACH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Dudley</author>
    <author>tc={401CC2B5-A580-4C25-8CC9-7CAA25E78FE7}</author>
  </authors>
  <commentList>
    <comment ref="D10" authorId="0" shapeId="0" xr:uid="{4127AF36-6DBD-4590-8FA5-B13C08A52994}">
      <text>
        <r>
          <rPr>
            <b/>
            <sz val="9"/>
            <color indexed="81"/>
            <rFont val="Tahoma"/>
            <family val="2"/>
          </rPr>
          <t>Brian Dudley:</t>
        </r>
        <r>
          <rPr>
            <sz val="9"/>
            <color indexed="81"/>
            <rFont val="Tahoma"/>
            <family val="2"/>
          </rPr>
          <t xml:space="preserve">
add "Bridge per Item Master: RAILING (THREE STEEL TUBE BRIDGE RAILING), AS PER PLAN</t>
        </r>
      </text>
    </comment>
    <comment ref="D12" authorId="0" shapeId="0" xr:uid="{8443357B-EA5A-4408-BE96-28636DFDABF0}">
      <text>
        <r>
          <rPr>
            <b/>
            <sz val="9"/>
            <color indexed="81"/>
            <rFont val="Tahoma"/>
            <family val="2"/>
          </rPr>
          <t>Brian Dudley:</t>
        </r>
        <r>
          <rPr>
            <sz val="9"/>
            <color indexed="81"/>
            <rFont val="Tahoma"/>
            <family val="2"/>
          </rPr>
          <t xml:space="preserve">
I think you need to include 8-ft past the last post on the bridge, so I am getting 69.875-ft per side for a total quantity of 140-ft.</t>
        </r>
      </text>
    </comment>
    <comment ref="D13" authorId="1" shapeId="0" xr:uid="{401CC2B5-A580-4C25-8CC9-7CAA25E78FE7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8' at all corners, so length is last post to last post, plus 8' at all corners per Std. Dwg.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tc={C4E034C0-B7F9-49D2-B2E6-520C8E20FC2A}</author>
  </authors>
  <commentList>
    <comment ref="A10" authorId="0" shapeId="0" xr:uid="{C4E034C0-B7F9-49D2-B2E6-520C8E20FC2A}">
      <text>
        <t>[Threaded comment]
Your version of Excel allows you to read this threaded comment; however, any edits to it will get removed if the file is opened in a newer version of Excel. Learn more: https://go.microsoft.com/fwlink/?linkid=870924
Comment:
    42" diameter, adjust item # and desc.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tc={3DE58E07-9F98-4567-840F-61E374A211CC}</author>
  </authors>
  <commentList>
    <comment ref="D13" authorId="0" shapeId="0" xr:uid="{3DE58E07-9F98-4567-840F-61E374A211C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 by 12% since material is placed on a 2:1 slope but measured plan area was used.</t>
      </text>
    </comment>
  </commentList>
</comments>
</file>

<file path=xl/sharedStrings.xml><?xml version="1.0" encoding="utf-8"?>
<sst xmlns="http://schemas.openxmlformats.org/spreadsheetml/2006/main" count="935" uniqueCount="170">
  <si>
    <t>Bridge:</t>
  </si>
  <si>
    <t>Designer:</t>
  </si>
  <si>
    <t>Project Number:</t>
  </si>
  <si>
    <t>Bridge Estimated Quantities</t>
  </si>
  <si>
    <t>Description</t>
  </si>
  <si>
    <t>Date:</t>
  </si>
  <si>
    <t>Checker:</t>
  </si>
  <si>
    <t>SFN:</t>
  </si>
  <si>
    <t xml:space="preserve">Total Quantity = </t>
  </si>
  <si>
    <t>Description:</t>
  </si>
  <si>
    <t>Unit</t>
  </si>
  <si>
    <t>SY</t>
  </si>
  <si>
    <t>FT</t>
  </si>
  <si>
    <t>LB</t>
  </si>
  <si>
    <t>CY</t>
  </si>
  <si>
    <t>EACH</t>
  </si>
  <si>
    <t>SF</t>
  </si>
  <si>
    <t>Quantity Calculations</t>
  </si>
  <si>
    <t>ELP</t>
  </si>
  <si>
    <t>Item</t>
  </si>
  <si>
    <t>Item Ext.</t>
  </si>
  <si>
    <t>ADA-00770-03.450</t>
  </si>
  <si>
    <t>0104470</t>
  </si>
  <si>
    <t>LUMP</t>
  </si>
  <si>
    <t>No. Beams</t>
  </si>
  <si>
    <t>LT Side Lenth</t>
  </si>
  <si>
    <t>RT Side Lenth</t>
  </si>
  <si>
    <t>Rear Abutment:</t>
  </si>
  <si>
    <t>Diamater =</t>
  </si>
  <si>
    <t>No. Drilled Shafts=</t>
  </si>
  <si>
    <t>Length =</t>
  </si>
  <si>
    <t>Forward Abutment:</t>
  </si>
  <si>
    <t>Subtotal</t>
  </si>
  <si>
    <t>lb</t>
  </si>
  <si>
    <t>Rear Approach:</t>
  </si>
  <si>
    <t>Microstation Area =</t>
  </si>
  <si>
    <t>2" PREFORMED EXPANSION JOINT FILLER</t>
  </si>
  <si>
    <t>6" PERFORATED CORRUGATED PLASTIC PIPE</t>
  </si>
  <si>
    <t>6" NON-PERFORATED CORRUGATED PLASTIC PIPE</t>
  </si>
  <si>
    <t>ROCK CHANNEL PROTECTION, TYPE B WITH GEOTEXTILE FABRIC</t>
  </si>
  <si>
    <t>ITEM</t>
  </si>
  <si>
    <t>ITEM EXT.</t>
  </si>
  <si>
    <t>UNIT</t>
  </si>
  <si>
    <t>DESCRIPTION</t>
  </si>
  <si>
    <t>ABUT.</t>
  </si>
  <si>
    <t>SUPER.</t>
  </si>
  <si>
    <t>GEN.</t>
  </si>
  <si>
    <t>WEARING COURSE REMOVED</t>
  </si>
  <si>
    <t>TYPE A INSTALLATION, AS PER PLAN</t>
  </si>
  <si>
    <t>TOTAL</t>
  </si>
  <si>
    <t>(Microstation)</t>
  </si>
  <si>
    <t xml:space="preserve">Existing Deck Area = </t>
  </si>
  <si>
    <t>Footing Area =</t>
  </si>
  <si>
    <t>(Microstation Area)</t>
  </si>
  <si>
    <t>Thickness =</t>
  </si>
  <si>
    <t>SEMI-INTEGRAL ABUTMENT EXPANSION JOINT SEAL</t>
  </si>
  <si>
    <t>ELASTOMERIC BEARING WITH INTERNAL LAMINATES ONLY (NEOPRENE), 7"x14"X1.474"</t>
  </si>
  <si>
    <t>SPECIAL</t>
  </si>
  <si>
    <t>STEEL DRIP STRIP</t>
  </si>
  <si>
    <t>T/Wall 2=</t>
  </si>
  <si>
    <t>T/Wall 1=</t>
  </si>
  <si>
    <t xml:space="preserve">T/Slope El. </t>
  </si>
  <si>
    <t>Abutment</t>
  </si>
  <si>
    <t>Wingwall 1 (Sloped Portion)</t>
  </si>
  <si>
    <t>Begin Elevation =</t>
  </si>
  <si>
    <t>End Elevation =</t>
  </si>
  <si>
    <t xml:space="preserve">Begin T/Slope El. </t>
  </si>
  <si>
    <t xml:space="preserve">End T/Slope El. </t>
  </si>
  <si>
    <t>Wall Thickness =</t>
  </si>
  <si>
    <t>Behind Wall Depth =</t>
  </si>
  <si>
    <t>Wingwall 1 (Full Height Portion)</t>
  </si>
  <si>
    <t xml:space="preserve"> Elevation =</t>
  </si>
  <si>
    <t xml:space="preserve"> T/Slope El. </t>
  </si>
  <si>
    <t>Wingwall 2 (Sloped Portion)</t>
  </si>
  <si>
    <t>Wingwall 2 (Full Height Portion)</t>
  </si>
  <si>
    <t>Wingwall 3 (Sloped Portion)</t>
  </si>
  <si>
    <t>Wingwall 3 (Full Height Portion)</t>
  </si>
  <si>
    <t>Wingwall 4 (Sloped Portion)</t>
  </si>
  <si>
    <t>Wingwall 4 (Full Height Portion)</t>
  </si>
  <si>
    <t>Abutment Total</t>
  </si>
  <si>
    <t>Deck</t>
  </si>
  <si>
    <t>Average Topping Thickness =</t>
  </si>
  <si>
    <t>Beam Depth =</t>
  </si>
  <si>
    <t>Beam Length =</t>
  </si>
  <si>
    <t>No. Bearings/Beam</t>
  </si>
  <si>
    <t>Length of Deck =</t>
  </si>
  <si>
    <t>Wingwall 1 Length =</t>
  </si>
  <si>
    <t>Wingwall 2 Length =</t>
  </si>
  <si>
    <t>Length along skew =</t>
  </si>
  <si>
    <t>Forward Approach:</t>
  </si>
  <si>
    <t>Thickness</t>
  </si>
  <si>
    <t>Approach Slab Thickness =</t>
  </si>
  <si>
    <t>Ftg. El. =</t>
  </si>
  <si>
    <t>Porous Backfill Thickness</t>
  </si>
  <si>
    <t>T/Wall to Porous Height =</t>
  </si>
  <si>
    <t>=</t>
  </si>
  <si>
    <t>T/Ftg. El. =</t>
  </si>
  <si>
    <t>Top of Wall Microstation Area =</t>
  </si>
  <si>
    <t>Begin T/Wall Elevation =</t>
  </si>
  <si>
    <t>End T/Wall Elevation =</t>
  </si>
  <si>
    <t>T/Wall El. =</t>
  </si>
  <si>
    <t>B/Wall El. =</t>
  </si>
  <si>
    <t xml:space="preserve">Left </t>
  </si>
  <si>
    <t>Subtotal =</t>
  </si>
  <si>
    <t>Right</t>
  </si>
  <si>
    <t>Approach Slab Depth =</t>
  </si>
  <si>
    <t>Beam 1</t>
  </si>
  <si>
    <t>Beam 2</t>
  </si>
  <si>
    <t>Beam 3</t>
  </si>
  <si>
    <t>Beam 4</t>
  </si>
  <si>
    <t>Beam 5</t>
  </si>
  <si>
    <t>Beam 6</t>
  </si>
  <si>
    <t>Beam 7</t>
  </si>
  <si>
    <t>Beam 8</t>
  </si>
  <si>
    <t>Begin Beam Thickness</t>
  </si>
  <si>
    <t>Middle Beam Thickness</t>
  </si>
  <si>
    <t>End Beam Thickness</t>
  </si>
  <si>
    <t>Average Thickness</t>
  </si>
  <si>
    <t>Beam Length</t>
  </si>
  <si>
    <t>Beam Width</t>
  </si>
  <si>
    <t>Beam 1 Deck Volume =</t>
  </si>
  <si>
    <t>Beam 2 Deck Volume =</t>
  </si>
  <si>
    <t>Beam 3 Deck Volume =</t>
  </si>
  <si>
    <t>Beam 4 Deck Volume =</t>
  </si>
  <si>
    <t>Beam 5 Deck Volume =</t>
  </si>
  <si>
    <t>Beam 6 Deck Volume =</t>
  </si>
  <si>
    <t>Beam 7 Deck Volume =</t>
  </si>
  <si>
    <t>Beam 8 Deck Volume =</t>
  </si>
  <si>
    <t>Diaphragm</t>
  </si>
  <si>
    <t>T/Wall Lt. El. =</t>
  </si>
  <si>
    <t>B/Wall Lt. El.=</t>
  </si>
  <si>
    <t>T/Wall Rt. El. =</t>
  </si>
  <si>
    <t>B/Wall Rt. El.=</t>
  </si>
  <si>
    <t>Footing Area 1 =</t>
  </si>
  <si>
    <t>Bot. Ftg. El. =</t>
  </si>
  <si>
    <t>Ground El. 1</t>
  </si>
  <si>
    <t>Ground El. 2</t>
  </si>
  <si>
    <t>Ground El. 3</t>
  </si>
  <si>
    <t>Ground El. 4</t>
  </si>
  <si>
    <t>Footing Area 2 =</t>
  </si>
  <si>
    <t>Footing Area 3 =</t>
  </si>
  <si>
    <t>1/8" PREFORMED BEARING PAD</t>
  </si>
  <si>
    <t>BCD</t>
  </si>
  <si>
    <t>GLG</t>
  </si>
  <si>
    <t>No. Sides</t>
  </si>
  <si>
    <t>DRILLED SHAFTS, 42" DIAMETER, INTO BEDROCK</t>
  </si>
  <si>
    <t>RAILING (THREE STEEL TUBE BRIDGE RAILING), AS PER PLAN</t>
  </si>
  <si>
    <t>STRUCTURE REMOVED, OVER 20 FOOT SPAN</t>
  </si>
  <si>
    <t>POROUS BACKFILL WITH GEOTEXTILE FABRIC</t>
  </si>
  <si>
    <t>DATE:</t>
  </si>
  <si>
    <t>CHECKED:</t>
  </si>
  <si>
    <t>CALCULATED:</t>
  </si>
  <si>
    <t>SEE SHEET</t>
  </si>
  <si>
    <t>ESTIMATED QUANTITIES - SFN 0104470 (ADA-00770-03.450)</t>
  </si>
  <si>
    <t>Updated for Stage 3:</t>
  </si>
  <si>
    <t>Superstructure</t>
  </si>
  <si>
    <t>Abutments</t>
  </si>
  <si>
    <t>EPOXY COATED STEEL REINFORCEMENT</t>
  </si>
  <si>
    <t>SEALING OF CONCRETE SURFACES (EPOXY-URETHANE)</t>
  </si>
  <si>
    <t>PRESTRESSED CONCRETE COMPOSITE BOX BEAM BRIDGE MEMBERS, LEVEL 1, CB21-48 (63'-1 7/8" BEAM LENGTH)</t>
  </si>
  <si>
    <t>2 / 17</t>
  </si>
  <si>
    <t>CLASS QC2 CONCRETE WITH QC/QA, BRIDGE DECK</t>
  </si>
  <si>
    <t>CLASS QC1 CONCRETE WITH QC/QA, ABUTMENT NOT INCLUDING FOOTING</t>
  </si>
  <si>
    <t>CLASS QC1 CONCRETE WITH QC/QA, FOOTING</t>
  </si>
  <si>
    <t>Top of Rock El.</t>
  </si>
  <si>
    <t>Top of  Rock El.</t>
  </si>
  <si>
    <t>SHALE EXCAVATION</t>
  </si>
  <si>
    <t>UNCLASSIFIED EXCAVATION</t>
  </si>
  <si>
    <t>REINFORCED CONCRETE APPROACH SLABS WITH QC/QA (T=17")</t>
  </si>
  <si>
    <t xml:space="preserve">Footing Area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</si>
</sst>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\ &quot;ft^2&quot;"/>
    <numFmt numFmtId="165" formatCode="&quot;$&quot;0&quot;/SF&quot;"/>
    <numFmt numFmtId="166" formatCode="&quot;$&quot;#,##0.00"/>
    <numFmt numFmtId="167" formatCode="&quot;$&quot;#,##0"/>
    <numFmt numFmtId="168" formatCode="0\ &quot;cy&quot;"/>
    <numFmt numFmtId="169" formatCode="0.0"/>
    <numFmt numFmtId="170" formatCode="0.00\ &quot;ft&quot;"/>
    <numFmt numFmtId="171" formatCode="0\ &quot;CY&quot;"/>
    <numFmt numFmtId="172" formatCode="0.00\ &quot;in&quot;"/>
    <numFmt numFmtId="173" formatCode="0\ &quot;SY&quot;"/>
    <numFmt numFmtId="174" formatCode="0\ &quot;EACH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4" xfId="0" applyBorder="1"/>
    <xf numFmtId="0" fontId="0" fillId="0" borderId="8" xfId="0" applyBorder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right"/>
    </xf>
    <xf numFmtId="14" fontId="3" fillId="0" borderId="2" xfId="0" applyNumberFormat="1" applyFont="1" applyBorder="1"/>
    <xf numFmtId="0" fontId="1" fillId="0" borderId="3" xfId="0" applyFont="1" applyBorder="1"/>
    <xf numFmtId="0" fontId="3" fillId="0" borderId="4" xfId="0" applyFont="1" applyBorder="1"/>
    <xf numFmtId="0" fontId="1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3" fillId="0" borderId="0" xfId="0" quotePrefix="1" applyFont="1" applyAlignment="1">
      <alignment horizontal="left"/>
    </xf>
    <xf numFmtId="0" fontId="1" fillId="0" borderId="9" xfId="0" applyFont="1" applyBorder="1"/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49" fontId="3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170" fontId="3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72" fontId="3" fillId="0" borderId="0" xfId="0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173" fontId="1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174" fontId="8" fillId="0" borderId="0" xfId="0" applyNumberFormat="1" applyFont="1" applyAlignment="1">
      <alignment horizontal="center"/>
    </xf>
    <xf numFmtId="171" fontId="0" fillId="0" borderId="0" xfId="0" applyNumberFormat="1"/>
    <xf numFmtId="171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1" fontId="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0" fontId="11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3" xfId="0" quotePrefix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747C39-C514-418A-8BC1-8125BC525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45605" y="308123"/>
          <a:ext cx="2057400" cy="6994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B6755A-9EDA-4FB2-BE76-38BD9F935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22417F-E416-4360-B234-064FF3CD1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566AB-A7D3-4644-866C-E8C2ED83C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6005" y="127148"/>
          <a:ext cx="2053590" cy="7033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902970</xdr:colOff>
      <xdr:row>4</xdr:row>
      <xdr:rowOff>37973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8D00D1-EF8C-4084-A8A5-23A3CB6C4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6005" y="127148"/>
          <a:ext cx="2057400" cy="6994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2F60F-A663-4D9F-B043-3095474BB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6005" y="127148"/>
          <a:ext cx="2053590" cy="7033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20ACB-0B43-4CF5-B1CF-E2F74256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682EEA-09DD-4E8C-9262-C7F606C81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875FE5-38C0-4775-BAF7-7CE5E14F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6005" y="127148"/>
          <a:ext cx="2053590" cy="70330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64A5E3-F55A-47B9-BB01-EBEFB008C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A95216-BA15-47F7-BBBD-E813D93A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EF84C-02E8-4F95-B0BE-B4F359B43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B6ACB-B563-46A4-9570-DEE26B385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777698-213E-4B23-A261-A8636EFD5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138D4-CB23-4E55-9256-DEAD2B6EF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4605" y="127148"/>
          <a:ext cx="2152650" cy="69949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05D1C-C081-4356-8BC3-719D2DFC4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83BD69-C148-4A0D-BB45-1DB4D623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4605" y="127148"/>
          <a:ext cx="2152650" cy="699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897255</xdr:colOff>
      <xdr:row>0</xdr:row>
      <xdr:rowOff>127149</xdr:rowOff>
    </xdr:from>
    <xdr:to>
      <xdr:col>8</xdr:col>
      <xdr:colOff>209681</xdr:colOff>
      <xdr:row>3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37A8B8-0AA0-4F9D-9AE7-F979EEA0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6005" y="127149"/>
          <a:ext cx="2455676" cy="5967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831961-62AA-4E24-AF5A-40134474B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855345</xdr:colOff>
      <xdr:row>4</xdr:row>
      <xdr:rowOff>58928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8E6FC5-7C19-41E7-BD31-E8AAFD947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1C6D91-721F-469D-80A1-F18E9C34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01BBB-98DB-4A48-AD43-DDD4C499A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893445</xdr:colOff>
      <xdr:row>0</xdr:row>
      <xdr:rowOff>125243</xdr:rowOff>
    </xdr:from>
    <xdr:to>
      <xdr:col>7</xdr:col>
      <xdr:colOff>859155</xdr:colOff>
      <xdr:row>4</xdr:row>
      <xdr:rowOff>55118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DE9350-6239-484C-A0BF-1E7DD9A4B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72225" y="125243"/>
          <a:ext cx="2156460" cy="710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mily Preston" id="{0644EF50-E39C-4734-859D-E878935518C0}" userId="S::epreston@compassinf.com::adb02329-3a17-47af-a74e-e2ca3d3d8f67" providerId="AD"/>
  <person displayName="Gary Gardner" id="{D86A8136-FEF5-47EA-94E7-0409892A8F5E}" userId="S::ggardner@compassinf.com::a9ff2bbe-8eac-408c-a51c-f8a5ac77f2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1" dT="2022-01-31T15:48:25.06" personId="{D86A8136-FEF5-47EA-94E7-0409892A8F5E}" id="{32AFFA8E-9C44-4381-A519-04BE14B4B55F}" done="1">
    <text>Area indepently verified using microstation with 1' offsets, I got about 360 SF compared to 450 SF, so it seems like this is too high</text>
  </threadedComment>
  <threadedComment ref="D41" dT="2022-01-31T17:55:34.42" personId="{0644EF50-E39C-4734-859D-E878935518C0}" id="{85D03C0F-9693-49B1-AC02-1EE443CE7146}" parentId="{32AFFA8E-9C44-4381-A519-04BE14B4B55F}">
    <text>Re-verified areas shown, they are correct and about 450 SF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7" dT="2022-01-31T15:48:42.54" personId="{D86A8136-FEF5-47EA-94E7-0409892A8F5E}" id="{87FF9BD6-9356-4134-8EF7-2F6B9D81B0C8}" done="1">
    <text>Multiply by 2 for 2 sides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3" dT="2022-01-31T16:14:41.31" personId="{D86A8136-FEF5-47EA-94E7-0409892A8F5E}" id="{401CC2B5-A580-4C25-8CC9-7CAA25E78FE7}" done="1">
    <text>Add 8' at all corners, so length is last post to last post, plus 8' at all corners per Std. Dwg.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0" dT="2022-01-31T16:17:15.56" personId="{D86A8136-FEF5-47EA-94E7-0409892A8F5E}" id="{C4E034C0-B7F9-49D2-B2E6-520C8E20FC2A}">
    <text>42" diameter, adjust item # and desc.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3" dT="2022-01-31T16:20:11.97" personId="{D86A8136-FEF5-47EA-94E7-0409892A8F5E}" id="{3DE58E07-9F98-4567-840F-61E374A211CC}">
    <text>Increase by 12% since material is placed on a 2:1 slope but measured plan area was used.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5E06-0072-4946-9CF8-FCE52E999F94}">
  <sheetPr codeName="Sheet1"/>
  <dimension ref="B2:J39"/>
  <sheetViews>
    <sheetView tabSelected="1" workbookViewId="0">
      <selection activeCell="J38" sqref="J38"/>
    </sheetView>
  </sheetViews>
  <sheetFormatPr defaultRowHeight="15" x14ac:dyDescent="0.25"/>
  <cols>
    <col min="2" max="2" width="9" style="10" bestFit="1" customWidth="1"/>
    <col min="3" max="3" width="10.7109375" style="10" bestFit="1" customWidth="1"/>
    <col min="4" max="4" width="9" style="10" bestFit="1" customWidth="1"/>
    <col min="5" max="5" width="8.85546875" style="10"/>
    <col min="6" max="6" width="95.85546875" customWidth="1"/>
    <col min="7" max="10" width="12.42578125" style="10" customWidth="1"/>
  </cols>
  <sheetData>
    <row r="2" spans="2:10" ht="13.5" customHeight="1" x14ac:dyDescent="0.25">
      <c r="B2" s="66" t="s">
        <v>153</v>
      </c>
      <c r="C2" s="67"/>
      <c r="D2" s="67"/>
      <c r="E2" s="67"/>
      <c r="F2" s="67"/>
      <c r="G2" s="58" t="s">
        <v>151</v>
      </c>
      <c r="H2" s="59" t="s">
        <v>18</v>
      </c>
      <c r="I2" s="58" t="s">
        <v>149</v>
      </c>
      <c r="J2" s="60">
        <v>44589</v>
      </c>
    </row>
    <row r="3" spans="2:10" ht="13.5" customHeight="1" x14ac:dyDescent="0.25">
      <c r="B3" s="68"/>
      <c r="C3" s="69"/>
      <c r="D3" s="69"/>
      <c r="E3" s="69"/>
      <c r="F3" s="69"/>
      <c r="G3" s="58" t="s">
        <v>150</v>
      </c>
      <c r="H3" s="59" t="s">
        <v>143</v>
      </c>
      <c r="I3" s="58" t="s">
        <v>149</v>
      </c>
      <c r="J3" s="60">
        <v>44592</v>
      </c>
    </row>
    <row r="4" spans="2:10" ht="27" customHeight="1" x14ac:dyDescent="0.25">
      <c r="B4" s="59" t="s">
        <v>40</v>
      </c>
      <c r="C4" s="59" t="s">
        <v>41</v>
      </c>
      <c r="D4" s="59" t="s">
        <v>49</v>
      </c>
      <c r="E4" s="59" t="s">
        <v>42</v>
      </c>
      <c r="F4" s="61" t="s">
        <v>43</v>
      </c>
      <c r="G4" s="59" t="s">
        <v>44</v>
      </c>
      <c r="H4" s="59" t="s">
        <v>45</v>
      </c>
      <c r="I4" s="59" t="s">
        <v>46</v>
      </c>
      <c r="J4" s="59" t="s">
        <v>152</v>
      </c>
    </row>
    <row r="5" spans="2:10" ht="13.5" customHeight="1" x14ac:dyDescent="0.25">
      <c r="B5" s="62">
        <f>'Structure Removed'!A10</f>
        <v>202</v>
      </c>
      <c r="C5" s="59">
        <f>'Structure Removed'!B10</f>
        <v>11002</v>
      </c>
      <c r="D5" s="59"/>
      <c r="E5" s="59">
        <f>'Structure Removed'!D26</f>
        <v>0</v>
      </c>
      <c r="F5" s="63" t="str">
        <f>'Structure Removed'!D10</f>
        <v>STRUCTURE REMOVED, OVER 20 FOOT SPAN</v>
      </c>
      <c r="G5" s="59"/>
      <c r="H5" s="59"/>
      <c r="I5" s="59"/>
      <c r="J5" s="64"/>
    </row>
    <row r="6" spans="2:10" ht="13.5" customHeight="1" x14ac:dyDescent="0.25">
      <c r="B6" s="62">
        <f>'Wearing Removed'!A10</f>
        <v>202</v>
      </c>
      <c r="C6" s="59">
        <f>'Wearing Removed'!B10</f>
        <v>23500</v>
      </c>
      <c r="D6" s="59">
        <f>'Wearing Removed'!D15</f>
        <v>109</v>
      </c>
      <c r="E6" s="59" t="str">
        <f>'Wearing Removed'!C10</f>
        <v>SY</v>
      </c>
      <c r="F6" s="63" t="str">
        <f>'Wearing Removed'!D10</f>
        <v>WEARING COURSE REMOVED</v>
      </c>
      <c r="G6" s="59"/>
      <c r="H6" s="59"/>
      <c r="I6" s="59">
        <f>D6</f>
        <v>109</v>
      </c>
      <c r="J6" s="59"/>
    </row>
    <row r="7" spans="2:10" ht="13.5" customHeight="1" x14ac:dyDescent="0.25">
      <c r="B7" s="62"/>
      <c r="C7" s="59"/>
      <c r="D7" s="59"/>
      <c r="E7" s="59"/>
      <c r="F7" s="63"/>
      <c r="G7" s="59"/>
      <c r="H7" s="59"/>
      <c r="I7" s="59"/>
      <c r="J7" s="59"/>
    </row>
    <row r="8" spans="2:10" ht="13.5" customHeight="1" x14ac:dyDescent="0.25">
      <c r="B8" s="62">
        <f>'Unclassified Excavation'!A10</f>
        <v>503</v>
      </c>
      <c r="C8" s="59">
        <f>'Unclassified Excavation'!B10</f>
        <v>21100</v>
      </c>
      <c r="D8" s="59">
        <f>'Unclassified Excavation'!D68</f>
        <v>279</v>
      </c>
      <c r="E8" s="59" t="str">
        <f>'Unclassified Excavation'!C10</f>
        <v>CY</v>
      </c>
      <c r="F8" s="63" t="str">
        <f>'Unclassified Excavation'!D10</f>
        <v>UNCLASSIFIED EXCAVATION</v>
      </c>
      <c r="G8" s="59">
        <f>D8</f>
        <v>279</v>
      </c>
      <c r="H8" s="59"/>
      <c r="I8" s="59"/>
      <c r="J8" s="59"/>
    </row>
    <row r="9" spans="2:10" ht="13.5" customHeight="1" x14ac:dyDescent="0.25">
      <c r="B9" s="62">
        <f>'Shale Excavation'!A10</f>
        <v>503</v>
      </c>
      <c r="C9" s="59">
        <f>'Shale Excavation'!B10</f>
        <v>31120</v>
      </c>
      <c r="D9" s="59">
        <f>'Shale Excavation'!D25</f>
        <v>86</v>
      </c>
      <c r="E9" s="59" t="str">
        <f>'Shale Excavation'!C10</f>
        <v>CY</v>
      </c>
      <c r="F9" s="63" t="str">
        <f>'Shale Excavation'!D10</f>
        <v>SHALE EXCAVATION</v>
      </c>
      <c r="G9" s="59">
        <f>D9</f>
        <v>86</v>
      </c>
      <c r="H9" s="59"/>
      <c r="I9" s="59"/>
      <c r="J9" s="59"/>
    </row>
    <row r="10" spans="2:10" ht="13.5" customHeight="1" x14ac:dyDescent="0.25">
      <c r="B10" s="62"/>
      <c r="C10" s="59"/>
      <c r="D10" s="59"/>
      <c r="E10" s="59"/>
      <c r="F10" s="63"/>
      <c r="G10" s="59"/>
      <c r="H10" s="59"/>
      <c r="I10" s="59"/>
      <c r="J10" s="59"/>
    </row>
    <row r="11" spans="2:10" ht="13.5" customHeight="1" x14ac:dyDescent="0.25">
      <c r="B11" s="62">
        <f>'Reinforcing Steel'!A10</f>
        <v>509</v>
      </c>
      <c r="C11" s="59">
        <f>'Reinforcing Steel'!B10</f>
        <v>10000</v>
      </c>
      <c r="D11" s="65">
        <f>'Reinforcing Steel'!D15</f>
        <v>29951</v>
      </c>
      <c r="E11" s="59" t="str">
        <f>'Reinforcing Steel'!C10</f>
        <v>LB</v>
      </c>
      <c r="F11" s="63" t="str">
        <f>'Reinforcing Steel'!D10</f>
        <v>EPOXY COATED STEEL REINFORCEMENT</v>
      </c>
      <c r="G11" s="65">
        <f>'Reinforcing Steel'!D13</f>
        <v>21121</v>
      </c>
      <c r="H11" s="65">
        <f>'Reinforcing Steel'!D12</f>
        <v>8830</v>
      </c>
      <c r="I11" s="59"/>
      <c r="J11" s="59"/>
    </row>
    <row r="12" spans="2:10" ht="13.5" customHeight="1" x14ac:dyDescent="0.25">
      <c r="B12" s="62"/>
      <c r="C12" s="59"/>
      <c r="D12" s="59"/>
      <c r="E12" s="59"/>
      <c r="F12" s="63"/>
      <c r="G12" s="59"/>
      <c r="H12" s="59"/>
      <c r="I12" s="59"/>
      <c r="J12" s="59"/>
    </row>
    <row r="13" spans="2:10" ht="13.5" customHeight="1" x14ac:dyDescent="0.25">
      <c r="B13" s="62">
        <f>Deck!A10</f>
        <v>511</v>
      </c>
      <c r="C13" s="59">
        <f>Deck!B10</f>
        <v>34446</v>
      </c>
      <c r="D13" s="59">
        <f>Deck!D54</f>
        <v>65</v>
      </c>
      <c r="E13" s="59" t="str">
        <f>Deck!C10</f>
        <v>CY</v>
      </c>
      <c r="F13" s="63" t="str">
        <f>Deck!D10</f>
        <v>CLASS QC2 CONCRETE WITH QC/QA, BRIDGE DECK</v>
      </c>
      <c r="G13" s="59"/>
      <c r="H13" s="59">
        <f>D13</f>
        <v>65</v>
      </c>
      <c r="I13" s="59"/>
      <c r="J13" s="59"/>
    </row>
    <row r="14" spans="2:10" ht="13.5" customHeight="1" x14ac:dyDescent="0.25">
      <c r="B14" s="62">
        <f>Abutment!A10</f>
        <v>511</v>
      </c>
      <c r="C14" s="59">
        <f>Abutment!B10</f>
        <v>44112</v>
      </c>
      <c r="D14" s="62">
        <f>Abutment!D85</f>
        <v>154.17801500000007</v>
      </c>
      <c r="E14" s="59" t="str">
        <f>Abutment!C10</f>
        <v>CY</v>
      </c>
      <c r="F14" s="63" t="str">
        <f>Abutment!D10</f>
        <v>CLASS QC1 CONCRETE WITH QC/QA, ABUTMENT NOT INCLUDING FOOTING</v>
      </c>
      <c r="G14" s="62">
        <f>D14</f>
        <v>154.17801500000007</v>
      </c>
      <c r="H14" s="59"/>
      <c r="I14" s="59"/>
      <c r="J14" s="59"/>
    </row>
    <row r="15" spans="2:10" ht="13.5" customHeight="1" x14ac:dyDescent="0.25">
      <c r="B15" s="62">
        <f>Footing!A10</f>
        <v>511</v>
      </c>
      <c r="C15" s="59">
        <f>Footing!B10</f>
        <v>46512</v>
      </c>
      <c r="D15" s="59">
        <f>Footing!D25</f>
        <v>77</v>
      </c>
      <c r="E15" s="59" t="str">
        <f>Footing!C10</f>
        <v>CY</v>
      </c>
      <c r="F15" s="63" t="str">
        <f>Footing!D10</f>
        <v>CLASS QC1 CONCRETE WITH QC/QA, FOOTING</v>
      </c>
      <c r="G15" s="59">
        <f>D15</f>
        <v>77</v>
      </c>
      <c r="H15" s="59"/>
      <c r="I15" s="59"/>
      <c r="J15" s="59"/>
    </row>
    <row r="16" spans="2:10" ht="13.5" customHeight="1" x14ac:dyDescent="0.25">
      <c r="B16" s="62"/>
      <c r="C16" s="59"/>
      <c r="D16" s="59"/>
      <c r="E16" s="59"/>
      <c r="F16" s="63"/>
      <c r="G16" s="59"/>
      <c r="H16" s="59"/>
      <c r="I16" s="59"/>
      <c r="J16" s="59"/>
    </row>
    <row r="17" spans="2:10" ht="13.5" customHeight="1" x14ac:dyDescent="0.25">
      <c r="B17" s="62">
        <f>Sealing!A10</f>
        <v>512</v>
      </c>
      <c r="C17" s="59">
        <f>Sealing!B10</f>
        <v>10100</v>
      </c>
      <c r="D17" s="59">
        <f>Sealing!D114</f>
        <v>248</v>
      </c>
      <c r="E17" s="59" t="str">
        <f>Sealing!C10</f>
        <v>SY</v>
      </c>
      <c r="F17" s="63" t="str">
        <f>Sealing!D10</f>
        <v>SEALING OF CONCRETE SURFACES (EPOXY-URETHANE)</v>
      </c>
      <c r="G17" s="59">
        <f>Sealing!E112</f>
        <v>205</v>
      </c>
      <c r="H17" s="59">
        <f>Sealing!E17</f>
        <v>43</v>
      </c>
      <c r="I17" s="59"/>
      <c r="J17" s="59"/>
    </row>
    <row r="18" spans="2:10" ht="13.5" customHeight="1" x14ac:dyDescent="0.25">
      <c r="B18" s="62"/>
      <c r="C18" s="59"/>
      <c r="D18" s="59"/>
      <c r="E18" s="59"/>
      <c r="F18" s="63"/>
      <c r="G18" s="59"/>
      <c r="H18" s="59"/>
      <c r="I18" s="59"/>
      <c r="J18" s="59"/>
    </row>
    <row r="19" spans="2:10" ht="13.5" customHeight="1" x14ac:dyDescent="0.25">
      <c r="B19" s="62">
        <f>Beams!A10</f>
        <v>515</v>
      </c>
      <c r="C19" s="59">
        <f>Beams!B10</f>
        <v>12050</v>
      </c>
      <c r="D19" s="62">
        <f>Beams!D14</f>
        <v>8</v>
      </c>
      <c r="E19" s="59" t="str">
        <f>Beams!C10</f>
        <v>EACH</v>
      </c>
      <c r="F19" s="63" t="str">
        <f>Beams!D10</f>
        <v>PRESTRESSED CONCRETE COMPOSITE BOX BEAM BRIDGE MEMBERS, LEVEL 1, CB21-48 (63'-1 7/8" BEAM LENGTH)</v>
      </c>
      <c r="G19" s="59"/>
      <c r="H19" s="62">
        <f>D19</f>
        <v>8</v>
      </c>
      <c r="I19" s="59"/>
      <c r="J19" s="59"/>
    </row>
    <row r="20" spans="2:10" ht="13.15" customHeight="1" x14ac:dyDescent="0.25">
      <c r="B20" s="62"/>
      <c r="C20" s="59"/>
      <c r="D20" s="59"/>
      <c r="E20" s="59"/>
      <c r="F20" s="63"/>
      <c r="G20" s="59"/>
      <c r="H20" s="59"/>
      <c r="I20" s="59"/>
      <c r="J20" s="59"/>
    </row>
    <row r="21" spans="2:10" ht="13.5" customHeight="1" x14ac:dyDescent="0.25">
      <c r="B21" s="62">
        <f>'2" PEJF'!A10</f>
        <v>516</v>
      </c>
      <c r="C21" s="59">
        <f>'2" PEJF'!B10</f>
        <v>13900</v>
      </c>
      <c r="D21" s="59">
        <f>'2" PEJF'!D39</f>
        <v>37</v>
      </c>
      <c r="E21" s="59" t="str">
        <f>'2" PEJF'!C10</f>
        <v>SF</v>
      </c>
      <c r="F21" s="63" t="str">
        <f>'2" PEJF'!D10</f>
        <v>2" PREFORMED EXPANSION JOINT FILLER</v>
      </c>
      <c r="G21" s="59">
        <f>D21</f>
        <v>37</v>
      </c>
      <c r="H21" s="59"/>
      <c r="I21" s="59"/>
      <c r="J21" s="59"/>
    </row>
    <row r="22" spans="2:10" ht="13.5" customHeight="1" x14ac:dyDescent="0.25">
      <c r="B22" s="62">
        <f>'Semi-Int Exp Jt Seal'!A10</f>
        <v>516</v>
      </c>
      <c r="C22" s="59">
        <f>'Semi-Int Exp Jt Seal'!B10</f>
        <v>14020</v>
      </c>
      <c r="D22" s="59">
        <f>'Semi-Int Exp Jt Seal'!D19</f>
        <v>81</v>
      </c>
      <c r="E22" s="59" t="str">
        <f>'Semi-Int Exp Jt Seal'!C10</f>
        <v>FT</v>
      </c>
      <c r="F22" s="63" t="str">
        <f>'Semi-Int Exp Jt Seal'!D10</f>
        <v>SEMI-INTEGRAL ABUTMENT EXPANSION JOINT SEAL</v>
      </c>
      <c r="G22" s="59">
        <f>D22</f>
        <v>81</v>
      </c>
      <c r="H22" s="59"/>
      <c r="I22" s="59"/>
      <c r="J22" s="59"/>
    </row>
    <row r="23" spans="2:10" ht="13.5" customHeight="1" x14ac:dyDescent="0.25">
      <c r="B23" s="62">
        <f>'Bearing Pad'!A10</f>
        <v>516</v>
      </c>
      <c r="C23" s="59">
        <f>'Bearing Pad'!B10</f>
        <v>41100</v>
      </c>
      <c r="D23" s="59">
        <f>'Bearing Pad'!D15</f>
        <v>16</v>
      </c>
      <c r="E23" s="59" t="str">
        <f>'Bearing Pad'!C10</f>
        <v>EACH</v>
      </c>
      <c r="F23" s="63" t="str">
        <f>'Bearing Pad'!D10</f>
        <v>1/8" PREFORMED BEARING PAD</v>
      </c>
      <c r="G23" s="59">
        <f>D23</f>
        <v>16</v>
      </c>
      <c r="H23" s="59"/>
      <c r="I23" s="59"/>
      <c r="J23" s="64" t="s">
        <v>160</v>
      </c>
    </row>
    <row r="24" spans="2:10" ht="13.5" customHeight="1" x14ac:dyDescent="0.25">
      <c r="B24" s="62">
        <f>Bearings!A10</f>
        <v>516</v>
      </c>
      <c r="C24" s="59">
        <f>Bearings!B10</f>
        <v>43100</v>
      </c>
      <c r="D24" s="59">
        <f>Bearings!D15</f>
        <v>32</v>
      </c>
      <c r="E24" s="59" t="str">
        <f>Bearings!C10</f>
        <v>EACH</v>
      </c>
      <c r="F24" s="63" t="str">
        <f>Bearings!D10</f>
        <v>ELASTOMERIC BEARING WITH INTERNAL LAMINATES ONLY (NEOPRENE), 7"x14"X1.474"</v>
      </c>
      <c r="G24" s="59">
        <f>D24</f>
        <v>32</v>
      </c>
      <c r="H24" s="59"/>
      <c r="I24" s="59"/>
      <c r="J24" s="64"/>
    </row>
    <row r="25" spans="2:10" ht="13.5" customHeight="1" x14ac:dyDescent="0.25">
      <c r="B25" s="62"/>
      <c r="C25" s="59"/>
      <c r="D25" s="59"/>
      <c r="E25" s="59"/>
      <c r="F25" s="63"/>
      <c r="G25" s="59"/>
      <c r="H25" s="59"/>
      <c r="I25" s="59"/>
      <c r="J25" s="59"/>
    </row>
    <row r="26" spans="2:10" ht="13.5" customHeight="1" x14ac:dyDescent="0.25">
      <c r="B26" s="62">
        <f>'TST Railing'!A10</f>
        <v>517</v>
      </c>
      <c r="C26" s="59">
        <f>'TST Railing'!B10</f>
        <v>70101</v>
      </c>
      <c r="D26" s="62">
        <f>'TST Railing'!D15</f>
        <v>140</v>
      </c>
      <c r="E26" s="59" t="str">
        <f>'TST Railing'!C10</f>
        <v>FT</v>
      </c>
      <c r="F26" s="63" t="str">
        <f>'TST Railing'!D10</f>
        <v>RAILING (THREE STEEL TUBE BRIDGE RAILING), AS PER PLAN</v>
      </c>
      <c r="G26" s="59"/>
      <c r="H26" s="62">
        <f>D26</f>
        <v>140</v>
      </c>
      <c r="I26" s="59"/>
      <c r="J26" s="64" t="s">
        <v>160</v>
      </c>
    </row>
    <row r="27" spans="2:10" ht="13.5" customHeight="1" x14ac:dyDescent="0.25">
      <c r="B27" s="62"/>
      <c r="C27" s="59"/>
      <c r="D27" s="59"/>
      <c r="E27" s="59"/>
      <c r="F27" s="63"/>
      <c r="G27" s="59"/>
      <c r="H27" s="59"/>
      <c r="I27" s="59"/>
      <c r="J27" s="59"/>
    </row>
    <row r="28" spans="2:10" ht="13.15" customHeight="1" x14ac:dyDescent="0.25">
      <c r="B28" s="62">
        <f>'Porous Backfill'!A10</f>
        <v>518</v>
      </c>
      <c r="C28" s="59">
        <f>'Porous Backfill'!B10</f>
        <v>21200</v>
      </c>
      <c r="D28" s="59">
        <f>'Porous Backfill'!D105</f>
        <v>128</v>
      </c>
      <c r="E28" s="59" t="str">
        <f>'Porous Backfill'!C10</f>
        <v>CY</v>
      </c>
      <c r="F28" s="63" t="str">
        <f>'Porous Backfill'!D10</f>
        <v>POROUS BACKFILL WITH GEOTEXTILE FABRIC</v>
      </c>
      <c r="G28" s="59">
        <f>D28</f>
        <v>128</v>
      </c>
      <c r="H28" s="59"/>
      <c r="I28" s="59"/>
      <c r="J28" s="59"/>
    </row>
    <row r="29" spans="2:10" ht="13.15" customHeight="1" x14ac:dyDescent="0.25">
      <c r="B29" s="62" t="str">
        <f>'Drip Strip'!A10</f>
        <v>SPECIAL</v>
      </c>
      <c r="C29" s="59">
        <f>'Drip Strip'!B10</f>
        <v>51822300</v>
      </c>
      <c r="D29" s="59">
        <f>'Drip Strip'!D14</f>
        <v>131</v>
      </c>
      <c r="E29" s="59" t="str">
        <f>'Drip Strip'!C10</f>
        <v>FT</v>
      </c>
      <c r="F29" s="63" t="str">
        <f>'Drip Strip'!D10</f>
        <v>STEEL DRIP STRIP</v>
      </c>
      <c r="G29" s="59"/>
      <c r="H29" s="59">
        <f>D29</f>
        <v>131</v>
      </c>
      <c r="I29" s="59"/>
      <c r="J29" s="59"/>
    </row>
    <row r="30" spans="2:10" ht="13.15" customHeight="1" x14ac:dyDescent="0.25">
      <c r="B30" s="62">
        <f>'6"PCPP'!A10</f>
        <v>518</v>
      </c>
      <c r="C30" s="59">
        <f>'6"PCPP'!B10</f>
        <v>40000</v>
      </c>
      <c r="D30" s="59">
        <f>'6"PCPP'!D18</f>
        <v>143</v>
      </c>
      <c r="E30" s="59" t="str">
        <f>'6"PCPP'!C10</f>
        <v>FT</v>
      </c>
      <c r="F30" s="63" t="str">
        <f>'6"PCPP'!D10</f>
        <v>6" PERFORATED CORRUGATED PLASTIC PIPE</v>
      </c>
      <c r="G30" s="59">
        <f>D30</f>
        <v>143</v>
      </c>
      <c r="H30" s="59"/>
      <c r="I30" s="59"/>
      <c r="J30" s="59"/>
    </row>
    <row r="31" spans="2:10" ht="13.5" customHeight="1" x14ac:dyDescent="0.25">
      <c r="B31" s="62">
        <f>'6"NPCPP'!A10</f>
        <v>518</v>
      </c>
      <c r="C31" s="59">
        <f>'6"NPCPP'!B10</f>
        <v>40012</v>
      </c>
      <c r="D31" s="59">
        <f>'6"NPCPP'!D20</f>
        <v>105</v>
      </c>
      <c r="E31" s="59" t="str">
        <f>'6"NPCPP'!C10</f>
        <v>FT</v>
      </c>
      <c r="F31" s="63" t="str">
        <f>'6"NPCPP'!D10</f>
        <v>6" NON-PERFORATED CORRUGATED PLASTIC PIPE</v>
      </c>
      <c r="G31" s="59">
        <f>D31</f>
        <v>105</v>
      </c>
      <c r="H31" s="59"/>
      <c r="I31" s="59"/>
      <c r="J31" s="59"/>
    </row>
    <row r="32" spans="2:10" ht="13.5" customHeight="1" x14ac:dyDescent="0.25">
      <c r="B32" s="62"/>
      <c r="C32" s="59"/>
      <c r="D32" s="59"/>
      <c r="E32" s="59"/>
      <c r="F32" s="63"/>
      <c r="G32" s="59"/>
      <c r="H32" s="59"/>
      <c r="I32" s="59"/>
      <c r="J32" s="59"/>
    </row>
    <row r="33" spans="2:10" ht="13.5" customHeight="1" x14ac:dyDescent="0.25">
      <c r="B33" s="62">
        <f>'Drilled Shafts'!A10</f>
        <v>524</v>
      </c>
      <c r="C33" s="59">
        <f>'Drilled Shafts'!B10</f>
        <v>94804</v>
      </c>
      <c r="D33" s="62">
        <f>'Drilled Shafts'!D25</f>
        <v>100</v>
      </c>
      <c r="E33" s="59" t="str">
        <f>'Drilled Shafts'!C10</f>
        <v>FT</v>
      </c>
      <c r="F33" s="63" t="str">
        <f>'Drilled Shafts'!D10</f>
        <v>DRILLED SHAFTS, 42" DIAMETER, INTO BEDROCK</v>
      </c>
      <c r="G33" s="62">
        <f>D33</f>
        <v>100</v>
      </c>
      <c r="H33" s="59"/>
      <c r="I33" s="59"/>
      <c r="J33" s="59"/>
    </row>
    <row r="34" spans="2:10" ht="13.5" customHeight="1" x14ac:dyDescent="0.25">
      <c r="B34" s="62"/>
      <c r="C34" s="59"/>
      <c r="D34" s="59"/>
      <c r="E34" s="59"/>
      <c r="F34" s="63"/>
      <c r="G34" s="59"/>
      <c r="H34" s="59"/>
      <c r="I34" s="59"/>
      <c r="J34" s="59"/>
    </row>
    <row r="35" spans="2:10" ht="13.5" customHeight="1" x14ac:dyDescent="0.25">
      <c r="B35" s="62">
        <f>'Approach Slab'!A10</f>
        <v>526</v>
      </c>
      <c r="C35" s="59">
        <f>'Approach Slab'!B10</f>
        <v>30010</v>
      </c>
      <c r="D35" s="59">
        <f>'Approach Slab'!D18</f>
        <v>215</v>
      </c>
      <c r="E35" s="59" t="str">
        <f>'Approach Slab'!C10</f>
        <v>SY</v>
      </c>
      <c r="F35" s="63" t="str">
        <f>'Approach Slab'!D10</f>
        <v>REINFORCED CONCRETE APPROACH SLABS WITH QC/QA (T=17")</v>
      </c>
      <c r="G35" s="59"/>
      <c r="H35" s="59"/>
      <c r="I35" s="59">
        <f>D35</f>
        <v>215</v>
      </c>
      <c r="J35" s="59"/>
    </row>
    <row r="36" spans="2:10" ht="13.5" customHeight="1" x14ac:dyDescent="0.25">
      <c r="B36" s="62">
        <f>'Type A Installation'!A10</f>
        <v>526</v>
      </c>
      <c r="C36" s="59">
        <f>'Type A Installation'!B10</f>
        <v>90011</v>
      </c>
      <c r="D36" s="59">
        <f>'Type A Installation'!D18</f>
        <v>75</v>
      </c>
      <c r="E36" s="59" t="str">
        <f>'Type A Installation'!C10</f>
        <v>FT</v>
      </c>
      <c r="F36" s="63" t="str">
        <f>'Type A Installation'!D10</f>
        <v>TYPE A INSTALLATION, AS PER PLAN</v>
      </c>
      <c r="G36" s="59"/>
      <c r="H36" s="59"/>
      <c r="I36" s="59">
        <f>D36</f>
        <v>75</v>
      </c>
      <c r="J36" s="64" t="s">
        <v>160</v>
      </c>
    </row>
    <row r="37" spans="2:10" ht="13.5" customHeight="1" x14ac:dyDescent="0.25">
      <c r="B37" s="62"/>
      <c r="C37" s="59"/>
      <c r="D37" s="59"/>
      <c r="E37" s="59"/>
      <c r="F37" s="63"/>
      <c r="G37" s="59"/>
      <c r="H37" s="59"/>
      <c r="I37" s="59"/>
      <c r="J37" s="59"/>
    </row>
    <row r="38" spans="2:10" ht="13.5" customHeight="1" x14ac:dyDescent="0.25">
      <c r="B38" s="62">
        <f>RCP!A10</f>
        <v>601</v>
      </c>
      <c r="C38" s="59">
        <f>RCP!B10</f>
        <v>32104</v>
      </c>
      <c r="D38" s="59">
        <f>RCP!D20</f>
        <v>164</v>
      </c>
      <c r="E38" s="59" t="str">
        <f>RCP!C10</f>
        <v>CY</v>
      </c>
      <c r="F38" s="63" t="str">
        <f>RCP!D10</f>
        <v>ROCK CHANNEL PROTECTION, TYPE B WITH GEOTEXTILE FABRIC</v>
      </c>
      <c r="G38" s="59">
        <f>D38</f>
        <v>164</v>
      </c>
      <c r="H38" s="59"/>
      <c r="I38" s="59"/>
      <c r="J38" s="59"/>
    </row>
    <row r="39" spans="2:10" ht="13.5" customHeight="1" x14ac:dyDescent="0.25"/>
  </sheetData>
  <mergeCells count="1">
    <mergeCell ref="B2:F3"/>
  </mergeCells>
  <phoneticPr fontId="5" type="noConversion"/>
  <pageMargins left="0.7" right="0.7" top="0.75" bottom="0.75" header="0.3" footer="0.3"/>
  <pageSetup scale="80" fitToWidth="2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5FFD-3F1E-48A5-A73C-F51E758CEE29}">
  <sheetPr codeName="Sheet8">
    <tabColor rgb="FF00B050"/>
    <pageSetUpPr fitToPage="1"/>
  </sheetPr>
  <dimension ref="A1:H64"/>
  <sheetViews>
    <sheetView topLeftCell="A2" workbookViewId="0">
      <selection activeCell="H37" sqref="H37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142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511</v>
      </c>
      <c r="B10" s="29">
        <v>46512</v>
      </c>
      <c r="C10" s="29" t="s">
        <v>14</v>
      </c>
      <c r="D10" s="28" t="s">
        <v>163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52</v>
      </c>
      <c r="D13" s="5">
        <v>383.65699999999998</v>
      </c>
      <c r="H13" s="1"/>
    </row>
    <row r="14" spans="1:8" x14ac:dyDescent="0.25">
      <c r="A14" s="3"/>
      <c r="C14" s="4" t="s">
        <v>53</v>
      </c>
      <c r="D14" s="36"/>
      <c r="H14" s="1"/>
    </row>
    <row r="15" spans="1:8" x14ac:dyDescent="0.25">
      <c r="A15" s="3"/>
      <c r="C15" s="4" t="s">
        <v>54</v>
      </c>
      <c r="D15" s="39">
        <v>3</v>
      </c>
      <c r="H15" s="1"/>
    </row>
    <row r="16" spans="1:8" x14ac:dyDescent="0.25">
      <c r="A16" s="3"/>
      <c r="C16" s="4" t="s">
        <v>32</v>
      </c>
      <c r="D16" s="40">
        <f>D13*D15/27</f>
        <v>42.628555555555558</v>
      </c>
      <c r="H16" s="1"/>
    </row>
    <row r="17" spans="1:8" x14ac:dyDescent="0.25">
      <c r="A17" s="3"/>
      <c r="C17" s="4"/>
      <c r="D17" s="34"/>
      <c r="H17" s="1"/>
    </row>
    <row r="18" spans="1:8" x14ac:dyDescent="0.25">
      <c r="A18" s="3"/>
      <c r="C18" s="4"/>
      <c r="D18" s="15"/>
      <c r="H18" s="1"/>
    </row>
    <row r="19" spans="1:8" x14ac:dyDescent="0.25">
      <c r="A19" s="3"/>
      <c r="C19" s="37" t="s">
        <v>31</v>
      </c>
      <c r="D19" s="5"/>
      <c r="H19" s="1"/>
    </row>
    <row r="20" spans="1:8" x14ac:dyDescent="0.25">
      <c r="A20" s="3"/>
      <c r="C20" s="4" t="s">
        <v>52</v>
      </c>
      <c r="D20" s="5">
        <v>301.26100000000002</v>
      </c>
      <c r="H20" s="1"/>
    </row>
    <row r="21" spans="1:8" x14ac:dyDescent="0.25">
      <c r="A21" s="3"/>
      <c r="C21" s="4" t="s">
        <v>53</v>
      </c>
      <c r="D21" s="36"/>
      <c r="H21" s="1"/>
    </row>
    <row r="22" spans="1:8" x14ac:dyDescent="0.25">
      <c r="A22" s="3"/>
      <c r="C22" s="4" t="s">
        <v>54</v>
      </c>
      <c r="D22" s="39">
        <v>3</v>
      </c>
      <c r="H22" s="1"/>
    </row>
    <row r="23" spans="1:8" x14ac:dyDescent="0.25">
      <c r="A23" s="3"/>
      <c r="C23" s="4" t="s">
        <v>32</v>
      </c>
      <c r="D23" s="40">
        <f>D20*D22/27</f>
        <v>33.473444444444446</v>
      </c>
      <c r="H23" s="1"/>
    </row>
    <row r="24" spans="1:8" x14ac:dyDescent="0.25">
      <c r="A24" s="3"/>
      <c r="C24" s="4"/>
      <c r="D24" s="15"/>
      <c r="H24" s="1"/>
    </row>
    <row r="25" spans="1:8" x14ac:dyDescent="0.25">
      <c r="A25" s="3"/>
      <c r="C25" s="4" t="s">
        <v>8</v>
      </c>
      <c r="D25" s="40">
        <f>ROUNDUP(D16+D23,0)</f>
        <v>77</v>
      </c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9CA1-A900-4F67-A2BF-B01D40A99D43}">
  <sheetPr codeName="Sheet3">
    <tabColor rgb="FF00B050"/>
    <pageSetUpPr fitToPage="1"/>
  </sheetPr>
  <dimension ref="A1:I64"/>
  <sheetViews>
    <sheetView workbookViewId="0">
      <selection activeCell="B1" sqref="B1"/>
    </sheetView>
  </sheetViews>
  <sheetFormatPr defaultRowHeight="15" x14ac:dyDescent="0.25"/>
  <cols>
    <col min="1" max="7" width="15.28515625" customWidth="1"/>
    <col min="8" max="8" width="49" customWidth="1"/>
  </cols>
  <sheetData>
    <row r="1" spans="1:9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9" x14ac:dyDescent="0.25">
      <c r="A2" s="3"/>
      <c r="H2" s="1"/>
    </row>
    <row r="3" spans="1:9" x14ac:dyDescent="0.25">
      <c r="A3" s="3"/>
      <c r="H3" s="1"/>
    </row>
    <row r="4" spans="1:9" x14ac:dyDescent="0.25">
      <c r="A4" s="19" t="s">
        <v>2</v>
      </c>
      <c r="B4" s="11">
        <v>10008</v>
      </c>
      <c r="H4" s="1"/>
    </row>
    <row r="5" spans="1:9" x14ac:dyDescent="0.25">
      <c r="A5" s="19" t="s">
        <v>0</v>
      </c>
      <c r="B5" s="13" t="s">
        <v>21</v>
      </c>
      <c r="H5" s="1"/>
    </row>
    <row r="6" spans="1:9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9" x14ac:dyDescent="0.25">
      <c r="A7" s="19" t="s">
        <v>9</v>
      </c>
      <c r="B7" s="26" t="s">
        <v>17</v>
      </c>
      <c r="E7" s="12" t="s">
        <v>6</v>
      </c>
      <c r="F7" s="13" t="s">
        <v>142</v>
      </c>
      <c r="G7" s="12" t="s">
        <v>5</v>
      </c>
      <c r="H7" s="20">
        <v>44592</v>
      </c>
    </row>
    <row r="8" spans="1:9" x14ac:dyDescent="0.25">
      <c r="A8" s="21"/>
      <c r="B8" s="22"/>
      <c r="C8" s="7"/>
      <c r="D8" s="7"/>
      <c r="E8" s="12" t="s">
        <v>154</v>
      </c>
      <c r="F8" s="13" t="s">
        <v>142</v>
      </c>
      <c r="G8" s="12" t="s">
        <v>5</v>
      </c>
      <c r="H8" s="20">
        <v>44804</v>
      </c>
      <c r="I8" s="13"/>
    </row>
    <row r="9" spans="1:9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9" x14ac:dyDescent="0.25">
      <c r="A10" s="30">
        <v>515</v>
      </c>
      <c r="B10" s="29">
        <v>12050</v>
      </c>
      <c r="C10" s="29" t="s">
        <v>15</v>
      </c>
      <c r="D10" s="28" t="s">
        <v>159</v>
      </c>
      <c r="E10" s="24"/>
      <c r="F10" s="24"/>
      <c r="G10" s="24"/>
      <c r="H10" s="25"/>
    </row>
    <row r="11" spans="1:9" x14ac:dyDescent="0.25">
      <c r="A11" s="2"/>
      <c r="H11" s="1"/>
    </row>
    <row r="12" spans="1:9" x14ac:dyDescent="0.25">
      <c r="A12" s="3"/>
      <c r="C12" s="4" t="s">
        <v>24</v>
      </c>
      <c r="D12" s="32">
        <v>8</v>
      </c>
      <c r="E12" t="s">
        <v>15</v>
      </c>
      <c r="H12" s="1"/>
    </row>
    <row r="13" spans="1:9" x14ac:dyDescent="0.25">
      <c r="A13" s="3"/>
      <c r="D13" s="14"/>
      <c r="H13" s="1"/>
    </row>
    <row r="14" spans="1:9" x14ac:dyDescent="0.25">
      <c r="A14" s="3"/>
      <c r="C14" s="4" t="s">
        <v>8</v>
      </c>
      <c r="D14" s="33">
        <f>D12</f>
        <v>8</v>
      </c>
      <c r="E14" t="s">
        <v>15</v>
      </c>
      <c r="H14" s="1"/>
    </row>
    <row r="15" spans="1:9" x14ac:dyDescent="0.25">
      <c r="A15" s="3"/>
      <c r="H15" s="1"/>
    </row>
    <row r="16" spans="1:9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5812-5F87-4EDE-A3D0-4F66B8F70431}">
  <sheetPr codeName="Sheet13">
    <tabColor rgb="FF00B050"/>
    <pageSetUpPr fitToPage="1"/>
  </sheetPr>
  <dimension ref="A1:H81"/>
  <sheetViews>
    <sheetView workbookViewId="0">
      <selection activeCell="D15" sqref="D15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516</v>
      </c>
      <c r="B10" s="29">
        <v>13900</v>
      </c>
      <c r="C10" s="29" t="s">
        <v>16</v>
      </c>
      <c r="D10" s="28" t="s">
        <v>36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1" t="s">
        <v>102</v>
      </c>
      <c r="D13" s="5"/>
      <c r="H13" s="1"/>
    </row>
    <row r="14" spans="1:8" x14ac:dyDescent="0.25">
      <c r="A14" s="3"/>
      <c r="C14" s="4" t="s">
        <v>30</v>
      </c>
      <c r="D14" s="39">
        <v>3.464</v>
      </c>
      <c r="H14" s="1"/>
    </row>
    <row r="15" spans="1:8" x14ac:dyDescent="0.25">
      <c r="A15" s="3"/>
      <c r="C15" s="4" t="s">
        <v>100</v>
      </c>
      <c r="D15" s="34">
        <v>769.99</v>
      </c>
      <c r="H15" s="1"/>
    </row>
    <row r="16" spans="1:8" x14ac:dyDescent="0.25">
      <c r="A16" s="3"/>
      <c r="C16" s="4" t="s">
        <v>101</v>
      </c>
      <c r="D16" s="34">
        <v>767.5</v>
      </c>
      <c r="H16" s="1"/>
    </row>
    <row r="17" spans="1:8" x14ac:dyDescent="0.25">
      <c r="A17" s="3"/>
      <c r="C17" s="4" t="s">
        <v>103</v>
      </c>
      <c r="D17" s="5">
        <f>(D15-D16)*D14</f>
        <v>8.6253600000000308</v>
      </c>
      <c r="H17" s="1"/>
    </row>
    <row r="18" spans="1:8" x14ac:dyDescent="0.25">
      <c r="A18" s="3"/>
      <c r="D18" s="14"/>
      <c r="H18" s="1"/>
    </row>
    <row r="19" spans="1:8" x14ac:dyDescent="0.25">
      <c r="A19" s="3"/>
      <c r="C19" s="41" t="s">
        <v>104</v>
      </c>
      <c r="D19" s="5"/>
      <c r="H19" s="1"/>
    </row>
    <row r="20" spans="1:8" x14ac:dyDescent="0.25">
      <c r="A20" s="3"/>
      <c r="C20" s="4" t="s">
        <v>30</v>
      </c>
      <c r="D20" s="39">
        <v>3.464</v>
      </c>
      <c r="H20" s="1"/>
    </row>
    <row r="21" spans="1:8" x14ac:dyDescent="0.25">
      <c r="A21" s="3"/>
      <c r="C21" s="4" t="s">
        <v>100</v>
      </c>
      <c r="D21" s="34">
        <v>770.2</v>
      </c>
      <c r="H21" s="1"/>
    </row>
    <row r="22" spans="1:8" x14ac:dyDescent="0.25">
      <c r="A22" s="3"/>
      <c r="C22" s="4" t="s">
        <v>101</v>
      </c>
      <c r="D22" s="34">
        <v>767.3</v>
      </c>
      <c r="H22" s="1"/>
    </row>
    <row r="23" spans="1:8" x14ac:dyDescent="0.25">
      <c r="A23" s="3"/>
      <c r="C23" s="4" t="s">
        <v>103</v>
      </c>
      <c r="D23" s="5">
        <f>(D21-D22)*D20</f>
        <v>10.045600000000315</v>
      </c>
      <c r="H23" s="1"/>
    </row>
    <row r="24" spans="1:8" x14ac:dyDescent="0.25">
      <c r="A24" s="3"/>
      <c r="D24" s="14"/>
      <c r="H24" s="1"/>
    </row>
    <row r="25" spans="1:8" x14ac:dyDescent="0.25">
      <c r="A25" s="3"/>
      <c r="C25" s="37" t="s">
        <v>31</v>
      </c>
      <c r="D25" s="5"/>
      <c r="H25" s="1"/>
    </row>
    <row r="26" spans="1:8" x14ac:dyDescent="0.25">
      <c r="A26" s="3"/>
      <c r="C26" s="41" t="s">
        <v>102</v>
      </c>
      <c r="D26" s="5"/>
      <c r="H26" s="1"/>
    </row>
    <row r="27" spans="1:8" x14ac:dyDescent="0.25">
      <c r="A27" s="3"/>
      <c r="C27" s="4" t="s">
        <v>30</v>
      </c>
      <c r="D27" s="39">
        <v>3.464</v>
      </c>
      <c r="H27" s="1"/>
    </row>
    <row r="28" spans="1:8" x14ac:dyDescent="0.25">
      <c r="A28" s="3"/>
      <c r="C28" s="4" t="s">
        <v>100</v>
      </c>
      <c r="D28" s="34">
        <v>769.61</v>
      </c>
      <c r="H28" s="1"/>
    </row>
    <row r="29" spans="1:8" x14ac:dyDescent="0.25">
      <c r="A29" s="3"/>
      <c r="C29" s="4" t="s">
        <v>101</v>
      </c>
      <c r="D29" s="34">
        <v>766.83</v>
      </c>
      <c r="H29" s="1"/>
    </row>
    <row r="30" spans="1:8" x14ac:dyDescent="0.25">
      <c r="A30" s="3"/>
      <c r="C30" s="4" t="s">
        <v>103</v>
      </c>
      <c r="D30" s="5">
        <f>(D28-D29)*D27</f>
        <v>9.6299199999999061</v>
      </c>
      <c r="H30" s="1"/>
    </row>
    <row r="31" spans="1:8" x14ac:dyDescent="0.25">
      <c r="A31" s="3"/>
      <c r="D31" s="14"/>
      <c r="H31" s="1"/>
    </row>
    <row r="32" spans="1:8" x14ac:dyDescent="0.25">
      <c r="A32" s="3"/>
      <c r="C32" s="41" t="s">
        <v>104</v>
      </c>
      <c r="D32" s="5"/>
      <c r="H32" s="1"/>
    </row>
    <row r="33" spans="1:8" x14ac:dyDescent="0.25">
      <c r="A33" s="3"/>
      <c r="C33" s="4" t="s">
        <v>30</v>
      </c>
      <c r="D33" s="39">
        <v>3.464</v>
      </c>
      <c r="H33" s="1"/>
    </row>
    <row r="34" spans="1:8" x14ac:dyDescent="0.25">
      <c r="A34" s="3"/>
      <c r="C34" s="4" t="s">
        <v>100</v>
      </c>
      <c r="D34" s="34">
        <v>769</v>
      </c>
      <c r="H34" s="1"/>
    </row>
    <row r="35" spans="1:8" x14ac:dyDescent="0.25">
      <c r="A35" s="3"/>
      <c r="C35" s="4" t="s">
        <v>101</v>
      </c>
      <c r="D35" s="34">
        <v>766.63</v>
      </c>
      <c r="H35" s="1"/>
    </row>
    <row r="36" spans="1:8" x14ac:dyDescent="0.25">
      <c r="A36" s="3"/>
      <c r="C36" s="4" t="s">
        <v>103</v>
      </c>
      <c r="D36" s="5">
        <f>(D34-D35)*D33</f>
        <v>8.2096800000000165</v>
      </c>
      <c r="H36" s="1"/>
    </row>
    <row r="37" spans="1:8" x14ac:dyDescent="0.25">
      <c r="A37" s="3"/>
      <c r="D37" s="14"/>
      <c r="H37" s="1"/>
    </row>
    <row r="38" spans="1:8" x14ac:dyDescent="0.25">
      <c r="A38" s="3"/>
      <c r="D38" s="14"/>
      <c r="H38" s="1"/>
    </row>
    <row r="39" spans="1:8" x14ac:dyDescent="0.25">
      <c r="A39" s="3"/>
      <c r="C39" s="4" t="s">
        <v>8</v>
      </c>
      <c r="D39" s="51">
        <f>ROUNDUP(D17+D23+D30+D36,0)</f>
        <v>37</v>
      </c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  <row r="65" spans="1:8" x14ac:dyDescent="0.25">
      <c r="A65" s="3"/>
      <c r="H65" s="1"/>
    </row>
    <row r="66" spans="1:8" x14ac:dyDescent="0.25">
      <c r="A66" s="3"/>
      <c r="H66" s="1"/>
    </row>
    <row r="67" spans="1:8" x14ac:dyDescent="0.25">
      <c r="A67" s="3"/>
      <c r="H67" s="1"/>
    </row>
    <row r="68" spans="1:8" x14ac:dyDescent="0.25">
      <c r="A68" s="3"/>
      <c r="H68" s="1"/>
    </row>
    <row r="69" spans="1:8" x14ac:dyDescent="0.25">
      <c r="A69" s="3"/>
      <c r="H69" s="1"/>
    </row>
    <row r="70" spans="1:8" x14ac:dyDescent="0.25">
      <c r="A70" s="3"/>
      <c r="H70" s="1"/>
    </row>
    <row r="71" spans="1:8" x14ac:dyDescent="0.25">
      <c r="A71" s="3"/>
      <c r="H71" s="1"/>
    </row>
    <row r="72" spans="1:8" x14ac:dyDescent="0.25">
      <c r="A72" s="3"/>
      <c r="H72" s="1"/>
    </row>
    <row r="73" spans="1:8" x14ac:dyDescent="0.25">
      <c r="A73" s="3"/>
      <c r="H73" s="1"/>
    </row>
    <row r="74" spans="1:8" x14ac:dyDescent="0.25">
      <c r="A74" s="3"/>
      <c r="H74" s="1"/>
    </row>
    <row r="75" spans="1:8" x14ac:dyDescent="0.25">
      <c r="A75" s="3"/>
      <c r="H75" s="1"/>
    </row>
    <row r="76" spans="1:8" x14ac:dyDescent="0.25">
      <c r="A76" s="3"/>
      <c r="H76" s="1"/>
    </row>
    <row r="77" spans="1:8" x14ac:dyDescent="0.25">
      <c r="A77" s="3"/>
      <c r="H77" s="1"/>
    </row>
    <row r="78" spans="1:8" x14ac:dyDescent="0.25">
      <c r="A78" s="3"/>
      <c r="H78" s="1"/>
    </row>
    <row r="79" spans="1:8" x14ac:dyDescent="0.25">
      <c r="A79" s="3"/>
      <c r="H79" s="1"/>
    </row>
    <row r="80" spans="1:8" x14ac:dyDescent="0.25">
      <c r="A80" s="3"/>
      <c r="H80" s="1"/>
    </row>
    <row r="81" spans="1:8" x14ac:dyDescent="0.25">
      <c r="A81" s="3"/>
      <c r="H81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4640-742A-4967-B7E3-6D390E945B49}">
  <sheetPr>
    <tabColor rgb="FF00B050"/>
    <pageSetUpPr fitToPage="1"/>
  </sheetPr>
  <dimension ref="A1:H58"/>
  <sheetViews>
    <sheetView workbookViewId="0">
      <selection activeCell="H8" sqref="H8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516</v>
      </c>
      <c r="B10" s="29">
        <v>14020</v>
      </c>
      <c r="C10" s="29" t="s">
        <v>12</v>
      </c>
      <c r="D10" s="28" t="s">
        <v>55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30</v>
      </c>
      <c r="D13" s="39">
        <v>40.414999999999999</v>
      </c>
      <c r="E13" s="39"/>
      <c r="H13" s="1"/>
    </row>
    <row r="14" spans="1:8" x14ac:dyDescent="0.25">
      <c r="A14" s="3"/>
      <c r="C14" s="4"/>
      <c r="D14" s="34"/>
      <c r="H14" s="1"/>
    </row>
    <row r="15" spans="1:8" x14ac:dyDescent="0.25">
      <c r="A15" s="3"/>
      <c r="C15" s="4"/>
      <c r="D15" s="15"/>
      <c r="H15" s="1"/>
    </row>
    <row r="16" spans="1:8" x14ac:dyDescent="0.25">
      <c r="A16" s="3"/>
      <c r="C16" s="37" t="s">
        <v>31</v>
      </c>
      <c r="D16" s="5"/>
      <c r="H16" s="1"/>
    </row>
    <row r="17" spans="1:8" x14ac:dyDescent="0.25">
      <c r="A17" s="3"/>
      <c r="C17" s="4" t="s">
        <v>30</v>
      </c>
      <c r="D17" s="39">
        <v>40.414999999999999</v>
      </c>
      <c r="H17" s="1"/>
    </row>
    <row r="18" spans="1:8" x14ac:dyDescent="0.25">
      <c r="A18" s="3"/>
      <c r="C18" s="4"/>
      <c r="D18" s="15"/>
      <c r="H18" s="1"/>
    </row>
    <row r="19" spans="1:8" x14ac:dyDescent="0.25">
      <c r="A19" s="3"/>
      <c r="C19" s="4" t="s">
        <v>8</v>
      </c>
      <c r="D19" s="46">
        <f>ROUNDUP(D13+D17,0)</f>
        <v>81</v>
      </c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9D94-A3E0-4F38-B592-0BB960443DBD}">
  <sheetPr>
    <tabColor rgb="FF00B050"/>
    <pageSetUpPr fitToPage="1"/>
  </sheetPr>
  <dimension ref="A1:H57"/>
  <sheetViews>
    <sheetView workbookViewId="0">
      <selection activeCell="D15" sqref="D15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516</v>
      </c>
      <c r="B10" s="29">
        <v>41100</v>
      </c>
      <c r="C10" s="29" t="s">
        <v>15</v>
      </c>
      <c r="D10" s="28" t="s">
        <v>141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4" t="s">
        <v>84</v>
      </c>
      <c r="D12" s="48">
        <v>2</v>
      </c>
      <c r="H12" s="1"/>
    </row>
    <row r="13" spans="1:8" x14ac:dyDescent="0.25">
      <c r="A13" s="3"/>
      <c r="C13" s="4" t="s">
        <v>24</v>
      </c>
      <c r="D13" s="48">
        <v>8</v>
      </c>
      <c r="H13" s="1"/>
    </row>
    <row r="14" spans="1:8" x14ac:dyDescent="0.25">
      <c r="A14" s="3"/>
      <c r="D14" s="14"/>
      <c r="H14" s="1"/>
    </row>
    <row r="15" spans="1:8" x14ac:dyDescent="0.25">
      <c r="A15" s="3"/>
      <c r="C15" s="4" t="s">
        <v>8</v>
      </c>
      <c r="D15" s="47">
        <f>D12*D13</f>
        <v>16</v>
      </c>
      <c r="H15" s="1"/>
    </row>
    <row r="16" spans="1:8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</sheetData>
  <pageMargins left="0.7" right="0.7" top="0.75" bottom="0.75" header="0.3" footer="0.3"/>
  <pageSetup scale="75" fitToHeight="0" orientation="portrait" r:id="rId1"/>
  <headerFooter>
    <oddHeader>&amp;R&amp;P of 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AEA45-B1D8-458B-A4C6-0E7B2E3C1F90}">
  <sheetPr>
    <tabColor rgb="FF00B050"/>
    <pageSetUpPr fitToPage="1"/>
  </sheetPr>
  <dimension ref="A1:H57"/>
  <sheetViews>
    <sheetView workbookViewId="0">
      <selection activeCell="H7" sqref="H7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142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516</v>
      </c>
      <c r="B10" s="29">
        <v>43100</v>
      </c>
      <c r="C10" s="29" t="s">
        <v>15</v>
      </c>
      <c r="D10" s="28" t="s">
        <v>56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4" t="s">
        <v>84</v>
      </c>
      <c r="D12" s="48">
        <v>4</v>
      </c>
      <c r="H12" s="1"/>
    </row>
    <row r="13" spans="1:8" x14ac:dyDescent="0.25">
      <c r="A13" s="3"/>
      <c r="C13" s="4" t="s">
        <v>24</v>
      </c>
      <c r="D13" s="48">
        <v>8</v>
      </c>
      <c r="H13" s="1"/>
    </row>
    <row r="14" spans="1:8" x14ac:dyDescent="0.25">
      <c r="A14" s="3"/>
      <c r="D14" s="14"/>
      <c r="H14" s="1"/>
    </row>
    <row r="15" spans="1:8" x14ac:dyDescent="0.25">
      <c r="A15" s="3"/>
      <c r="C15" s="4" t="s">
        <v>8</v>
      </c>
      <c r="D15" s="47">
        <f>D12*D13</f>
        <v>32</v>
      </c>
      <c r="H15" s="1"/>
    </row>
    <row r="16" spans="1:8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2C00-D7C8-43B5-B0EA-4CA4F9401C5E}">
  <sheetPr codeName="Sheet4">
    <tabColor rgb="FF00B050"/>
    <pageSetUpPr fitToPage="1"/>
  </sheetPr>
  <dimension ref="A1:H64"/>
  <sheetViews>
    <sheetView workbookViewId="0">
      <selection activeCell="D12" sqref="D12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517</v>
      </c>
      <c r="B10" s="29">
        <v>70101</v>
      </c>
      <c r="C10" s="29" t="s">
        <v>12</v>
      </c>
      <c r="D10" s="28" t="s">
        <v>146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4" t="s">
        <v>25</v>
      </c>
      <c r="D12" s="34">
        <f>8+11/12+5/8/12+5+10.5/12+48+8+11/12+5/8/12-(11/12+5/8/12)*2</f>
        <v>69.875</v>
      </c>
      <c r="E12" t="s">
        <v>12</v>
      </c>
      <c r="H12" s="1"/>
    </row>
    <row r="13" spans="1:8" x14ac:dyDescent="0.25">
      <c r="A13" s="3"/>
      <c r="C13" s="4" t="s">
        <v>26</v>
      </c>
      <c r="D13" s="34">
        <f>8+11/12+5/8/12+5+10.5/12+48+8+11/12+5/8/12-(11/12+5/8/12)*2</f>
        <v>69.875</v>
      </c>
      <c r="E13" t="s">
        <v>12</v>
      </c>
      <c r="H13" s="1"/>
    </row>
    <row r="14" spans="1:8" x14ac:dyDescent="0.25">
      <c r="A14" s="3"/>
      <c r="D14" s="14"/>
      <c r="H14" s="1"/>
    </row>
    <row r="15" spans="1:8" x14ac:dyDescent="0.25">
      <c r="A15" s="3"/>
      <c r="C15" s="4" t="s">
        <v>8</v>
      </c>
      <c r="D15" s="35">
        <f>ROUNDUP(SUM(D12:D13),0)</f>
        <v>140</v>
      </c>
      <c r="E15" t="s">
        <v>12</v>
      </c>
      <c r="H15" s="1"/>
    </row>
    <row r="16" spans="1:8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2C93-4B73-4BA4-B673-49105ACD2AC6}">
  <sheetPr codeName="Sheet14">
    <tabColor rgb="FF00B050"/>
    <pageSetUpPr fitToPage="1"/>
  </sheetPr>
  <dimension ref="A1:H106"/>
  <sheetViews>
    <sheetView workbookViewId="0">
      <selection activeCell="B1" sqref="B1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518</v>
      </c>
      <c r="B10" s="29">
        <v>21200</v>
      </c>
      <c r="C10" s="29" t="s">
        <v>14</v>
      </c>
      <c r="D10" s="28" t="s">
        <v>148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1" t="s">
        <v>62</v>
      </c>
      <c r="D13" s="5"/>
      <c r="H13" s="1"/>
    </row>
    <row r="14" spans="1:8" x14ac:dyDescent="0.25">
      <c r="A14" s="3"/>
      <c r="C14" s="4" t="s">
        <v>30</v>
      </c>
      <c r="D14" s="39">
        <f>Sealing!D21</f>
        <v>40.802083333333336</v>
      </c>
      <c r="H14" s="1"/>
    </row>
    <row r="15" spans="1:8" x14ac:dyDescent="0.25">
      <c r="A15" s="3"/>
      <c r="C15" s="4" t="s">
        <v>60</v>
      </c>
      <c r="D15" s="34">
        <f>Sealing!D22</f>
        <v>767.3</v>
      </c>
      <c r="H15" s="1"/>
    </row>
    <row r="16" spans="1:8" x14ac:dyDescent="0.25">
      <c r="A16" s="3"/>
      <c r="C16" s="4" t="s">
        <v>59</v>
      </c>
      <c r="D16" s="34">
        <f>Sealing!D23</f>
        <v>767.5</v>
      </c>
      <c r="H16" s="1"/>
    </row>
    <row r="17" spans="1:8" x14ac:dyDescent="0.25">
      <c r="A17" s="3"/>
      <c r="C17" s="4" t="s">
        <v>92</v>
      </c>
      <c r="D17" s="34">
        <v>753.75</v>
      </c>
      <c r="H17" s="1"/>
    </row>
    <row r="18" spans="1:8" x14ac:dyDescent="0.25">
      <c r="A18" s="3"/>
      <c r="C18" s="4" t="s">
        <v>91</v>
      </c>
      <c r="D18" s="39">
        <f>17/12</f>
        <v>1.4166666666666667</v>
      </c>
      <c r="H18" s="1"/>
    </row>
    <row r="19" spans="1:8" x14ac:dyDescent="0.25">
      <c r="A19" s="3"/>
      <c r="C19" s="4" t="s">
        <v>93</v>
      </c>
      <c r="D19" s="39">
        <v>2</v>
      </c>
      <c r="H19" s="1"/>
    </row>
    <row r="20" spans="1:8" x14ac:dyDescent="0.25">
      <c r="A20" s="3"/>
      <c r="C20" s="4" t="s">
        <v>32</v>
      </c>
      <c r="D20" s="40">
        <f>((AVERAGE(D15:D16)-D17-D18)*D14*D19)/27</f>
        <v>36.973739711934094</v>
      </c>
      <c r="E20" s="5"/>
      <c r="H20" s="1"/>
    </row>
    <row r="21" spans="1:8" x14ac:dyDescent="0.25">
      <c r="A21" s="3"/>
      <c r="C21" s="4"/>
      <c r="D21" s="34"/>
      <c r="H21" s="1"/>
    </row>
    <row r="22" spans="1:8" x14ac:dyDescent="0.25">
      <c r="A22" s="3"/>
      <c r="C22" s="41" t="s">
        <v>63</v>
      </c>
      <c r="D22" s="5"/>
      <c r="H22" s="1"/>
    </row>
    <row r="23" spans="1:8" x14ac:dyDescent="0.25">
      <c r="A23" s="3"/>
      <c r="C23" s="4" t="s">
        <v>30</v>
      </c>
      <c r="D23" s="39">
        <f>Sealing!D28</f>
        <v>12.104166666666668</v>
      </c>
      <c r="H23" s="1"/>
    </row>
    <row r="24" spans="1:8" x14ac:dyDescent="0.25">
      <c r="A24" s="3"/>
      <c r="C24" s="4" t="s">
        <v>64</v>
      </c>
      <c r="D24" s="34">
        <f>Sealing!D29</f>
        <v>767</v>
      </c>
      <c r="H24" s="1"/>
    </row>
    <row r="25" spans="1:8" x14ac:dyDescent="0.25">
      <c r="A25" s="3"/>
      <c r="C25" s="4" t="s">
        <v>65</v>
      </c>
      <c r="D25" s="34">
        <f>Sealing!D30</f>
        <v>770.2</v>
      </c>
      <c r="H25" s="1"/>
    </row>
    <row r="26" spans="1:8" x14ac:dyDescent="0.25">
      <c r="A26" s="3"/>
      <c r="C26" s="4" t="s">
        <v>92</v>
      </c>
      <c r="D26" s="34">
        <v>753.75</v>
      </c>
      <c r="H26" s="1"/>
    </row>
    <row r="27" spans="1:8" x14ac:dyDescent="0.25">
      <c r="A27" s="3"/>
      <c r="C27" s="4" t="s">
        <v>94</v>
      </c>
      <c r="D27" s="39">
        <v>1.5</v>
      </c>
      <c r="H27" s="1"/>
    </row>
    <row r="28" spans="1:8" x14ac:dyDescent="0.25">
      <c r="A28" s="3"/>
      <c r="C28" s="4" t="s">
        <v>93</v>
      </c>
      <c r="D28" s="39">
        <v>2</v>
      </c>
      <c r="H28" s="1"/>
    </row>
    <row r="29" spans="1:8" x14ac:dyDescent="0.25">
      <c r="A29" s="3"/>
      <c r="C29" s="4" t="s">
        <v>32</v>
      </c>
      <c r="D29" s="40">
        <f>(AVERAGE(D24:D25)-D26-D27)*D23*D28/27</f>
        <v>11.969675925925948</v>
      </c>
      <c r="E29" s="5"/>
      <c r="H29" s="1"/>
    </row>
    <row r="30" spans="1:8" x14ac:dyDescent="0.25">
      <c r="A30" s="3"/>
      <c r="C30" s="4"/>
      <c r="D30" s="34"/>
      <c r="H30" s="1"/>
    </row>
    <row r="31" spans="1:8" x14ac:dyDescent="0.25">
      <c r="A31" s="3"/>
      <c r="C31" s="4"/>
      <c r="D31" s="34"/>
      <c r="H31" s="1"/>
    </row>
    <row r="32" spans="1:8" x14ac:dyDescent="0.25">
      <c r="A32" s="3"/>
      <c r="C32" s="41" t="s">
        <v>70</v>
      </c>
      <c r="D32" s="5"/>
      <c r="H32" s="1"/>
    </row>
    <row r="33" spans="1:8" x14ac:dyDescent="0.25">
      <c r="A33" s="3"/>
      <c r="C33" s="4" t="s">
        <v>30</v>
      </c>
      <c r="D33" s="39">
        <f>Sealing!D39</f>
        <v>2.869791666666667</v>
      </c>
      <c r="H33" s="1"/>
    </row>
    <row r="34" spans="1:8" x14ac:dyDescent="0.25">
      <c r="A34" s="3"/>
      <c r="C34" s="4" t="s">
        <v>71</v>
      </c>
      <c r="D34" s="34">
        <f>Sealing!D40</f>
        <v>770.2</v>
      </c>
      <c r="H34" s="1"/>
    </row>
    <row r="35" spans="1:8" x14ac:dyDescent="0.25">
      <c r="A35" s="3"/>
      <c r="C35" s="4" t="s">
        <v>92</v>
      </c>
      <c r="D35" s="34">
        <v>753.75</v>
      </c>
      <c r="H35" s="1"/>
    </row>
    <row r="36" spans="1:8" x14ac:dyDescent="0.25">
      <c r="A36" s="3"/>
      <c r="C36" s="4" t="s">
        <v>94</v>
      </c>
      <c r="D36" s="39">
        <v>1.5</v>
      </c>
      <c r="H36" s="1"/>
    </row>
    <row r="37" spans="1:8" x14ac:dyDescent="0.25">
      <c r="A37" s="3"/>
      <c r="C37" s="4" t="s">
        <v>93</v>
      </c>
      <c r="D37" s="39">
        <v>2</v>
      </c>
      <c r="H37" s="1"/>
    </row>
    <row r="38" spans="1:8" x14ac:dyDescent="0.25">
      <c r="A38" s="3"/>
      <c r="C38" s="4" t="s">
        <v>32</v>
      </c>
      <c r="D38" s="40">
        <f>(AVERAGE(D34:D34)-D35-D36)*D33*D37/27</f>
        <v>3.1780285493827258</v>
      </c>
      <c r="E38" s="5"/>
      <c r="H38" s="1"/>
    </row>
    <row r="39" spans="1:8" x14ac:dyDescent="0.25">
      <c r="A39" s="3"/>
      <c r="H39" s="1"/>
    </row>
    <row r="40" spans="1:8" x14ac:dyDescent="0.25">
      <c r="A40" s="3"/>
      <c r="C40" s="41" t="s">
        <v>73</v>
      </c>
      <c r="D40" s="5"/>
      <c r="H40" s="1"/>
    </row>
    <row r="41" spans="1:8" x14ac:dyDescent="0.25">
      <c r="A41" s="3"/>
      <c r="C41" s="4" t="s">
        <v>30</v>
      </c>
      <c r="D41" s="39">
        <f>Sealing!D47</f>
        <v>26.239583333333336</v>
      </c>
      <c r="H41" s="1"/>
    </row>
    <row r="42" spans="1:8" x14ac:dyDescent="0.25">
      <c r="A42" s="3"/>
      <c r="C42" s="4" t="s">
        <v>64</v>
      </c>
      <c r="D42" s="34">
        <f>Sealing!D48</f>
        <v>770</v>
      </c>
      <c r="H42" s="1"/>
    </row>
    <row r="43" spans="1:8" x14ac:dyDescent="0.25">
      <c r="A43" s="3"/>
      <c r="C43" s="4" t="s">
        <v>65</v>
      </c>
      <c r="D43" s="34">
        <f>Sealing!D49</f>
        <v>767.75</v>
      </c>
      <c r="H43" s="1"/>
    </row>
    <row r="44" spans="1:8" x14ac:dyDescent="0.25">
      <c r="A44" s="3"/>
      <c r="C44" s="4" t="s">
        <v>92</v>
      </c>
      <c r="D44" s="34">
        <v>753.75</v>
      </c>
      <c r="H44" s="1"/>
    </row>
    <row r="45" spans="1:8" x14ac:dyDescent="0.25">
      <c r="A45" s="3"/>
      <c r="C45" s="4" t="s">
        <v>94</v>
      </c>
      <c r="D45" s="39">
        <v>1.5</v>
      </c>
      <c r="H45" s="1"/>
    </row>
    <row r="46" spans="1:8" x14ac:dyDescent="0.25">
      <c r="A46" s="3"/>
      <c r="C46" s="4" t="s">
        <v>93</v>
      </c>
      <c r="D46" s="39">
        <v>2</v>
      </c>
      <c r="H46" s="1"/>
    </row>
    <row r="47" spans="1:8" x14ac:dyDescent="0.25">
      <c r="A47" s="3"/>
      <c r="C47" s="4" t="s">
        <v>32</v>
      </c>
      <c r="D47" s="40">
        <f>(AVERAGE(D42:D43)-D44-D45)*D41*D46/27</f>
        <v>26.482542438271608</v>
      </c>
      <c r="E47" s="5"/>
      <c r="H47" s="1"/>
    </row>
    <row r="48" spans="1:8" x14ac:dyDescent="0.25">
      <c r="A48" s="3"/>
      <c r="C48" s="4"/>
      <c r="D48" s="34"/>
      <c r="H48" s="1"/>
    </row>
    <row r="49" spans="1:8" x14ac:dyDescent="0.25">
      <c r="A49" s="3"/>
      <c r="C49" s="4"/>
      <c r="D49" s="34"/>
      <c r="H49" s="1"/>
    </row>
    <row r="50" spans="1:8" x14ac:dyDescent="0.25">
      <c r="A50" s="3"/>
      <c r="C50" s="41" t="s">
        <v>74</v>
      </c>
      <c r="D50" s="5"/>
      <c r="H50" s="1"/>
    </row>
    <row r="51" spans="1:8" x14ac:dyDescent="0.25">
      <c r="A51" s="3"/>
      <c r="C51" s="4" t="s">
        <v>30</v>
      </c>
      <c r="D51" s="39">
        <f>Sealing!D58</f>
        <v>5.479166666666667</v>
      </c>
      <c r="H51" s="1"/>
    </row>
    <row r="52" spans="1:8" x14ac:dyDescent="0.25">
      <c r="A52" s="3"/>
      <c r="C52" s="4" t="s">
        <v>71</v>
      </c>
      <c r="D52" s="34">
        <f>Sealing!D59</f>
        <v>770</v>
      </c>
      <c r="H52" s="1"/>
    </row>
    <row r="53" spans="1:8" x14ac:dyDescent="0.25">
      <c r="A53" s="3"/>
      <c r="C53" s="4" t="s">
        <v>92</v>
      </c>
      <c r="D53" s="34">
        <v>753.75</v>
      </c>
      <c r="H53" s="1"/>
    </row>
    <row r="54" spans="1:8" x14ac:dyDescent="0.25">
      <c r="A54" s="3"/>
      <c r="C54" s="4" t="s">
        <v>94</v>
      </c>
      <c r="D54" s="39">
        <v>1.5</v>
      </c>
      <c r="H54" s="1"/>
    </row>
    <row r="55" spans="1:8" x14ac:dyDescent="0.25">
      <c r="A55" s="3"/>
      <c r="C55" s="4" t="s">
        <v>93</v>
      </c>
      <c r="D55" s="39">
        <v>2</v>
      </c>
      <c r="H55" s="1"/>
    </row>
    <row r="56" spans="1:8" x14ac:dyDescent="0.25">
      <c r="A56" s="3"/>
      <c r="C56" s="4" t="s">
        <v>32</v>
      </c>
      <c r="D56" s="40">
        <f>(AVERAGE(D52:D52)-D53-D54)*D51*D55/27</f>
        <v>5.9864969135802477</v>
      </c>
      <c r="E56" s="5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C59" s="37" t="s">
        <v>31</v>
      </c>
      <c r="D59" s="5"/>
      <c r="H59" s="1"/>
    </row>
    <row r="60" spans="1:8" x14ac:dyDescent="0.25">
      <c r="A60" s="3"/>
      <c r="C60" s="41" t="s">
        <v>62</v>
      </c>
      <c r="D60" s="5"/>
      <c r="H60" s="1"/>
    </row>
    <row r="61" spans="1:8" x14ac:dyDescent="0.25">
      <c r="A61" s="3"/>
      <c r="C61" s="4" t="s">
        <v>30</v>
      </c>
      <c r="D61" s="39">
        <f>Sealing!D68</f>
        <v>40.414999999999999</v>
      </c>
      <c r="H61" s="1"/>
    </row>
    <row r="62" spans="1:8" x14ac:dyDescent="0.25">
      <c r="A62" s="3"/>
      <c r="C62" s="4" t="s">
        <v>60</v>
      </c>
      <c r="D62" s="34">
        <f>Sealing!D69</f>
        <v>766.83</v>
      </c>
      <c r="H62" s="1"/>
    </row>
    <row r="63" spans="1:8" x14ac:dyDescent="0.25">
      <c r="A63" s="3"/>
      <c r="C63" s="4" t="s">
        <v>59</v>
      </c>
      <c r="D63" s="34">
        <f>Sealing!D70</f>
        <v>766.63</v>
      </c>
      <c r="H63" s="1"/>
    </row>
    <row r="64" spans="1:8" x14ac:dyDescent="0.25">
      <c r="A64" s="3"/>
      <c r="C64" s="4" t="s">
        <v>92</v>
      </c>
      <c r="D64" s="34">
        <v>757.75</v>
      </c>
      <c r="H64" s="1"/>
    </row>
    <row r="65" spans="1:8" x14ac:dyDescent="0.25">
      <c r="A65" s="3"/>
      <c r="C65" s="4" t="s">
        <v>91</v>
      </c>
      <c r="D65" s="39">
        <f>17/12</f>
        <v>1.4166666666666667</v>
      </c>
      <c r="H65" s="1"/>
    </row>
    <row r="66" spans="1:8" x14ac:dyDescent="0.25">
      <c r="A66" s="3"/>
      <c r="C66" s="4" t="s">
        <v>93</v>
      </c>
      <c r="D66" s="39">
        <v>2</v>
      </c>
      <c r="H66" s="1"/>
    </row>
    <row r="67" spans="1:8" x14ac:dyDescent="0.25">
      <c r="A67" s="3"/>
      <c r="C67" s="4" t="s">
        <v>32</v>
      </c>
      <c r="D67" s="40">
        <f>((AVERAGE(D62:D63)-D64-D65)*D61*D66)/27</f>
        <v>22.642379012345732</v>
      </c>
      <c r="E67" s="5"/>
      <c r="H67" s="1"/>
    </row>
    <row r="68" spans="1:8" x14ac:dyDescent="0.25">
      <c r="A68" s="3"/>
      <c r="C68" s="4"/>
      <c r="D68" s="34"/>
      <c r="H68" s="1"/>
    </row>
    <row r="69" spans="1:8" x14ac:dyDescent="0.25">
      <c r="A69" s="3"/>
      <c r="C69" s="41" t="s">
        <v>75</v>
      </c>
      <c r="D69" s="5"/>
      <c r="H69" s="1"/>
    </row>
    <row r="70" spans="1:8" x14ac:dyDescent="0.25">
      <c r="A70" s="3"/>
      <c r="C70" s="4" t="s">
        <v>30</v>
      </c>
      <c r="D70" s="39">
        <f>Sealing!D75</f>
        <v>10.989583333333332</v>
      </c>
      <c r="H70" s="1"/>
    </row>
    <row r="71" spans="1:8" x14ac:dyDescent="0.25">
      <c r="A71" s="3"/>
      <c r="C71" s="4" t="s">
        <v>64</v>
      </c>
      <c r="D71" s="34" t="s">
        <v>95</v>
      </c>
      <c r="H71" s="1"/>
    </row>
    <row r="72" spans="1:8" x14ac:dyDescent="0.25">
      <c r="A72" s="3"/>
      <c r="C72" s="4" t="s">
        <v>65</v>
      </c>
      <c r="D72" s="34">
        <f>Sealing!D77</f>
        <v>769.61</v>
      </c>
      <c r="H72" s="1"/>
    </row>
    <row r="73" spans="1:8" x14ac:dyDescent="0.25">
      <c r="A73" s="3"/>
      <c r="C73" s="4" t="s">
        <v>92</v>
      </c>
      <c r="D73" s="34">
        <v>757.75</v>
      </c>
      <c r="H73" s="1"/>
    </row>
    <row r="74" spans="1:8" x14ac:dyDescent="0.25">
      <c r="A74" s="3"/>
      <c r="C74" s="4" t="s">
        <v>94</v>
      </c>
      <c r="D74" s="39">
        <v>1.5</v>
      </c>
      <c r="H74" s="1"/>
    </row>
    <row r="75" spans="1:8" x14ac:dyDescent="0.25">
      <c r="A75" s="3"/>
      <c r="C75" s="4" t="s">
        <v>93</v>
      </c>
      <c r="D75" s="39">
        <v>2</v>
      </c>
      <c r="H75" s="1"/>
    </row>
    <row r="76" spans="1:8" x14ac:dyDescent="0.25">
      <c r="A76" s="3"/>
      <c r="C76" s="4" t="s">
        <v>32</v>
      </c>
      <c r="D76" s="40">
        <f>(AVERAGE(D71:D72)-D73-D74)*D70*D75/27</f>
        <v>8.4334876543209969</v>
      </c>
      <c r="E76" s="5"/>
      <c r="H76" s="1"/>
    </row>
    <row r="77" spans="1:8" x14ac:dyDescent="0.25">
      <c r="A77" s="3"/>
      <c r="C77" s="4"/>
      <c r="D77" s="34"/>
      <c r="H77" s="1"/>
    </row>
    <row r="78" spans="1:8" x14ac:dyDescent="0.25">
      <c r="A78" s="3"/>
      <c r="C78" s="4"/>
      <c r="D78" s="34"/>
      <c r="H78" s="1"/>
    </row>
    <row r="79" spans="1:8" x14ac:dyDescent="0.25">
      <c r="A79" s="3"/>
      <c r="C79" s="41" t="s">
        <v>76</v>
      </c>
      <c r="D79" s="5"/>
      <c r="H79" s="1"/>
    </row>
    <row r="80" spans="1:8" x14ac:dyDescent="0.25">
      <c r="A80" s="3"/>
      <c r="C80" s="4" t="s">
        <v>30</v>
      </c>
      <c r="D80" s="39">
        <f>Sealing!D86</f>
        <v>3.3333333333333335</v>
      </c>
      <c r="H80" s="1"/>
    </row>
    <row r="81" spans="1:8" x14ac:dyDescent="0.25">
      <c r="A81" s="3"/>
      <c r="C81" s="4" t="s">
        <v>71</v>
      </c>
      <c r="D81" s="34">
        <f>Sealing!D87</f>
        <v>769.61</v>
      </c>
      <c r="H81" s="1"/>
    </row>
    <row r="82" spans="1:8" x14ac:dyDescent="0.25">
      <c r="A82" s="3"/>
      <c r="C82" s="4" t="s">
        <v>92</v>
      </c>
      <c r="D82" s="34">
        <v>757.75</v>
      </c>
      <c r="H82" s="1"/>
    </row>
    <row r="83" spans="1:8" x14ac:dyDescent="0.25">
      <c r="A83" s="3"/>
      <c r="C83" s="4" t="s">
        <v>94</v>
      </c>
      <c r="D83" s="39">
        <v>1.5</v>
      </c>
      <c r="H83" s="1"/>
    </row>
    <row r="84" spans="1:8" x14ac:dyDescent="0.25">
      <c r="A84" s="3"/>
      <c r="C84" s="4" t="s">
        <v>93</v>
      </c>
      <c r="D84" s="39">
        <v>2</v>
      </c>
      <c r="H84" s="1"/>
    </row>
    <row r="85" spans="1:8" x14ac:dyDescent="0.25">
      <c r="A85" s="3"/>
      <c r="C85" s="4" t="s">
        <v>32</v>
      </c>
      <c r="D85" s="40">
        <f>(AVERAGE(D81:D81)-D82-D83)*D80*D84/27</f>
        <v>2.5580246913580282</v>
      </c>
      <c r="E85" s="5"/>
      <c r="H85" s="1"/>
    </row>
    <row r="86" spans="1:8" x14ac:dyDescent="0.25">
      <c r="A86" s="3"/>
      <c r="H86" s="1"/>
    </row>
    <row r="87" spans="1:8" x14ac:dyDescent="0.25">
      <c r="A87" s="3"/>
      <c r="C87" s="41" t="s">
        <v>77</v>
      </c>
      <c r="D87" s="5"/>
      <c r="H87" s="1"/>
    </row>
    <row r="88" spans="1:8" x14ac:dyDescent="0.25">
      <c r="A88" s="3"/>
      <c r="C88" s="4" t="s">
        <v>30</v>
      </c>
      <c r="D88" s="39">
        <f>Sealing!D94</f>
        <v>9.5</v>
      </c>
      <c r="H88" s="1"/>
    </row>
    <row r="89" spans="1:8" x14ac:dyDescent="0.25">
      <c r="A89" s="3"/>
      <c r="C89" s="4" t="s">
        <v>64</v>
      </c>
      <c r="D89" s="34">
        <f>Sealing!D95</f>
        <v>769</v>
      </c>
      <c r="H89" s="1"/>
    </row>
    <row r="90" spans="1:8" x14ac:dyDescent="0.25">
      <c r="A90" s="3"/>
      <c r="C90" s="4" t="s">
        <v>65</v>
      </c>
      <c r="D90" s="34">
        <f>Sealing!D96</f>
        <v>768.25</v>
      </c>
      <c r="H90" s="1"/>
    </row>
    <row r="91" spans="1:8" x14ac:dyDescent="0.25">
      <c r="A91" s="3"/>
      <c r="C91" s="4" t="s">
        <v>92</v>
      </c>
      <c r="D91" s="34">
        <v>757.75</v>
      </c>
      <c r="H91" s="1"/>
    </row>
    <row r="92" spans="1:8" x14ac:dyDescent="0.25">
      <c r="A92" s="3"/>
      <c r="C92" s="4" t="s">
        <v>94</v>
      </c>
      <c r="D92" s="39">
        <v>1.5</v>
      </c>
      <c r="H92" s="1"/>
    </row>
    <row r="93" spans="1:8" x14ac:dyDescent="0.25">
      <c r="A93" s="3"/>
      <c r="C93" s="4" t="s">
        <v>93</v>
      </c>
      <c r="D93" s="39">
        <v>2</v>
      </c>
      <c r="H93" s="1"/>
    </row>
    <row r="94" spans="1:8" x14ac:dyDescent="0.25">
      <c r="A94" s="3"/>
      <c r="C94" s="4" t="s">
        <v>32</v>
      </c>
      <c r="D94" s="40">
        <f>(AVERAGE(D89:D90)-D91-D92)*D88*D93/27</f>
        <v>6.5972222222222223</v>
      </c>
      <c r="E94" s="5"/>
      <c r="H94" s="1"/>
    </row>
    <row r="95" spans="1:8" x14ac:dyDescent="0.25">
      <c r="A95" s="3"/>
      <c r="C95" s="4"/>
      <c r="D95" s="34"/>
      <c r="H95" s="1"/>
    </row>
    <row r="96" spans="1:8" x14ac:dyDescent="0.25">
      <c r="A96" s="3"/>
      <c r="C96" s="4"/>
      <c r="D96" s="34"/>
      <c r="H96" s="1"/>
    </row>
    <row r="97" spans="1:8" x14ac:dyDescent="0.25">
      <c r="A97" s="3"/>
      <c r="C97" s="41" t="s">
        <v>78</v>
      </c>
      <c r="D97" s="5"/>
      <c r="H97" s="1"/>
    </row>
    <row r="98" spans="1:8" x14ac:dyDescent="0.25">
      <c r="A98" s="3"/>
      <c r="C98" s="4" t="s">
        <v>30</v>
      </c>
      <c r="D98" s="39">
        <f>Sealing!D105</f>
        <v>3.65625</v>
      </c>
      <c r="H98" s="1"/>
    </row>
    <row r="99" spans="1:8" x14ac:dyDescent="0.25">
      <c r="A99" s="3"/>
      <c r="C99" s="4" t="s">
        <v>71</v>
      </c>
      <c r="D99" s="34">
        <f>Sealing!D106</f>
        <v>769</v>
      </c>
      <c r="H99" s="1"/>
    </row>
    <row r="100" spans="1:8" x14ac:dyDescent="0.25">
      <c r="A100" s="3"/>
      <c r="C100" s="4" t="s">
        <v>92</v>
      </c>
      <c r="D100" s="34">
        <v>757.75</v>
      </c>
      <c r="H100" s="1"/>
    </row>
    <row r="101" spans="1:8" x14ac:dyDescent="0.25">
      <c r="A101" s="3"/>
      <c r="C101" s="4" t="s">
        <v>94</v>
      </c>
      <c r="D101" s="39">
        <v>1.5</v>
      </c>
      <c r="H101" s="1"/>
    </row>
    <row r="102" spans="1:8" x14ac:dyDescent="0.25">
      <c r="A102" s="3"/>
      <c r="C102" s="4" t="s">
        <v>93</v>
      </c>
      <c r="D102" s="39">
        <v>2</v>
      </c>
      <c r="H102" s="1"/>
    </row>
    <row r="103" spans="1:8" x14ac:dyDescent="0.25">
      <c r="A103" s="3"/>
      <c r="C103" s="4" t="s">
        <v>32</v>
      </c>
      <c r="D103" s="40">
        <f>(AVERAGE(D99:D99)-D100-D101)*D98*D102/27</f>
        <v>2.640625</v>
      </c>
      <c r="E103" s="5"/>
      <c r="H103" s="1"/>
    </row>
    <row r="105" spans="1:8" x14ac:dyDescent="0.25">
      <c r="C105" s="12" t="s">
        <v>8</v>
      </c>
      <c r="D105" s="50">
        <f>ROUNDUP(D103+D94+D85+D76+D67+D56+D47+D38+D29+D20,0)</f>
        <v>128</v>
      </c>
      <c r="E105" s="49"/>
    </row>
    <row r="106" spans="1:8" x14ac:dyDescent="0.25">
      <c r="D106" s="49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A8B0-FF10-4191-B0A6-D2E043BEE530}">
  <sheetPr>
    <tabColor rgb="FF00B050"/>
    <pageSetUpPr fitToPage="1"/>
  </sheetPr>
  <dimension ref="A1:H56"/>
  <sheetViews>
    <sheetView workbookViewId="0">
      <selection activeCell="H8" sqref="H8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 t="s">
        <v>57</v>
      </c>
      <c r="B10" s="29">
        <v>51822300</v>
      </c>
      <c r="C10" s="29" t="s">
        <v>12</v>
      </c>
      <c r="D10" s="28" t="s">
        <v>58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4" t="s">
        <v>85</v>
      </c>
      <c r="D12" s="39">
        <v>65.459999999999994</v>
      </c>
      <c r="H12" s="1"/>
    </row>
    <row r="13" spans="1:8" x14ac:dyDescent="0.25">
      <c r="A13" s="3"/>
      <c r="D13" s="14"/>
      <c r="H13" s="1"/>
    </row>
    <row r="14" spans="1:8" x14ac:dyDescent="0.25">
      <c r="A14" s="3"/>
      <c r="C14" s="4" t="s">
        <v>8</v>
      </c>
      <c r="D14" s="46">
        <f>ROUNDUP(D12*2,0)</f>
        <v>131</v>
      </c>
      <c r="H14" s="1"/>
    </row>
    <row r="15" spans="1:8" x14ac:dyDescent="0.25">
      <c r="A15" s="3"/>
      <c r="H15" s="1"/>
    </row>
    <row r="16" spans="1:8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F976-B451-45D1-98C0-EAE139E8C205}">
  <sheetPr codeName="Sheet16">
    <tabColor rgb="FF00B050"/>
    <pageSetUpPr fitToPage="1"/>
  </sheetPr>
  <dimension ref="A1:H57"/>
  <sheetViews>
    <sheetView workbookViewId="0">
      <selection activeCell="B27" sqref="B27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518</v>
      </c>
      <c r="B10" s="29">
        <v>40000</v>
      </c>
      <c r="C10" s="29" t="s">
        <v>12</v>
      </c>
      <c r="D10" s="28" t="s">
        <v>37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30</v>
      </c>
      <c r="D13" s="39">
        <v>78.849999999999994</v>
      </c>
      <c r="H13" s="1"/>
    </row>
    <row r="14" spans="1:8" x14ac:dyDescent="0.25">
      <c r="A14" s="3"/>
      <c r="C14" s="4"/>
      <c r="D14" s="15"/>
      <c r="H14" s="1"/>
    </row>
    <row r="15" spans="1:8" x14ac:dyDescent="0.25">
      <c r="A15" s="3"/>
      <c r="C15" s="37" t="s">
        <v>31</v>
      </c>
      <c r="D15" s="5"/>
      <c r="H15" s="1"/>
    </row>
    <row r="16" spans="1:8" x14ac:dyDescent="0.25">
      <c r="A16" s="3"/>
      <c r="C16" s="4" t="s">
        <v>30</v>
      </c>
      <c r="D16" s="39">
        <v>63.19</v>
      </c>
      <c r="H16" s="1"/>
    </row>
    <row r="17" spans="1:8" x14ac:dyDescent="0.25">
      <c r="A17" s="3"/>
      <c r="C17" s="4"/>
      <c r="D17" s="15"/>
      <c r="H17" s="1"/>
    </row>
    <row r="18" spans="1:8" x14ac:dyDescent="0.25">
      <c r="A18" s="3"/>
      <c r="C18" s="4" t="s">
        <v>8</v>
      </c>
      <c r="D18" s="46">
        <f>ROUNDUP(D13+D16,0)</f>
        <v>143</v>
      </c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C993-98C6-43F2-8E8B-3194E1A0B021}">
  <sheetPr codeName="Sheet2">
    <tabColor rgb="FF00B050"/>
    <pageSetUpPr fitToPage="1"/>
  </sheetPr>
  <dimension ref="A1:H69"/>
  <sheetViews>
    <sheetView workbookViewId="0"/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202</v>
      </c>
      <c r="B10" s="29">
        <v>11002</v>
      </c>
      <c r="C10" s="29" t="s">
        <v>23</v>
      </c>
      <c r="D10" s="28" t="s">
        <v>147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H12" s="1"/>
    </row>
    <row r="13" spans="1:8" x14ac:dyDescent="0.25">
      <c r="A13" s="3"/>
      <c r="C13" s="4" t="s">
        <v>51</v>
      </c>
      <c r="D13" s="5">
        <v>977.49</v>
      </c>
      <c r="H13" s="1"/>
    </row>
    <row r="14" spans="1:8" x14ac:dyDescent="0.25">
      <c r="A14" s="3"/>
      <c r="C14" s="4" t="s">
        <v>50</v>
      </c>
      <c r="H14" s="1"/>
    </row>
    <row r="15" spans="1:8" x14ac:dyDescent="0.25">
      <c r="A15" s="3"/>
      <c r="C15" s="4"/>
      <c r="D15" s="5"/>
      <c r="H15" s="1"/>
    </row>
    <row r="16" spans="1:8" x14ac:dyDescent="0.25">
      <c r="A16" s="3"/>
      <c r="C16" s="4"/>
      <c r="D16" s="6"/>
      <c r="H16" s="1"/>
    </row>
    <row r="17" spans="1:8" x14ac:dyDescent="0.25">
      <c r="A17" s="3"/>
      <c r="C17" s="4"/>
      <c r="D17" s="14"/>
      <c r="H17" s="1"/>
    </row>
    <row r="18" spans="1:8" x14ac:dyDescent="0.25">
      <c r="A18" s="3"/>
      <c r="C18" s="4"/>
      <c r="D18" s="9"/>
      <c r="H18" s="1"/>
    </row>
    <row r="19" spans="1:8" x14ac:dyDescent="0.25">
      <c r="A19" s="3"/>
      <c r="C19" s="4"/>
      <c r="D19" s="10"/>
      <c r="H19" s="1"/>
    </row>
    <row r="20" spans="1:8" x14ac:dyDescent="0.25">
      <c r="A20" s="3"/>
      <c r="C20" s="4"/>
      <c r="D20" s="9"/>
      <c r="H20" s="1"/>
    </row>
    <row r="21" spans="1:8" x14ac:dyDescent="0.25">
      <c r="A21" s="3"/>
      <c r="C21" s="4"/>
      <c r="D21" s="9"/>
      <c r="H21" s="1"/>
    </row>
    <row r="22" spans="1:8" x14ac:dyDescent="0.25">
      <c r="A22" s="3"/>
      <c r="C22" s="4"/>
      <c r="D22" s="9"/>
      <c r="H22" s="1"/>
    </row>
    <row r="23" spans="1:8" x14ac:dyDescent="0.25">
      <c r="A23" s="3"/>
      <c r="C23" s="4"/>
      <c r="D23" s="9"/>
      <c r="H23" s="1"/>
    </row>
    <row r="24" spans="1:8" x14ac:dyDescent="0.25">
      <c r="A24" s="3"/>
      <c r="C24" s="4"/>
      <c r="D24" s="14"/>
      <c r="H24" s="1"/>
    </row>
    <row r="25" spans="1:8" x14ac:dyDescent="0.25">
      <c r="A25" s="3"/>
      <c r="D25" s="14"/>
      <c r="H25" s="1"/>
    </row>
    <row r="26" spans="1:8" x14ac:dyDescent="0.25">
      <c r="A26" s="3"/>
      <c r="C26" s="4"/>
      <c r="D26" s="10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  <row r="65" spans="1:8" x14ac:dyDescent="0.25">
      <c r="A65" s="3"/>
      <c r="H65" s="1"/>
    </row>
    <row r="66" spans="1:8" x14ac:dyDescent="0.25">
      <c r="A66" s="3"/>
      <c r="H66" s="1"/>
    </row>
    <row r="67" spans="1:8" x14ac:dyDescent="0.25">
      <c r="A67" s="3"/>
      <c r="H67" s="1"/>
    </row>
    <row r="68" spans="1:8" x14ac:dyDescent="0.25">
      <c r="A68" s="3"/>
      <c r="H68" s="1"/>
    </row>
    <row r="69" spans="1:8" x14ac:dyDescent="0.25">
      <c r="A69" s="3"/>
      <c r="H69" s="1"/>
    </row>
  </sheetData>
  <phoneticPr fontId="5" type="noConversion"/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7080-CB07-4DF2-A5CD-C1F532B8AF1F}">
  <sheetPr codeName="Sheet17">
    <tabColor rgb="FF00B050"/>
    <pageSetUpPr fitToPage="1"/>
  </sheetPr>
  <dimension ref="A1:H63"/>
  <sheetViews>
    <sheetView workbookViewId="0">
      <selection activeCell="H8" sqref="H8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518</v>
      </c>
      <c r="B10" s="29">
        <v>40012</v>
      </c>
      <c r="C10" s="29" t="s">
        <v>12</v>
      </c>
      <c r="D10" s="28" t="s">
        <v>38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86</v>
      </c>
      <c r="D13" s="39">
        <v>30</v>
      </c>
      <c r="H13" s="1"/>
    </row>
    <row r="14" spans="1:8" x14ac:dyDescent="0.25">
      <c r="A14" s="3"/>
      <c r="C14" s="4" t="s">
        <v>87</v>
      </c>
      <c r="D14" s="39">
        <v>30</v>
      </c>
      <c r="H14" s="1"/>
    </row>
    <row r="15" spans="1:8" x14ac:dyDescent="0.25">
      <c r="A15" s="3"/>
      <c r="C15" s="4"/>
      <c r="D15" s="15"/>
      <c r="H15" s="1"/>
    </row>
    <row r="16" spans="1:8" x14ac:dyDescent="0.25">
      <c r="A16" s="3"/>
      <c r="C16" s="37" t="s">
        <v>31</v>
      </c>
      <c r="D16" s="5"/>
      <c r="H16" s="1"/>
    </row>
    <row r="17" spans="1:8" x14ac:dyDescent="0.25">
      <c r="A17" s="3"/>
      <c r="C17" s="4" t="s">
        <v>86</v>
      </c>
      <c r="D17" s="39">
        <v>25</v>
      </c>
      <c r="H17" s="1"/>
    </row>
    <row r="18" spans="1:8" x14ac:dyDescent="0.25">
      <c r="A18" s="3"/>
      <c r="C18" s="4" t="s">
        <v>87</v>
      </c>
      <c r="D18" s="39">
        <v>20</v>
      </c>
      <c r="H18" s="1"/>
    </row>
    <row r="19" spans="1:8" x14ac:dyDescent="0.25">
      <c r="A19" s="3"/>
      <c r="C19" s="4"/>
      <c r="D19" s="15"/>
      <c r="H19" s="1"/>
    </row>
    <row r="20" spans="1:8" x14ac:dyDescent="0.25">
      <c r="A20" s="3"/>
      <c r="C20" s="4" t="s">
        <v>8</v>
      </c>
      <c r="D20" s="46">
        <f>ROUNDUP(SUM(D13:D18),0)</f>
        <v>105</v>
      </c>
      <c r="H20" s="1"/>
    </row>
    <row r="21" spans="1:8" x14ac:dyDescent="0.25">
      <c r="A21" s="3"/>
      <c r="C21" s="4"/>
      <c r="D21" s="14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0341-B85D-4FEA-B694-6A5220E9F235}">
  <sheetPr codeName="Sheet9">
    <tabColor rgb="FF00B050"/>
    <pageSetUpPr fitToPage="1"/>
  </sheetPr>
  <dimension ref="A1:H64"/>
  <sheetViews>
    <sheetView workbookViewId="0">
      <selection activeCell="F35" sqref="F35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/>
      <c r="G7" s="12" t="s">
        <v>5</v>
      </c>
      <c r="H7" s="20"/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524</v>
      </c>
      <c r="B10" s="29">
        <v>94804</v>
      </c>
      <c r="C10" s="29" t="s">
        <v>12</v>
      </c>
      <c r="D10" s="28" t="s">
        <v>145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29</v>
      </c>
      <c r="D13" s="32">
        <v>6</v>
      </c>
      <c r="E13" t="s">
        <v>15</v>
      </c>
      <c r="H13" s="1"/>
    </row>
    <row r="14" spans="1:8" x14ac:dyDescent="0.25">
      <c r="A14" s="3"/>
      <c r="C14" s="4" t="s">
        <v>28</v>
      </c>
      <c r="D14" s="36">
        <v>4.5</v>
      </c>
      <c r="E14" t="s">
        <v>12</v>
      </c>
      <c r="H14" s="1"/>
    </row>
    <row r="15" spans="1:8" x14ac:dyDescent="0.25">
      <c r="A15" s="3"/>
      <c r="C15" s="4" t="s">
        <v>30</v>
      </c>
      <c r="D15" s="34">
        <v>8</v>
      </c>
      <c r="E15" t="s">
        <v>12</v>
      </c>
      <c r="H15" s="1"/>
    </row>
    <row r="16" spans="1:8" x14ac:dyDescent="0.25">
      <c r="A16" s="3"/>
      <c r="C16" s="4" t="s">
        <v>32</v>
      </c>
      <c r="D16" s="34">
        <f>D13*D15</f>
        <v>48</v>
      </c>
      <c r="E16" t="s">
        <v>12</v>
      </c>
      <c r="H16" s="1"/>
    </row>
    <row r="17" spans="1:8" x14ac:dyDescent="0.25">
      <c r="A17" s="3"/>
      <c r="C17" s="4"/>
      <c r="D17" s="34"/>
      <c r="H17" s="1"/>
    </row>
    <row r="18" spans="1:8" x14ac:dyDescent="0.25">
      <c r="A18" s="3"/>
      <c r="C18" s="4"/>
      <c r="D18" s="15"/>
      <c r="H18" s="1"/>
    </row>
    <row r="19" spans="1:8" x14ac:dyDescent="0.25">
      <c r="A19" s="3"/>
      <c r="C19" s="37" t="s">
        <v>31</v>
      </c>
      <c r="D19" s="5"/>
      <c r="H19" s="1"/>
    </row>
    <row r="20" spans="1:8" x14ac:dyDescent="0.25">
      <c r="A20" s="3"/>
      <c r="C20" s="4" t="s">
        <v>29</v>
      </c>
      <c r="D20" s="32">
        <v>5</v>
      </c>
      <c r="E20" t="s">
        <v>15</v>
      </c>
      <c r="H20" s="1"/>
    </row>
    <row r="21" spans="1:8" x14ac:dyDescent="0.25">
      <c r="A21" s="3"/>
      <c r="C21" s="4" t="s">
        <v>28</v>
      </c>
      <c r="D21" s="36">
        <v>4.5</v>
      </c>
      <c r="E21" t="s">
        <v>12</v>
      </c>
      <c r="H21" s="1"/>
    </row>
    <row r="22" spans="1:8" x14ac:dyDescent="0.25">
      <c r="A22" s="3"/>
      <c r="C22" s="4" t="s">
        <v>30</v>
      </c>
      <c r="D22" s="34">
        <v>10.25</v>
      </c>
      <c r="E22" t="s">
        <v>12</v>
      </c>
      <c r="H22" s="1"/>
    </row>
    <row r="23" spans="1:8" x14ac:dyDescent="0.25">
      <c r="A23" s="3"/>
      <c r="C23" s="4" t="s">
        <v>32</v>
      </c>
      <c r="D23" s="34">
        <f>D20*D22</f>
        <v>51.25</v>
      </c>
      <c r="E23" t="s">
        <v>12</v>
      </c>
      <c r="H23" s="1"/>
    </row>
    <row r="24" spans="1:8" x14ac:dyDescent="0.25">
      <c r="A24" s="3"/>
      <c r="C24" s="4"/>
      <c r="D24" s="15"/>
      <c r="H24" s="1"/>
    </row>
    <row r="25" spans="1:8" x14ac:dyDescent="0.25">
      <c r="A25" s="3"/>
      <c r="C25" s="4" t="s">
        <v>8</v>
      </c>
      <c r="D25" s="35">
        <f>ROUNDUP(D16+D23,0)</f>
        <v>100</v>
      </c>
      <c r="E25" t="s">
        <v>12</v>
      </c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5FB9-3687-4816-8D9D-60D111C13C35}">
  <sheetPr codeName="Sheet11">
    <tabColor rgb="FF00B050"/>
    <pageSetUpPr fitToPage="1"/>
  </sheetPr>
  <dimension ref="A1:H64"/>
  <sheetViews>
    <sheetView workbookViewId="0">
      <selection activeCell="F17" sqref="F17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526</v>
      </c>
      <c r="B10" s="29">
        <v>30010</v>
      </c>
      <c r="C10" s="29" t="s">
        <v>11</v>
      </c>
      <c r="D10" s="28" t="s">
        <v>168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34</v>
      </c>
      <c r="D12" s="5"/>
      <c r="H12" s="1"/>
    </row>
    <row r="13" spans="1:8" x14ac:dyDescent="0.25">
      <c r="A13" s="3"/>
      <c r="C13" s="4" t="s">
        <v>35</v>
      </c>
      <c r="D13" s="5">
        <v>959.66</v>
      </c>
      <c r="E13" s="34"/>
      <c r="H13" s="1"/>
    </row>
    <row r="14" spans="1:8" x14ac:dyDescent="0.25">
      <c r="A14" s="3"/>
      <c r="C14" s="4"/>
      <c r="D14" s="14"/>
      <c r="H14" s="1"/>
    </row>
    <row r="15" spans="1:8" x14ac:dyDescent="0.25">
      <c r="A15" s="3"/>
      <c r="C15" s="37" t="s">
        <v>89</v>
      </c>
      <c r="D15" s="5"/>
      <c r="H15" s="1"/>
    </row>
    <row r="16" spans="1:8" x14ac:dyDescent="0.25">
      <c r="A16" s="3"/>
      <c r="C16" s="4" t="s">
        <v>35</v>
      </c>
      <c r="D16" s="5">
        <v>972.7</v>
      </c>
      <c r="E16" s="34"/>
      <c r="H16" s="1"/>
    </row>
    <row r="17" spans="1:8" x14ac:dyDescent="0.25">
      <c r="A17" s="3"/>
      <c r="D17" s="14"/>
      <c r="H17" s="1"/>
    </row>
    <row r="18" spans="1:8" x14ac:dyDescent="0.25">
      <c r="A18" s="3"/>
      <c r="C18" s="4" t="s">
        <v>8</v>
      </c>
      <c r="D18" s="44">
        <f>ROUNDUP(SUM(D13:D16)/9,0)</f>
        <v>215</v>
      </c>
      <c r="E18" s="35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8D89-8E95-487E-B288-41E1C3572164}">
  <sheetPr>
    <tabColor rgb="FF00B050"/>
    <pageSetUpPr fitToPage="1"/>
  </sheetPr>
  <dimension ref="A1:H64"/>
  <sheetViews>
    <sheetView workbookViewId="0">
      <selection activeCell="H7" sqref="H7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526</v>
      </c>
      <c r="B10" s="29">
        <v>90011</v>
      </c>
      <c r="C10" s="29" t="s">
        <v>12</v>
      </c>
      <c r="D10" s="28" t="s">
        <v>48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34</v>
      </c>
      <c r="D12" s="5"/>
      <c r="H12" s="1"/>
    </row>
    <row r="13" spans="1:8" x14ac:dyDescent="0.25">
      <c r="A13" s="3"/>
      <c r="C13" s="4" t="s">
        <v>88</v>
      </c>
      <c r="D13" s="39">
        <v>36.924999999999997</v>
      </c>
      <c r="H13" s="1"/>
    </row>
    <row r="14" spans="1:8" x14ac:dyDescent="0.25">
      <c r="A14" s="3"/>
      <c r="C14" s="4"/>
      <c r="D14" s="14"/>
      <c r="H14" s="1"/>
    </row>
    <row r="15" spans="1:8" x14ac:dyDescent="0.25">
      <c r="A15" s="3"/>
      <c r="C15" s="37" t="s">
        <v>89</v>
      </c>
      <c r="D15" s="5"/>
      <c r="H15" s="1"/>
    </row>
    <row r="16" spans="1:8" x14ac:dyDescent="0.25">
      <c r="A16" s="3"/>
      <c r="C16" s="4" t="s">
        <v>88</v>
      </c>
      <c r="D16" s="39">
        <v>37.917999999999999</v>
      </c>
      <c r="H16" s="1"/>
    </row>
    <row r="17" spans="1:8" x14ac:dyDescent="0.25">
      <c r="A17" s="3"/>
      <c r="D17" s="14"/>
      <c r="H17" s="1"/>
    </row>
    <row r="18" spans="1:8" x14ac:dyDescent="0.25">
      <c r="A18" s="3"/>
      <c r="C18" s="4" t="s">
        <v>8</v>
      </c>
      <c r="D18" s="46">
        <f>ROUNDUP(D13+D16,0)</f>
        <v>75</v>
      </c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B5A2-2CF1-4CDA-A8AF-DED3D7197A53}">
  <sheetPr codeName="Sheet18">
    <tabColor rgb="FF00B050"/>
    <pageSetUpPr fitToPage="1"/>
  </sheetPr>
  <dimension ref="A1:H62"/>
  <sheetViews>
    <sheetView workbookViewId="0">
      <selection activeCell="H22" sqref="H22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601</v>
      </c>
      <c r="B10" s="29">
        <v>32104</v>
      </c>
      <c r="C10" s="29" t="s">
        <v>14</v>
      </c>
      <c r="D10" s="28" t="s">
        <v>39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35</v>
      </c>
      <c r="D13" s="5">
        <f>800.07*1.12</f>
        <v>896.0784000000001</v>
      </c>
      <c r="H13" s="1"/>
    </row>
    <row r="14" spans="1:8" x14ac:dyDescent="0.25">
      <c r="A14" s="3"/>
      <c r="C14" s="4" t="s">
        <v>90</v>
      </c>
      <c r="D14" s="39">
        <v>2.5</v>
      </c>
      <c r="H14" s="1"/>
    </row>
    <row r="15" spans="1:8" x14ac:dyDescent="0.25">
      <c r="A15" s="3"/>
      <c r="C15" s="4"/>
      <c r="D15" s="14"/>
      <c r="H15" s="1"/>
    </row>
    <row r="16" spans="1:8" x14ac:dyDescent="0.25">
      <c r="A16" s="3"/>
      <c r="C16" s="37" t="s">
        <v>27</v>
      </c>
      <c r="D16" s="5"/>
      <c r="H16" s="1"/>
    </row>
    <row r="17" spans="1:8" x14ac:dyDescent="0.25">
      <c r="A17" s="3"/>
      <c r="C17" s="4" t="s">
        <v>35</v>
      </c>
      <c r="D17" s="5">
        <f>773.77*1.12</f>
        <v>866.62240000000008</v>
      </c>
      <c r="H17" s="1"/>
    </row>
    <row r="18" spans="1:8" x14ac:dyDescent="0.25">
      <c r="A18" s="3"/>
      <c r="C18" s="4" t="s">
        <v>90</v>
      </c>
      <c r="D18" s="39">
        <v>2.5</v>
      </c>
      <c r="H18" s="1"/>
    </row>
    <row r="19" spans="1:8" x14ac:dyDescent="0.25">
      <c r="A19" s="3"/>
      <c r="D19" s="14"/>
      <c r="H19" s="1"/>
    </row>
    <row r="20" spans="1:8" x14ac:dyDescent="0.25">
      <c r="A20" s="3"/>
      <c r="C20" s="4" t="s">
        <v>8</v>
      </c>
      <c r="D20" s="40">
        <f>ROUNDUP((D13*D14+D17*D18)/27,0)</f>
        <v>164</v>
      </c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49C6-BAE1-441A-9329-63062CE814D0}">
  <sheetPr codeName="Sheet12">
    <tabColor rgb="FF00B050"/>
    <pageSetUpPr fitToPage="1"/>
  </sheetPr>
  <dimension ref="A1:H58"/>
  <sheetViews>
    <sheetView workbookViewId="0">
      <selection activeCell="E40" sqref="E40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202</v>
      </c>
      <c r="B10" s="29">
        <v>23500</v>
      </c>
      <c r="C10" s="29" t="s">
        <v>11</v>
      </c>
      <c r="D10" s="28" t="s">
        <v>47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4" t="s">
        <v>51</v>
      </c>
      <c r="D12" s="5">
        <v>977.49</v>
      </c>
      <c r="H12" s="1"/>
    </row>
    <row r="13" spans="1:8" x14ac:dyDescent="0.25">
      <c r="A13" s="3"/>
      <c r="C13" s="4" t="s">
        <v>50</v>
      </c>
      <c r="H13" s="1"/>
    </row>
    <row r="14" spans="1:8" x14ac:dyDescent="0.25">
      <c r="A14" s="3"/>
      <c r="C14" s="4"/>
      <c r="D14" s="5"/>
      <c r="H14" s="1"/>
    </row>
    <row r="15" spans="1:8" x14ac:dyDescent="0.25">
      <c r="A15" s="3"/>
      <c r="C15" s="4" t="s">
        <v>8</v>
      </c>
      <c r="D15" s="10">
        <f>ROUNDUP(D12/9,0)</f>
        <v>109</v>
      </c>
      <c r="E15" t="s">
        <v>11</v>
      </c>
      <c r="H15" s="1"/>
    </row>
    <row r="16" spans="1:8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0644-2376-48C0-9016-78F4D9F97E9B}">
  <sheetPr codeName="Sheet21">
    <tabColor rgb="FF00B050"/>
    <pageSetUpPr fitToPage="1"/>
  </sheetPr>
  <dimension ref="A1:H107"/>
  <sheetViews>
    <sheetView workbookViewId="0">
      <selection activeCell="E68" sqref="E68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503</v>
      </c>
      <c r="B10" s="29">
        <v>21100</v>
      </c>
      <c r="C10" s="29" t="s">
        <v>14</v>
      </c>
      <c r="D10" s="28" t="s">
        <v>167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133</v>
      </c>
      <c r="D13" s="5">
        <v>173.3</v>
      </c>
      <c r="H13" s="1"/>
    </row>
    <row r="14" spans="1:8" x14ac:dyDescent="0.25">
      <c r="A14" s="3"/>
      <c r="C14" s="4" t="s">
        <v>53</v>
      </c>
      <c r="D14" s="36"/>
      <c r="H14" s="1"/>
    </row>
    <row r="15" spans="1:8" x14ac:dyDescent="0.25">
      <c r="A15" s="3"/>
      <c r="C15" s="4" t="s">
        <v>135</v>
      </c>
      <c r="D15" s="34">
        <v>764.25</v>
      </c>
      <c r="H15" s="1"/>
    </row>
    <row r="16" spans="1:8" x14ac:dyDescent="0.25">
      <c r="A16" s="3"/>
      <c r="C16" s="4" t="s">
        <v>136</v>
      </c>
      <c r="D16" s="34">
        <v>765.07</v>
      </c>
      <c r="H16" s="1"/>
    </row>
    <row r="17" spans="1:8" x14ac:dyDescent="0.25">
      <c r="A17" s="3"/>
      <c r="C17" s="4" t="s">
        <v>137</v>
      </c>
      <c r="D17" s="34">
        <v>758.6</v>
      </c>
      <c r="H17" s="1"/>
    </row>
    <row r="18" spans="1:8" x14ac:dyDescent="0.25">
      <c r="A18" s="3"/>
      <c r="C18" s="4" t="s">
        <v>138</v>
      </c>
      <c r="D18" s="34">
        <v>762.27</v>
      </c>
      <c r="H18" s="1"/>
    </row>
    <row r="19" spans="1:8" x14ac:dyDescent="0.25">
      <c r="A19" s="3"/>
      <c r="C19" s="4" t="s">
        <v>165</v>
      </c>
      <c r="D19" s="34">
        <v>759</v>
      </c>
      <c r="H19" s="1"/>
    </row>
    <row r="20" spans="1:8" x14ac:dyDescent="0.25">
      <c r="A20" s="3"/>
      <c r="C20" s="4" t="s">
        <v>32</v>
      </c>
      <c r="D20" s="40">
        <f>(AVERAGE(D15:D18)-D19)*D13/27</f>
        <v>22.769694444444532</v>
      </c>
      <c r="H20" s="1"/>
    </row>
    <row r="21" spans="1:8" x14ac:dyDescent="0.25">
      <c r="A21" s="3"/>
      <c r="C21" s="4"/>
      <c r="D21" s="34"/>
      <c r="H21" s="1"/>
    </row>
    <row r="22" spans="1:8" x14ac:dyDescent="0.25">
      <c r="A22" s="3"/>
      <c r="C22" s="4" t="s">
        <v>139</v>
      </c>
      <c r="D22" s="5">
        <v>282.91399999999999</v>
      </c>
      <c r="H22" s="1"/>
    </row>
    <row r="23" spans="1:8" x14ac:dyDescent="0.25">
      <c r="A23" s="3"/>
      <c r="C23" s="4" t="s">
        <v>53</v>
      </c>
      <c r="D23" s="36"/>
      <c r="H23" s="1"/>
    </row>
    <row r="24" spans="1:8" x14ac:dyDescent="0.25">
      <c r="A24" s="3"/>
      <c r="C24" s="4" t="s">
        <v>135</v>
      </c>
      <c r="D24" s="34">
        <f>D17</f>
        <v>758.6</v>
      </c>
      <c r="H24" s="1"/>
    </row>
    <row r="25" spans="1:8" x14ac:dyDescent="0.25">
      <c r="A25" s="3"/>
      <c r="C25" s="4" t="s">
        <v>136</v>
      </c>
      <c r="D25" s="34">
        <f>D18</f>
        <v>762.27</v>
      </c>
      <c r="H25" s="1"/>
    </row>
    <row r="26" spans="1:8" x14ac:dyDescent="0.25">
      <c r="A26" s="3"/>
      <c r="C26" s="4" t="s">
        <v>137</v>
      </c>
      <c r="D26" s="34">
        <f>D33</f>
        <v>770.08</v>
      </c>
      <c r="H26" s="1"/>
    </row>
    <row r="27" spans="1:8" x14ac:dyDescent="0.25">
      <c r="A27" s="3"/>
      <c r="C27" s="4" t="s">
        <v>138</v>
      </c>
      <c r="D27" s="34">
        <f>D34</f>
        <v>770.12</v>
      </c>
      <c r="H27" s="1"/>
    </row>
    <row r="28" spans="1:8" x14ac:dyDescent="0.25">
      <c r="A28" s="3"/>
      <c r="C28" s="4" t="s">
        <v>165</v>
      </c>
      <c r="D28" s="34">
        <v>759</v>
      </c>
      <c r="H28" s="1"/>
    </row>
    <row r="29" spans="1:8" x14ac:dyDescent="0.25">
      <c r="A29" s="3"/>
      <c r="C29" s="4" t="s">
        <v>32</v>
      </c>
      <c r="D29" s="40">
        <f>(AVERAGE(D24:D27)-D28)*D22/27</f>
        <v>65.672722037036266</v>
      </c>
      <c r="H29" s="1"/>
    </row>
    <row r="30" spans="1:8" x14ac:dyDescent="0.25">
      <c r="A30" s="3"/>
      <c r="C30" s="4"/>
      <c r="D30" s="34"/>
      <c r="H30" s="1"/>
    </row>
    <row r="31" spans="1:8" x14ac:dyDescent="0.25">
      <c r="A31" s="3"/>
      <c r="C31" s="4" t="s">
        <v>140</v>
      </c>
      <c r="D31" s="5">
        <v>109.873</v>
      </c>
      <c r="H31" s="1"/>
    </row>
    <row r="32" spans="1:8" x14ac:dyDescent="0.25">
      <c r="A32" s="3"/>
      <c r="C32" s="4" t="s">
        <v>53</v>
      </c>
      <c r="D32" s="36"/>
      <c r="H32" s="1"/>
    </row>
    <row r="33" spans="1:8" x14ac:dyDescent="0.25">
      <c r="A33" s="3"/>
      <c r="C33" s="4" t="s">
        <v>135</v>
      </c>
      <c r="D33" s="34">
        <v>770.08</v>
      </c>
      <c r="H33" s="1"/>
    </row>
    <row r="34" spans="1:8" x14ac:dyDescent="0.25">
      <c r="A34" s="3"/>
      <c r="C34" s="4" t="s">
        <v>136</v>
      </c>
      <c r="D34" s="34">
        <v>770.12</v>
      </c>
      <c r="H34" s="1"/>
    </row>
    <row r="35" spans="1:8" x14ac:dyDescent="0.25">
      <c r="A35" s="3"/>
      <c r="C35" s="4" t="s">
        <v>137</v>
      </c>
      <c r="D35" s="34">
        <v>767.11</v>
      </c>
      <c r="H35" s="1"/>
    </row>
    <row r="36" spans="1:8" x14ac:dyDescent="0.25">
      <c r="A36" s="3"/>
      <c r="C36" s="4" t="s">
        <v>138</v>
      </c>
      <c r="D36" s="34">
        <v>765</v>
      </c>
      <c r="H36" s="1"/>
    </row>
    <row r="37" spans="1:8" x14ac:dyDescent="0.25">
      <c r="A37" s="3"/>
      <c r="C37" s="4" t="s">
        <v>165</v>
      </c>
      <c r="D37" s="34">
        <v>759</v>
      </c>
      <c r="H37" s="1"/>
    </row>
    <row r="38" spans="1:8" x14ac:dyDescent="0.25">
      <c r="A38" s="3"/>
      <c r="C38" s="4" t="s">
        <v>32</v>
      </c>
      <c r="D38" s="40">
        <f>(AVERAGE(D33:D36)-D37)*D31/27</f>
        <v>36.939709537036983</v>
      </c>
      <c r="H38" s="1"/>
    </row>
    <row r="39" spans="1:8" x14ac:dyDescent="0.25">
      <c r="A39" s="3"/>
      <c r="C39" s="4"/>
      <c r="D39" s="34"/>
      <c r="H39" s="1"/>
    </row>
    <row r="40" spans="1:8" x14ac:dyDescent="0.25">
      <c r="A40" s="3"/>
      <c r="C40" s="37" t="s">
        <v>31</v>
      </c>
      <c r="D40" s="5"/>
      <c r="H40" s="1"/>
    </row>
    <row r="41" spans="1:8" x14ac:dyDescent="0.25">
      <c r="A41" s="3"/>
      <c r="C41" s="4" t="s">
        <v>133</v>
      </c>
      <c r="D41" s="5">
        <v>73.605000000000004</v>
      </c>
      <c r="H41" s="1"/>
    </row>
    <row r="42" spans="1:8" x14ac:dyDescent="0.25">
      <c r="A42" s="3"/>
      <c r="C42" s="4" t="s">
        <v>53</v>
      </c>
      <c r="D42" s="36"/>
      <c r="H42" s="1"/>
    </row>
    <row r="43" spans="1:8" x14ac:dyDescent="0.25">
      <c r="A43" s="3"/>
      <c r="C43" s="4" t="s">
        <v>135</v>
      </c>
      <c r="D43" s="34">
        <v>763.58</v>
      </c>
      <c r="H43" s="1"/>
    </row>
    <row r="44" spans="1:8" x14ac:dyDescent="0.25">
      <c r="A44" s="3"/>
      <c r="C44" s="4" t="s">
        <v>136</v>
      </c>
      <c r="D44" s="34">
        <v>765.13</v>
      </c>
      <c r="H44" s="1"/>
    </row>
    <row r="45" spans="1:8" x14ac:dyDescent="0.25">
      <c r="A45" s="3"/>
      <c r="C45" s="4" t="s">
        <v>137</v>
      </c>
      <c r="D45" s="34">
        <v>762.17</v>
      </c>
      <c r="H45" s="1"/>
    </row>
    <row r="46" spans="1:8" x14ac:dyDescent="0.25">
      <c r="A46" s="3"/>
      <c r="C46" s="4" t="s">
        <v>138</v>
      </c>
      <c r="D46" s="34">
        <v>768.5</v>
      </c>
      <c r="H46" s="1"/>
    </row>
    <row r="47" spans="1:8" x14ac:dyDescent="0.25">
      <c r="A47" s="3"/>
      <c r="C47" s="4" t="s">
        <v>165</v>
      </c>
      <c r="D47" s="34">
        <v>758.7</v>
      </c>
      <c r="H47" s="1"/>
    </row>
    <row r="48" spans="1:8" x14ac:dyDescent="0.25">
      <c r="A48" s="3"/>
      <c r="C48" s="4" t="s">
        <v>32</v>
      </c>
      <c r="D48" s="40">
        <f>(AVERAGE(D43:D46)-D47)*D41/27</f>
        <v>16.751952777777731</v>
      </c>
      <c r="H48" s="1"/>
    </row>
    <row r="49" spans="1:8" x14ac:dyDescent="0.25">
      <c r="A49" s="3"/>
      <c r="C49" s="4"/>
      <c r="D49" s="34"/>
      <c r="H49" s="1"/>
    </row>
    <row r="50" spans="1:8" x14ac:dyDescent="0.25">
      <c r="A50" s="3"/>
      <c r="C50" s="4" t="s">
        <v>139</v>
      </c>
      <c r="D50" s="5">
        <v>218.42400000000001</v>
      </c>
      <c r="H50" s="1"/>
    </row>
    <row r="51" spans="1:8" x14ac:dyDescent="0.25">
      <c r="A51" s="3"/>
      <c r="C51" s="4" t="s">
        <v>53</v>
      </c>
      <c r="D51" s="36"/>
      <c r="H51" s="1"/>
    </row>
    <row r="52" spans="1:8" x14ac:dyDescent="0.25">
      <c r="A52" s="3"/>
      <c r="C52" s="4" t="s">
        <v>135</v>
      </c>
      <c r="D52" s="34">
        <v>770</v>
      </c>
      <c r="H52" s="1"/>
    </row>
    <row r="53" spans="1:8" x14ac:dyDescent="0.25">
      <c r="A53" s="3"/>
      <c r="C53" s="4" t="s">
        <v>136</v>
      </c>
      <c r="D53" s="34">
        <v>770</v>
      </c>
      <c r="H53" s="1"/>
    </row>
    <row r="54" spans="1:8" x14ac:dyDescent="0.25">
      <c r="A54" s="3"/>
      <c r="C54" s="4" t="s">
        <v>137</v>
      </c>
      <c r="D54" s="34">
        <v>770</v>
      </c>
      <c r="H54" s="1"/>
    </row>
    <row r="55" spans="1:8" x14ac:dyDescent="0.25">
      <c r="A55" s="3"/>
      <c r="C55" s="4" t="s">
        <v>138</v>
      </c>
      <c r="D55" s="34">
        <v>770</v>
      </c>
      <c r="H55" s="1"/>
    </row>
    <row r="56" spans="1:8" x14ac:dyDescent="0.25">
      <c r="A56" s="3"/>
      <c r="C56" s="4" t="s">
        <v>165</v>
      </c>
      <c r="D56" s="34">
        <v>758.7</v>
      </c>
      <c r="H56" s="1"/>
    </row>
    <row r="57" spans="1:8" x14ac:dyDescent="0.25">
      <c r="A57" s="3"/>
      <c r="C57" s="4" t="s">
        <v>32</v>
      </c>
      <c r="D57" s="40">
        <f>(AVERAGE(D52:D55)-D56)*D50/27</f>
        <v>91.414488888888528</v>
      </c>
      <c r="H57" s="1"/>
    </row>
    <row r="58" spans="1:8" x14ac:dyDescent="0.25">
      <c r="A58" s="3"/>
      <c r="C58" s="4"/>
      <c r="D58" s="34"/>
      <c r="H58" s="1"/>
    </row>
    <row r="59" spans="1:8" x14ac:dyDescent="0.25">
      <c r="A59" s="3"/>
      <c r="C59" s="4" t="s">
        <v>140</v>
      </c>
      <c r="D59" s="5">
        <v>156.12700000000001</v>
      </c>
      <c r="H59" s="1"/>
    </row>
    <row r="60" spans="1:8" x14ac:dyDescent="0.25">
      <c r="A60" s="3"/>
      <c r="C60" s="4" t="s">
        <v>53</v>
      </c>
      <c r="D60" s="36"/>
      <c r="H60" s="1"/>
    </row>
    <row r="61" spans="1:8" x14ac:dyDescent="0.25">
      <c r="A61" s="3"/>
      <c r="C61" s="4" t="s">
        <v>135</v>
      </c>
      <c r="D61" s="34">
        <v>769.49</v>
      </c>
      <c r="H61" s="1"/>
    </row>
    <row r="62" spans="1:8" x14ac:dyDescent="0.25">
      <c r="A62" s="3"/>
      <c r="C62" s="4" t="s">
        <v>136</v>
      </c>
      <c r="D62" s="34">
        <v>769.34</v>
      </c>
      <c r="H62" s="1"/>
    </row>
    <row r="63" spans="1:8" x14ac:dyDescent="0.25">
      <c r="A63" s="3"/>
      <c r="C63" s="4" t="s">
        <v>137</v>
      </c>
      <c r="D63" s="34">
        <v>763.22</v>
      </c>
      <c r="H63" s="1"/>
    </row>
    <row r="64" spans="1:8" x14ac:dyDescent="0.25">
      <c r="A64" s="3"/>
      <c r="C64" s="4" t="s">
        <v>138</v>
      </c>
      <c r="D64" s="34">
        <v>763.79</v>
      </c>
      <c r="H64" s="1"/>
    </row>
    <row r="65" spans="1:8" x14ac:dyDescent="0.25">
      <c r="A65" s="3"/>
      <c r="C65" s="4" t="s">
        <v>165</v>
      </c>
      <c r="D65" s="34">
        <v>758.7</v>
      </c>
      <c r="H65" s="1"/>
    </row>
    <row r="66" spans="1:8" x14ac:dyDescent="0.25">
      <c r="A66" s="3"/>
      <c r="C66" s="4" t="s">
        <v>32</v>
      </c>
      <c r="D66" s="40">
        <f>(AVERAGE(D61:D64)-D65)*D59/27</f>
        <v>44.87205629629625</v>
      </c>
      <c r="H66" s="1"/>
    </row>
    <row r="67" spans="1:8" x14ac:dyDescent="0.25">
      <c r="A67" s="3"/>
      <c r="C67" s="4"/>
      <c r="D67" s="15"/>
      <c r="H67" s="1"/>
    </row>
    <row r="68" spans="1:8" x14ac:dyDescent="0.25">
      <c r="A68" s="3"/>
      <c r="C68" s="4" t="s">
        <v>8</v>
      </c>
      <c r="D68" s="40">
        <f>ROUNDUP(D20+D29+D38+D48+D57+D66,0)</f>
        <v>279</v>
      </c>
      <c r="H68" s="1"/>
    </row>
    <row r="69" spans="1:8" x14ac:dyDescent="0.25">
      <c r="A69" s="3"/>
      <c r="H69" s="1"/>
    </row>
    <row r="70" spans="1:8" x14ac:dyDescent="0.25">
      <c r="A70" s="3"/>
      <c r="H70" s="1"/>
    </row>
    <row r="71" spans="1:8" x14ac:dyDescent="0.25">
      <c r="A71" s="3"/>
      <c r="H71" s="1"/>
    </row>
    <row r="72" spans="1:8" x14ac:dyDescent="0.25">
      <c r="A72" s="3"/>
      <c r="H72" s="1"/>
    </row>
    <row r="73" spans="1:8" x14ac:dyDescent="0.25">
      <c r="A73" s="3"/>
      <c r="H73" s="1"/>
    </row>
    <row r="74" spans="1:8" x14ac:dyDescent="0.25">
      <c r="A74" s="3"/>
      <c r="H74" s="1"/>
    </row>
    <row r="75" spans="1:8" x14ac:dyDescent="0.25">
      <c r="A75" s="3"/>
      <c r="H75" s="1"/>
    </row>
    <row r="76" spans="1:8" x14ac:dyDescent="0.25">
      <c r="A76" s="3"/>
      <c r="H76" s="1"/>
    </row>
    <row r="77" spans="1:8" x14ac:dyDescent="0.25">
      <c r="A77" s="3"/>
      <c r="H77" s="1"/>
    </row>
    <row r="78" spans="1:8" x14ac:dyDescent="0.25">
      <c r="A78" s="3"/>
      <c r="H78" s="1"/>
    </row>
    <row r="79" spans="1:8" x14ac:dyDescent="0.25">
      <c r="A79" s="3"/>
      <c r="H79" s="1"/>
    </row>
    <row r="80" spans="1:8" x14ac:dyDescent="0.25">
      <c r="A80" s="3"/>
      <c r="H80" s="1"/>
    </row>
    <row r="81" spans="1:8" x14ac:dyDescent="0.25">
      <c r="A81" s="3"/>
      <c r="H81" s="1"/>
    </row>
    <row r="82" spans="1:8" x14ac:dyDescent="0.25">
      <c r="A82" s="3"/>
      <c r="H82" s="1"/>
    </row>
    <row r="83" spans="1:8" x14ac:dyDescent="0.25">
      <c r="A83" s="3"/>
      <c r="H83" s="1"/>
    </row>
    <row r="84" spans="1:8" x14ac:dyDescent="0.25">
      <c r="A84" s="3"/>
      <c r="H84" s="1"/>
    </row>
    <row r="85" spans="1:8" x14ac:dyDescent="0.25">
      <c r="A85" s="3"/>
      <c r="H85" s="1"/>
    </row>
    <row r="86" spans="1:8" x14ac:dyDescent="0.25">
      <c r="A86" s="3"/>
      <c r="H86" s="1"/>
    </row>
    <row r="87" spans="1:8" x14ac:dyDescent="0.25">
      <c r="A87" s="3"/>
      <c r="H87" s="1"/>
    </row>
    <row r="88" spans="1:8" x14ac:dyDescent="0.25">
      <c r="A88" s="3"/>
      <c r="H88" s="1"/>
    </row>
    <row r="89" spans="1:8" x14ac:dyDescent="0.25">
      <c r="A89" s="3"/>
      <c r="H89" s="1"/>
    </row>
    <row r="90" spans="1:8" x14ac:dyDescent="0.25">
      <c r="A90" s="3"/>
      <c r="H90" s="1"/>
    </row>
    <row r="91" spans="1:8" x14ac:dyDescent="0.25">
      <c r="A91" s="3"/>
      <c r="H91" s="1"/>
    </row>
    <row r="92" spans="1:8" x14ac:dyDescent="0.25">
      <c r="A92" s="3"/>
      <c r="H92" s="1"/>
    </row>
    <row r="93" spans="1:8" x14ac:dyDescent="0.25">
      <c r="A93" s="3"/>
      <c r="H93" s="1"/>
    </row>
    <row r="94" spans="1:8" x14ac:dyDescent="0.25">
      <c r="A94" s="3"/>
      <c r="H94" s="1"/>
    </row>
    <row r="95" spans="1:8" x14ac:dyDescent="0.25">
      <c r="A95" s="3"/>
      <c r="H95" s="1"/>
    </row>
    <row r="96" spans="1:8" x14ac:dyDescent="0.25">
      <c r="A96" s="3"/>
      <c r="H96" s="1"/>
    </row>
    <row r="97" spans="1:8" x14ac:dyDescent="0.25">
      <c r="A97" s="3"/>
      <c r="H97" s="1"/>
    </row>
    <row r="98" spans="1:8" x14ac:dyDescent="0.25">
      <c r="A98" s="3"/>
      <c r="H98" s="1"/>
    </row>
    <row r="99" spans="1:8" x14ac:dyDescent="0.25">
      <c r="A99" s="3"/>
      <c r="H99" s="1"/>
    </row>
    <row r="100" spans="1:8" x14ac:dyDescent="0.25">
      <c r="A100" s="3"/>
      <c r="H100" s="1"/>
    </row>
    <row r="101" spans="1:8" x14ac:dyDescent="0.25">
      <c r="A101" s="3"/>
      <c r="H101" s="1"/>
    </row>
    <row r="102" spans="1:8" x14ac:dyDescent="0.25">
      <c r="A102" s="3"/>
      <c r="H102" s="1"/>
    </row>
    <row r="103" spans="1:8" x14ac:dyDescent="0.25">
      <c r="A103" s="3"/>
      <c r="H103" s="1"/>
    </row>
    <row r="104" spans="1:8" x14ac:dyDescent="0.25">
      <c r="A104" s="3"/>
      <c r="H104" s="1"/>
    </row>
    <row r="105" spans="1:8" x14ac:dyDescent="0.25">
      <c r="A105" s="3"/>
      <c r="H105" s="1"/>
    </row>
    <row r="106" spans="1:8" x14ac:dyDescent="0.25">
      <c r="A106" s="3"/>
      <c r="H106" s="1"/>
    </row>
    <row r="107" spans="1:8" x14ac:dyDescent="0.25">
      <c r="A107" s="3"/>
      <c r="H107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D3A4-3E6E-482A-B154-0437AA854A4B}">
  <sheetPr>
    <tabColor rgb="FF00B050"/>
  </sheetPr>
  <dimension ref="A1:H64"/>
  <sheetViews>
    <sheetView workbookViewId="0">
      <selection activeCell="D25" sqref="D25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142</v>
      </c>
      <c r="G6" s="12" t="s">
        <v>5</v>
      </c>
      <c r="H6" s="20">
        <v>44867</v>
      </c>
    </row>
    <row r="7" spans="1:8" x14ac:dyDescent="0.25">
      <c r="A7" s="19" t="s">
        <v>9</v>
      </c>
      <c r="B7" s="26" t="s">
        <v>17</v>
      </c>
      <c r="E7" s="12" t="s">
        <v>6</v>
      </c>
      <c r="F7" s="13"/>
      <c r="G7" s="12" t="s">
        <v>5</v>
      </c>
      <c r="H7" s="20"/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503</v>
      </c>
      <c r="B10" s="29">
        <v>31120</v>
      </c>
      <c r="C10" s="29" t="s">
        <v>14</v>
      </c>
      <c r="D10" s="28" t="s">
        <v>166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" t="s">
        <v>169</v>
      </c>
      <c r="D13" s="5">
        <v>383.7</v>
      </c>
      <c r="H13" s="1"/>
    </row>
    <row r="14" spans="1:8" x14ac:dyDescent="0.25">
      <c r="A14" s="3"/>
      <c r="C14" s="4" t="s">
        <v>164</v>
      </c>
      <c r="D14" s="34">
        <v>759</v>
      </c>
      <c r="H14" s="1"/>
    </row>
    <row r="15" spans="1:8" x14ac:dyDescent="0.25">
      <c r="A15" s="3"/>
      <c r="C15" s="4" t="s">
        <v>134</v>
      </c>
      <c r="D15" s="34">
        <v>753.75</v>
      </c>
      <c r="H15" s="1"/>
    </row>
    <row r="16" spans="1:8" x14ac:dyDescent="0.25">
      <c r="A16" s="3"/>
      <c r="C16" s="4" t="s">
        <v>32</v>
      </c>
      <c r="D16" s="40">
        <f>(D14-D15)*D13/27</f>
        <v>74.608333333333334</v>
      </c>
      <c r="H16" s="1"/>
    </row>
    <row r="17" spans="1:8" x14ac:dyDescent="0.25">
      <c r="A17" s="3"/>
      <c r="C17" s="4"/>
      <c r="D17" s="34"/>
      <c r="H17" s="1"/>
    </row>
    <row r="18" spans="1:8" x14ac:dyDescent="0.25">
      <c r="A18" s="3"/>
      <c r="C18" s="37" t="s">
        <v>31</v>
      </c>
      <c r="D18" s="5"/>
      <c r="H18" s="1"/>
    </row>
    <row r="19" spans="1:8" x14ac:dyDescent="0.25">
      <c r="A19" s="3"/>
      <c r="C19" s="4" t="s">
        <v>133</v>
      </c>
      <c r="D19" s="5">
        <v>301.3</v>
      </c>
      <c r="H19" s="1"/>
    </row>
    <row r="20" spans="1:8" x14ac:dyDescent="0.25">
      <c r="A20" s="3"/>
      <c r="C20" s="4" t="s">
        <v>164</v>
      </c>
      <c r="D20" s="34">
        <v>758.7</v>
      </c>
      <c r="H20" s="1"/>
    </row>
    <row r="21" spans="1:8" x14ac:dyDescent="0.25">
      <c r="A21" s="3"/>
      <c r="C21" s="4" t="s">
        <v>134</v>
      </c>
      <c r="D21" s="34">
        <v>757.75</v>
      </c>
      <c r="H21" s="1"/>
    </row>
    <row r="22" spans="1:8" x14ac:dyDescent="0.25">
      <c r="A22" s="3"/>
      <c r="C22" s="4" t="s">
        <v>32</v>
      </c>
      <c r="D22" s="40">
        <f>(D20-D21)*D19/27</f>
        <v>10.601296296296804</v>
      </c>
      <c r="H22" s="1"/>
    </row>
    <row r="23" spans="1:8" x14ac:dyDescent="0.25">
      <c r="A23" s="3"/>
      <c r="C23" s="4"/>
      <c r="D23" s="34"/>
      <c r="H23" s="1"/>
    </row>
    <row r="24" spans="1:8" x14ac:dyDescent="0.25">
      <c r="A24" s="3"/>
      <c r="C24" s="4"/>
      <c r="D24" s="15"/>
      <c r="H24" s="1"/>
    </row>
    <row r="25" spans="1:8" x14ac:dyDescent="0.25">
      <c r="A25" s="3"/>
      <c r="C25" s="4" t="s">
        <v>8</v>
      </c>
      <c r="D25" s="40">
        <f>ROUNDUP(D16+D22,0)</f>
        <v>86</v>
      </c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213A-4445-41F9-A557-D7B3037D693B}">
  <sheetPr codeName="Sheet10">
    <tabColor rgb="FF00B050"/>
    <pageSetUpPr fitToPage="1"/>
  </sheetPr>
  <dimension ref="A1:H57"/>
  <sheetViews>
    <sheetView workbookViewId="0">
      <selection activeCell="F25" sqref="F25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12" t="s">
        <v>154</v>
      </c>
      <c r="F8" s="13" t="s">
        <v>142</v>
      </c>
      <c r="G8" s="12" t="s">
        <v>5</v>
      </c>
      <c r="H8" s="20">
        <v>44804</v>
      </c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509</v>
      </c>
      <c r="B10" s="29">
        <v>10000</v>
      </c>
      <c r="C10" s="29" t="s">
        <v>13</v>
      </c>
      <c r="D10" s="28" t="s">
        <v>157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4" t="s">
        <v>155</v>
      </c>
      <c r="D12" s="56">
        <v>8830</v>
      </c>
      <c r="E12" t="s">
        <v>33</v>
      </c>
      <c r="H12" s="1"/>
    </row>
    <row r="13" spans="1:8" x14ac:dyDescent="0.25">
      <c r="A13" s="3"/>
      <c r="C13" s="4" t="s">
        <v>156</v>
      </c>
      <c r="D13" s="56">
        <f>8159+12962</f>
        <v>21121</v>
      </c>
      <c r="E13" t="s">
        <v>33</v>
      </c>
      <c r="H13" s="1"/>
    </row>
    <row r="14" spans="1:8" x14ac:dyDescent="0.25">
      <c r="A14" s="3"/>
      <c r="D14" s="14"/>
      <c r="H14" s="1"/>
    </row>
    <row r="15" spans="1:8" x14ac:dyDescent="0.25">
      <c r="A15" s="3"/>
      <c r="C15" s="4" t="s">
        <v>8</v>
      </c>
      <c r="D15" s="38">
        <f>SUM(D12:D13)</f>
        <v>29951</v>
      </c>
      <c r="E15" t="s">
        <v>33</v>
      </c>
      <c r="H15" s="1"/>
    </row>
    <row r="16" spans="1:8" x14ac:dyDescent="0.25">
      <c r="A16" s="3"/>
      <c r="H16" s="1"/>
    </row>
    <row r="17" spans="1:8" x14ac:dyDescent="0.25">
      <c r="A17" s="3"/>
      <c r="H17" s="1"/>
    </row>
    <row r="18" spans="1:8" x14ac:dyDescent="0.25">
      <c r="A18" s="3"/>
      <c r="H18" s="1"/>
    </row>
    <row r="19" spans="1:8" x14ac:dyDescent="0.25">
      <c r="A19" s="3"/>
      <c r="H19" s="1"/>
    </row>
    <row r="20" spans="1:8" x14ac:dyDescent="0.25">
      <c r="A20" s="3"/>
      <c r="H20" s="1"/>
    </row>
    <row r="21" spans="1:8" x14ac:dyDescent="0.25">
      <c r="A21" s="3"/>
      <c r="H21" s="1"/>
    </row>
    <row r="22" spans="1:8" x14ac:dyDescent="0.25">
      <c r="A22" s="3"/>
      <c r="H22" s="1"/>
    </row>
    <row r="23" spans="1:8" x14ac:dyDescent="0.25">
      <c r="A23" s="3"/>
      <c r="H23" s="1"/>
    </row>
    <row r="24" spans="1:8" x14ac:dyDescent="0.25">
      <c r="A24" s="3"/>
      <c r="H24" s="1"/>
    </row>
    <row r="25" spans="1:8" x14ac:dyDescent="0.25">
      <c r="A25" s="3"/>
      <c r="H25" s="1"/>
    </row>
    <row r="26" spans="1:8" x14ac:dyDescent="0.25">
      <c r="A26" s="3"/>
      <c r="H26" s="1"/>
    </row>
    <row r="27" spans="1:8" x14ac:dyDescent="0.25">
      <c r="A27" s="3"/>
      <c r="H27" s="1"/>
    </row>
    <row r="28" spans="1:8" x14ac:dyDescent="0.25">
      <c r="A28" s="3"/>
      <c r="H28" s="1"/>
    </row>
    <row r="29" spans="1:8" x14ac:dyDescent="0.25">
      <c r="A29" s="3"/>
      <c r="H29" s="1"/>
    </row>
    <row r="30" spans="1:8" x14ac:dyDescent="0.25">
      <c r="A30" s="3"/>
      <c r="H30" s="1"/>
    </row>
    <row r="31" spans="1:8" x14ac:dyDescent="0.25">
      <c r="A31" s="3"/>
      <c r="H31" s="1"/>
    </row>
    <row r="32" spans="1:8" x14ac:dyDescent="0.25">
      <c r="A32" s="3"/>
      <c r="H32" s="1"/>
    </row>
    <row r="33" spans="1:8" x14ac:dyDescent="0.25">
      <c r="A33" s="3"/>
      <c r="H33" s="1"/>
    </row>
    <row r="34" spans="1:8" x14ac:dyDescent="0.25">
      <c r="A34" s="3"/>
      <c r="H34" s="1"/>
    </row>
    <row r="35" spans="1:8" x14ac:dyDescent="0.25">
      <c r="A35" s="3"/>
      <c r="H35" s="1"/>
    </row>
    <row r="36" spans="1:8" x14ac:dyDescent="0.25">
      <c r="A36" s="3"/>
      <c r="H36" s="1"/>
    </row>
    <row r="37" spans="1:8" x14ac:dyDescent="0.25">
      <c r="A37" s="3"/>
      <c r="H37" s="1"/>
    </row>
    <row r="38" spans="1:8" x14ac:dyDescent="0.25">
      <c r="A38" s="3"/>
      <c r="H38" s="1"/>
    </row>
    <row r="39" spans="1:8" x14ac:dyDescent="0.25">
      <c r="A39" s="3"/>
      <c r="H39" s="1"/>
    </row>
    <row r="40" spans="1:8" x14ac:dyDescent="0.25">
      <c r="A40" s="3"/>
      <c r="H40" s="1"/>
    </row>
    <row r="41" spans="1:8" x14ac:dyDescent="0.25">
      <c r="A41" s="3"/>
      <c r="H41" s="1"/>
    </row>
    <row r="42" spans="1:8" x14ac:dyDescent="0.25">
      <c r="A42" s="3"/>
      <c r="H42" s="1"/>
    </row>
    <row r="43" spans="1:8" x14ac:dyDescent="0.25">
      <c r="A43" s="3"/>
      <c r="H43" s="1"/>
    </row>
    <row r="44" spans="1:8" x14ac:dyDescent="0.25">
      <c r="A44" s="3"/>
      <c r="H44" s="1"/>
    </row>
    <row r="45" spans="1:8" x14ac:dyDescent="0.25">
      <c r="A45" s="3"/>
      <c r="H45" s="1"/>
    </row>
    <row r="46" spans="1:8" x14ac:dyDescent="0.25">
      <c r="A46" s="3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H49" s="1"/>
    </row>
    <row r="50" spans="1:8" x14ac:dyDescent="0.25">
      <c r="A50" s="3"/>
      <c r="H50" s="1"/>
    </row>
    <row r="51" spans="1:8" x14ac:dyDescent="0.25">
      <c r="A51" s="3"/>
      <c r="H51" s="1"/>
    </row>
    <row r="52" spans="1:8" x14ac:dyDescent="0.25">
      <c r="A52" s="3"/>
      <c r="H52" s="1"/>
    </row>
    <row r="53" spans="1:8" x14ac:dyDescent="0.25">
      <c r="A53" s="3"/>
      <c r="H53" s="1"/>
    </row>
    <row r="54" spans="1:8" x14ac:dyDescent="0.25">
      <c r="A54" s="3"/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E02C-7749-48BE-8082-1A9154D9E3CF}">
  <sheetPr codeName="Sheet19">
    <tabColor rgb="FF00B050"/>
    <pageSetUpPr fitToPage="1"/>
  </sheetPr>
  <dimension ref="A1:I114"/>
  <sheetViews>
    <sheetView workbookViewId="0">
      <selection activeCell="B1" sqref="B1"/>
    </sheetView>
  </sheetViews>
  <sheetFormatPr defaultRowHeight="15" x14ac:dyDescent="0.25"/>
  <cols>
    <col min="1" max="8" width="15.28515625" customWidth="1"/>
  </cols>
  <sheetData>
    <row r="1" spans="1:9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9" x14ac:dyDescent="0.25">
      <c r="A2" s="3"/>
      <c r="H2" s="1"/>
    </row>
    <row r="3" spans="1:9" x14ac:dyDescent="0.25">
      <c r="A3" s="3"/>
      <c r="H3" s="1"/>
    </row>
    <row r="4" spans="1:9" x14ac:dyDescent="0.25">
      <c r="A4" s="19" t="s">
        <v>2</v>
      </c>
      <c r="B4" s="11">
        <v>10008</v>
      </c>
      <c r="H4" s="1"/>
    </row>
    <row r="5" spans="1:9" x14ac:dyDescent="0.25">
      <c r="A5" s="19" t="s">
        <v>0</v>
      </c>
      <c r="B5" s="13" t="s">
        <v>21</v>
      </c>
      <c r="H5" s="1"/>
    </row>
    <row r="6" spans="1:9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9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9" x14ac:dyDescent="0.25">
      <c r="A8" s="21"/>
      <c r="B8" s="22"/>
      <c r="C8" s="7"/>
      <c r="D8" s="7"/>
      <c r="E8" s="12" t="s">
        <v>154</v>
      </c>
      <c r="F8" s="13" t="s">
        <v>142</v>
      </c>
      <c r="G8" s="12" t="s">
        <v>5</v>
      </c>
      <c r="H8" s="20">
        <v>44804</v>
      </c>
      <c r="I8" s="13"/>
    </row>
    <row r="9" spans="1:9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9" x14ac:dyDescent="0.25">
      <c r="A10" s="30">
        <v>512</v>
      </c>
      <c r="B10" s="29">
        <v>10100</v>
      </c>
      <c r="C10" s="29" t="s">
        <v>11</v>
      </c>
      <c r="D10" s="28" t="s">
        <v>158</v>
      </c>
      <c r="E10" s="24"/>
      <c r="F10" s="24"/>
      <c r="G10" s="24"/>
      <c r="H10" s="25"/>
    </row>
    <row r="11" spans="1:9" x14ac:dyDescent="0.25">
      <c r="A11" s="2"/>
      <c r="H11" s="1"/>
    </row>
    <row r="12" spans="1:9" x14ac:dyDescent="0.25">
      <c r="A12" s="3"/>
      <c r="C12" s="37" t="s">
        <v>80</v>
      </c>
      <c r="D12" s="5"/>
      <c r="H12" s="1"/>
    </row>
    <row r="13" spans="1:9" x14ac:dyDescent="0.25">
      <c r="A13" s="3"/>
      <c r="C13" s="4" t="s">
        <v>144</v>
      </c>
      <c r="D13" s="34">
        <v>2</v>
      </c>
      <c r="H13" s="1"/>
    </row>
    <row r="14" spans="1:9" x14ac:dyDescent="0.25">
      <c r="A14" s="3"/>
      <c r="C14" s="4" t="s">
        <v>82</v>
      </c>
      <c r="D14" s="39">
        <f>21/12</f>
        <v>1.75</v>
      </c>
      <c r="H14" s="1"/>
    </row>
    <row r="15" spans="1:9" x14ac:dyDescent="0.25">
      <c r="A15" s="3"/>
      <c r="C15" s="4" t="s">
        <v>81</v>
      </c>
      <c r="D15" s="43">
        <v>9.75</v>
      </c>
      <c r="H15" s="1"/>
    </row>
    <row r="16" spans="1:9" x14ac:dyDescent="0.25">
      <c r="A16" s="3"/>
      <c r="C16" s="4" t="s">
        <v>83</v>
      </c>
      <c r="D16" s="39">
        <f>63+1/12+7/8/12</f>
        <v>63.15625</v>
      </c>
      <c r="H16" s="1"/>
    </row>
    <row r="17" spans="1:8" x14ac:dyDescent="0.25">
      <c r="A17" s="3"/>
      <c r="C17" s="4" t="s">
        <v>32</v>
      </c>
      <c r="D17" s="5">
        <f>(D14+D15/12+0.5)*D16*D13</f>
        <v>386.83203125</v>
      </c>
      <c r="E17" s="57">
        <f>ROUNDUP(D17/9,0)</f>
        <v>43</v>
      </c>
      <c r="H17" s="1"/>
    </row>
    <row r="18" spans="1:8" x14ac:dyDescent="0.25">
      <c r="A18" s="3"/>
      <c r="C18" s="4"/>
      <c r="D18" s="34"/>
      <c r="H18" s="1"/>
    </row>
    <row r="19" spans="1:8" x14ac:dyDescent="0.25">
      <c r="A19" s="3"/>
      <c r="C19" s="37" t="s">
        <v>27</v>
      </c>
      <c r="D19" s="5"/>
      <c r="H19" s="1"/>
    </row>
    <row r="20" spans="1:8" x14ac:dyDescent="0.25">
      <c r="A20" s="3"/>
      <c r="C20" s="41" t="s">
        <v>62</v>
      </c>
      <c r="D20" s="5"/>
      <c r="H20" s="1"/>
    </row>
    <row r="21" spans="1:8" x14ac:dyDescent="0.25">
      <c r="A21" s="3"/>
      <c r="C21" s="4" t="s">
        <v>30</v>
      </c>
      <c r="D21" s="39">
        <f>20+11.75/12+19+9/12+7/8/12</f>
        <v>40.802083333333336</v>
      </c>
      <c r="H21" s="1"/>
    </row>
    <row r="22" spans="1:8" x14ac:dyDescent="0.25">
      <c r="A22" s="3"/>
      <c r="C22" s="4" t="s">
        <v>60</v>
      </c>
      <c r="D22" s="34">
        <v>767.3</v>
      </c>
      <c r="H22" s="1"/>
    </row>
    <row r="23" spans="1:8" x14ac:dyDescent="0.25">
      <c r="A23" s="3"/>
      <c r="C23" s="4" t="s">
        <v>59</v>
      </c>
      <c r="D23" s="34">
        <v>767.5</v>
      </c>
      <c r="H23" s="1"/>
    </row>
    <row r="24" spans="1:8" x14ac:dyDescent="0.25">
      <c r="A24" s="3"/>
      <c r="C24" s="4" t="s">
        <v>61</v>
      </c>
      <c r="D24" s="34">
        <v>759</v>
      </c>
      <c r="H24" s="1"/>
    </row>
    <row r="25" spans="1:8" x14ac:dyDescent="0.25">
      <c r="A25" s="3"/>
      <c r="C25" s="4" t="s">
        <v>32</v>
      </c>
      <c r="D25" s="5">
        <f>(AVERAGE(D22:D23)-D24)*D21</f>
        <v>342.7374999999991</v>
      </c>
      <c r="E25" s="5"/>
      <c r="H25" s="1"/>
    </row>
    <row r="26" spans="1:8" x14ac:dyDescent="0.25">
      <c r="A26" s="3"/>
      <c r="C26" s="4"/>
      <c r="D26" s="34"/>
      <c r="H26" s="1"/>
    </row>
    <row r="27" spans="1:8" x14ac:dyDescent="0.25">
      <c r="A27" s="3"/>
      <c r="C27" s="41" t="s">
        <v>63</v>
      </c>
      <c r="D27" s="5"/>
      <c r="H27" s="1"/>
    </row>
    <row r="28" spans="1:8" x14ac:dyDescent="0.25">
      <c r="A28" s="3"/>
      <c r="C28" s="4" t="s">
        <v>30</v>
      </c>
      <c r="D28" s="39">
        <f>12+1/12+1/4/12</f>
        <v>12.104166666666668</v>
      </c>
      <c r="H28" s="1"/>
    </row>
    <row r="29" spans="1:8" x14ac:dyDescent="0.25">
      <c r="A29" s="3"/>
      <c r="C29" s="4" t="s">
        <v>64</v>
      </c>
      <c r="D29" s="34">
        <v>767</v>
      </c>
      <c r="H29" s="1"/>
    </row>
    <row r="30" spans="1:8" x14ac:dyDescent="0.25">
      <c r="A30" s="3"/>
      <c r="C30" s="4" t="s">
        <v>65</v>
      </c>
      <c r="D30" s="34">
        <v>770.2</v>
      </c>
      <c r="H30" s="1"/>
    </row>
    <row r="31" spans="1:8" x14ac:dyDescent="0.25">
      <c r="A31" s="3"/>
      <c r="C31" s="4" t="s">
        <v>66</v>
      </c>
      <c r="D31" s="34">
        <v>766</v>
      </c>
      <c r="H31" s="1"/>
    </row>
    <row r="32" spans="1:8" x14ac:dyDescent="0.25">
      <c r="A32" s="3"/>
      <c r="C32" s="4" t="s">
        <v>67</v>
      </c>
      <c r="D32" s="34">
        <v>759</v>
      </c>
      <c r="H32" s="1"/>
    </row>
    <row r="33" spans="1:8" x14ac:dyDescent="0.25">
      <c r="A33" s="3"/>
      <c r="C33" s="4" t="s">
        <v>68</v>
      </c>
      <c r="D33" s="39">
        <v>3</v>
      </c>
      <c r="H33" s="1"/>
    </row>
    <row r="34" spans="1:8" x14ac:dyDescent="0.25">
      <c r="A34" s="3"/>
      <c r="C34" s="4" t="s">
        <v>69</v>
      </c>
      <c r="D34" s="39">
        <v>0.5</v>
      </c>
      <c r="H34" s="1"/>
    </row>
    <row r="35" spans="1:8" x14ac:dyDescent="0.25">
      <c r="A35" s="3"/>
      <c r="C35" s="4" t="s">
        <v>32</v>
      </c>
      <c r="D35" s="5">
        <f>(AVERAGE(D29:D30)-AVERAGE(D31:D32)+D33+D34)*D28</f>
        <v>116.20000000000029</v>
      </c>
      <c r="E35" s="5"/>
      <c r="H35" s="1"/>
    </row>
    <row r="36" spans="1:8" x14ac:dyDescent="0.25">
      <c r="A36" s="3"/>
      <c r="C36" s="4"/>
      <c r="D36" s="34"/>
      <c r="H36" s="1"/>
    </row>
    <row r="37" spans="1:8" x14ac:dyDescent="0.25">
      <c r="A37" s="3"/>
      <c r="C37" s="4"/>
      <c r="D37" s="34"/>
      <c r="H37" s="1"/>
    </row>
    <row r="38" spans="1:8" x14ac:dyDescent="0.25">
      <c r="A38" s="3"/>
      <c r="C38" s="41" t="s">
        <v>70</v>
      </c>
      <c r="D38" s="5"/>
      <c r="H38" s="1"/>
    </row>
    <row r="39" spans="1:8" x14ac:dyDescent="0.25">
      <c r="A39" s="3"/>
      <c r="C39" s="4" t="s">
        <v>30</v>
      </c>
      <c r="D39" s="39">
        <f>2+10/12+7/16/12</f>
        <v>2.869791666666667</v>
      </c>
      <c r="H39" s="1"/>
    </row>
    <row r="40" spans="1:8" x14ac:dyDescent="0.25">
      <c r="A40" s="3"/>
      <c r="C40" s="4" t="s">
        <v>71</v>
      </c>
      <c r="D40" s="34">
        <v>770.2</v>
      </c>
      <c r="H40" s="1"/>
    </row>
    <row r="41" spans="1:8" x14ac:dyDescent="0.25">
      <c r="A41" s="3"/>
      <c r="C41" s="4" t="s">
        <v>72</v>
      </c>
      <c r="D41" s="34">
        <v>759</v>
      </c>
      <c r="H41" s="1"/>
    </row>
    <row r="42" spans="1:8" x14ac:dyDescent="0.25">
      <c r="A42" s="3"/>
      <c r="C42" s="4" t="s">
        <v>68</v>
      </c>
      <c r="D42" s="39">
        <v>3</v>
      </c>
      <c r="H42" s="1"/>
    </row>
    <row r="43" spans="1:8" x14ac:dyDescent="0.25">
      <c r="A43" s="3"/>
      <c r="C43" s="4" t="s">
        <v>69</v>
      </c>
      <c r="D43" s="39">
        <v>0.5</v>
      </c>
      <c r="H43" s="1"/>
    </row>
    <row r="44" spans="1:8" x14ac:dyDescent="0.25">
      <c r="A44" s="3"/>
      <c r="C44" s="4" t="s">
        <v>32</v>
      </c>
      <c r="D44" s="5">
        <f>(D40-D41+D42+D43)*D39</f>
        <v>42.185937500000136</v>
      </c>
      <c r="E44" s="5"/>
      <c r="H44" s="1"/>
    </row>
    <row r="45" spans="1:8" x14ac:dyDescent="0.25">
      <c r="A45" s="3"/>
      <c r="H45" s="1"/>
    </row>
    <row r="46" spans="1:8" x14ac:dyDescent="0.25">
      <c r="A46" s="3"/>
      <c r="C46" s="41" t="s">
        <v>73</v>
      </c>
      <c r="D46" s="5"/>
      <c r="H46" s="1"/>
    </row>
    <row r="47" spans="1:8" x14ac:dyDescent="0.25">
      <c r="A47" s="3"/>
      <c r="C47" s="4" t="s">
        <v>30</v>
      </c>
      <c r="D47" s="39">
        <f>26+2/12+7/8/12</f>
        <v>26.239583333333336</v>
      </c>
      <c r="H47" s="1"/>
    </row>
    <row r="48" spans="1:8" x14ac:dyDescent="0.25">
      <c r="A48" s="3"/>
      <c r="C48" s="4" t="s">
        <v>64</v>
      </c>
      <c r="D48" s="34">
        <v>770</v>
      </c>
      <c r="H48" s="1"/>
    </row>
    <row r="49" spans="1:8" x14ac:dyDescent="0.25">
      <c r="A49" s="3"/>
      <c r="C49" s="4" t="s">
        <v>65</v>
      </c>
      <c r="D49" s="34">
        <v>767.75</v>
      </c>
      <c r="H49" s="1"/>
    </row>
    <row r="50" spans="1:8" x14ac:dyDescent="0.25">
      <c r="A50" s="3"/>
      <c r="C50" s="4" t="s">
        <v>66</v>
      </c>
      <c r="D50" s="34">
        <v>759</v>
      </c>
      <c r="H50" s="1"/>
    </row>
    <row r="51" spans="1:8" x14ac:dyDescent="0.25">
      <c r="A51" s="3"/>
      <c r="C51" s="4" t="s">
        <v>67</v>
      </c>
      <c r="D51" s="34">
        <v>766.75</v>
      </c>
      <c r="H51" s="1"/>
    </row>
    <row r="52" spans="1:8" x14ac:dyDescent="0.25">
      <c r="A52" s="3"/>
      <c r="C52" s="4" t="s">
        <v>68</v>
      </c>
      <c r="D52" s="39">
        <v>3</v>
      </c>
      <c r="H52" s="1"/>
    </row>
    <row r="53" spans="1:8" x14ac:dyDescent="0.25">
      <c r="A53" s="3"/>
      <c r="C53" s="4" t="s">
        <v>69</v>
      </c>
      <c r="D53" s="39">
        <v>0.5</v>
      </c>
      <c r="H53" s="1"/>
    </row>
    <row r="54" spans="1:8" x14ac:dyDescent="0.25">
      <c r="A54" s="3"/>
      <c r="C54" s="4" t="s">
        <v>32</v>
      </c>
      <c r="D54" s="5">
        <f>(AVERAGE(D48:D49)-AVERAGE(D50:D51)+D52+D53)*D47</f>
        <v>249.27604166666669</v>
      </c>
      <c r="E54" s="5"/>
      <c r="H54" s="1"/>
    </row>
    <row r="55" spans="1:8" x14ac:dyDescent="0.25">
      <c r="A55" s="3"/>
      <c r="C55" s="4"/>
      <c r="D55" s="34"/>
      <c r="H55" s="1"/>
    </row>
    <row r="56" spans="1:8" x14ac:dyDescent="0.25">
      <c r="A56" s="3"/>
      <c r="C56" s="4"/>
      <c r="D56" s="34"/>
      <c r="H56" s="1"/>
    </row>
    <row r="57" spans="1:8" x14ac:dyDescent="0.25">
      <c r="A57" s="3"/>
      <c r="C57" s="41" t="s">
        <v>74</v>
      </c>
      <c r="D57" s="5"/>
      <c r="H57" s="1"/>
    </row>
    <row r="58" spans="1:8" x14ac:dyDescent="0.25">
      <c r="A58" s="3"/>
      <c r="C58" s="4" t="s">
        <v>30</v>
      </c>
      <c r="D58" s="39">
        <f>5+5.75/12</f>
        <v>5.479166666666667</v>
      </c>
      <c r="H58" s="1"/>
    </row>
    <row r="59" spans="1:8" x14ac:dyDescent="0.25">
      <c r="A59" s="3"/>
      <c r="C59" s="4" t="s">
        <v>71</v>
      </c>
      <c r="D59" s="34">
        <v>770</v>
      </c>
      <c r="H59" s="1"/>
    </row>
    <row r="60" spans="1:8" x14ac:dyDescent="0.25">
      <c r="A60" s="3"/>
      <c r="C60" s="4" t="s">
        <v>72</v>
      </c>
      <c r="D60" s="34">
        <v>759</v>
      </c>
      <c r="H60" s="1"/>
    </row>
    <row r="61" spans="1:8" x14ac:dyDescent="0.25">
      <c r="A61" s="3"/>
      <c r="C61" s="4" t="s">
        <v>68</v>
      </c>
      <c r="D61" s="39">
        <v>3</v>
      </c>
      <c r="H61" s="1"/>
    </row>
    <row r="62" spans="1:8" x14ac:dyDescent="0.25">
      <c r="A62" s="3"/>
      <c r="C62" s="4" t="s">
        <v>69</v>
      </c>
      <c r="D62" s="39">
        <v>0.5</v>
      </c>
      <c r="H62" s="1"/>
    </row>
    <row r="63" spans="1:8" x14ac:dyDescent="0.25">
      <c r="A63" s="3"/>
      <c r="C63" s="4" t="s">
        <v>32</v>
      </c>
      <c r="D63" s="5">
        <f>(D59-D60+D61+D62)*D58</f>
        <v>79.447916666666671</v>
      </c>
      <c r="E63" s="5"/>
      <c r="H63" s="1"/>
    </row>
    <row r="64" spans="1:8" x14ac:dyDescent="0.25">
      <c r="A64" s="3"/>
      <c r="H64" s="1"/>
    </row>
    <row r="65" spans="1:8" x14ac:dyDescent="0.25">
      <c r="A65" s="3"/>
      <c r="H65" s="1"/>
    </row>
    <row r="66" spans="1:8" x14ac:dyDescent="0.25">
      <c r="A66" s="3"/>
      <c r="C66" s="37" t="s">
        <v>31</v>
      </c>
      <c r="D66" s="5"/>
      <c r="H66" s="1"/>
    </row>
    <row r="67" spans="1:8" x14ac:dyDescent="0.25">
      <c r="A67" s="3"/>
      <c r="C67" s="41" t="s">
        <v>62</v>
      </c>
      <c r="D67" s="5"/>
      <c r="H67" s="1"/>
    </row>
    <row r="68" spans="1:8" x14ac:dyDescent="0.25">
      <c r="A68" s="3"/>
      <c r="C68" s="4" t="s">
        <v>30</v>
      </c>
      <c r="D68" s="39">
        <v>40.414999999999999</v>
      </c>
      <c r="H68" s="1"/>
    </row>
    <row r="69" spans="1:8" x14ac:dyDescent="0.25">
      <c r="A69" s="3"/>
      <c r="C69" s="4" t="s">
        <v>60</v>
      </c>
      <c r="D69" s="34">
        <v>766.83</v>
      </c>
      <c r="H69" s="1"/>
    </row>
    <row r="70" spans="1:8" x14ac:dyDescent="0.25">
      <c r="A70" s="3"/>
      <c r="C70" s="4" t="s">
        <v>59</v>
      </c>
      <c r="D70" s="34">
        <v>766.63</v>
      </c>
      <c r="H70" s="1"/>
    </row>
    <row r="71" spans="1:8" x14ac:dyDescent="0.25">
      <c r="A71" s="3"/>
      <c r="C71" s="4" t="s">
        <v>61</v>
      </c>
      <c r="D71" s="34">
        <v>753</v>
      </c>
      <c r="H71" s="1"/>
    </row>
    <row r="72" spans="1:8" x14ac:dyDescent="0.25">
      <c r="A72" s="3"/>
      <c r="C72" s="4" t="s">
        <v>32</v>
      </c>
      <c r="D72" s="5">
        <f>(AVERAGE(D69:D70)-D71)*D68</f>
        <v>554.89795000000072</v>
      </c>
      <c r="E72" s="5"/>
      <c r="H72" s="1"/>
    </row>
    <row r="73" spans="1:8" x14ac:dyDescent="0.25">
      <c r="A73" s="3"/>
      <c r="C73" s="4"/>
      <c r="D73" s="34"/>
      <c r="H73" s="1"/>
    </row>
    <row r="74" spans="1:8" x14ac:dyDescent="0.25">
      <c r="A74" s="3"/>
      <c r="C74" s="41" t="s">
        <v>75</v>
      </c>
      <c r="D74" s="5"/>
      <c r="H74" s="1"/>
    </row>
    <row r="75" spans="1:8" x14ac:dyDescent="0.25">
      <c r="A75" s="3"/>
      <c r="C75" s="4" t="s">
        <v>30</v>
      </c>
      <c r="D75" s="39">
        <f>10+11/12+7/8/12</f>
        <v>10.989583333333332</v>
      </c>
      <c r="H75" s="1"/>
    </row>
    <row r="76" spans="1:8" x14ac:dyDescent="0.25">
      <c r="A76" s="3"/>
      <c r="C76" s="4" t="s">
        <v>64</v>
      </c>
      <c r="D76" s="34">
        <v>766.5</v>
      </c>
      <c r="H76" s="1"/>
    </row>
    <row r="77" spans="1:8" x14ac:dyDescent="0.25">
      <c r="A77" s="3"/>
      <c r="C77" s="4" t="s">
        <v>65</v>
      </c>
      <c r="D77" s="34">
        <v>769.61</v>
      </c>
      <c r="H77" s="1"/>
    </row>
    <row r="78" spans="1:8" x14ac:dyDescent="0.25">
      <c r="A78" s="3"/>
      <c r="C78" s="4" t="s">
        <v>66</v>
      </c>
      <c r="D78" s="34">
        <v>765.5</v>
      </c>
      <c r="H78" s="1"/>
    </row>
    <row r="79" spans="1:8" x14ac:dyDescent="0.25">
      <c r="A79" s="3"/>
      <c r="C79" s="4" t="s">
        <v>67</v>
      </c>
      <c r="D79" s="34">
        <v>753</v>
      </c>
      <c r="H79" s="1"/>
    </row>
    <row r="80" spans="1:8" x14ac:dyDescent="0.25">
      <c r="A80" s="3"/>
      <c r="C80" s="4" t="s">
        <v>68</v>
      </c>
      <c r="D80" s="39">
        <v>3</v>
      </c>
      <c r="H80" s="1"/>
    </row>
    <row r="81" spans="1:8" x14ac:dyDescent="0.25">
      <c r="A81" s="3"/>
      <c r="C81" s="4" t="s">
        <v>69</v>
      </c>
      <c r="D81" s="39">
        <v>0.5</v>
      </c>
      <c r="H81" s="1"/>
    </row>
    <row r="82" spans="1:8" x14ac:dyDescent="0.25">
      <c r="A82" s="3"/>
      <c r="C82" s="4" t="s">
        <v>32</v>
      </c>
      <c r="D82" s="5">
        <f>(AVERAGE(D76:D77)-AVERAGE(D78:D79)+D80+D81)*D75</f>
        <v>135.22682291666734</v>
      </c>
      <c r="E82" s="5"/>
      <c r="H82" s="1"/>
    </row>
    <row r="83" spans="1:8" x14ac:dyDescent="0.25">
      <c r="A83" s="3"/>
      <c r="C83" s="4"/>
      <c r="D83" s="34"/>
      <c r="H83" s="1"/>
    </row>
    <row r="84" spans="1:8" x14ac:dyDescent="0.25">
      <c r="A84" s="3"/>
      <c r="C84" s="4"/>
      <c r="D84" s="34"/>
      <c r="H84" s="1"/>
    </row>
    <row r="85" spans="1:8" x14ac:dyDescent="0.25">
      <c r="A85" s="3"/>
      <c r="C85" s="41" t="s">
        <v>76</v>
      </c>
      <c r="D85" s="5"/>
      <c r="H85" s="1"/>
    </row>
    <row r="86" spans="1:8" x14ac:dyDescent="0.25">
      <c r="A86" s="3"/>
      <c r="C86" s="4" t="s">
        <v>30</v>
      </c>
      <c r="D86" s="39">
        <f>3+4/12</f>
        <v>3.3333333333333335</v>
      </c>
      <c r="H86" s="1"/>
    </row>
    <row r="87" spans="1:8" x14ac:dyDescent="0.25">
      <c r="A87" s="3"/>
      <c r="C87" s="4" t="s">
        <v>71</v>
      </c>
      <c r="D87" s="34">
        <v>769.61</v>
      </c>
      <c r="H87" s="1"/>
    </row>
    <row r="88" spans="1:8" x14ac:dyDescent="0.25">
      <c r="A88" s="3"/>
      <c r="C88" s="4" t="s">
        <v>72</v>
      </c>
      <c r="D88" s="34">
        <v>753</v>
      </c>
      <c r="H88" s="1"/>
    </row>
    <row r="89" spans="1:8" x14ac:dyDescent="0.25">
      <c r="A89" s="3"/>
      <c r="C89" s="4" t="s">
        <v>68</v>
      </c>
      <c r="D89" s="39">
        <v>3</v>
      </c>
      <c r="H89" s="1"/>
    </row>
    <row r="90" spans="1:8" x14ac:dyDescent="0.25">
      <c r="A90" s="3"/>
      <c r="C90" s="4" t="s">
        <v>69</v>
      </c>
      <c r="D90" s="39">
        <v>0.5</v>
      </c>
      <c r="H90" s="1"/>
    </row>
    <row r="91" spans="1:8" x14ac:dyDescent="0.25">
      <c r="A91" s="3"/>
      <c r="C91" s="4" t="s">
        <v>32</v>
      </c>
      <c r="D91" s="5">
        <f>(D87-D88+D89+D90)*D86</f>
        <v>67.033333333333388</v>
      </c>
      <c r="E91" s="5"/>
      <c r="H91" s="1"/>
    </row>
    <row r="92" spans="1:8" x14ac:dyDescent="0.25">
      <c r="A92" s="3"/>
      <c r="H92" s="1"/>
    </row>
    <row r="93" spans="1:8" x14ac:dyDescent="0.25">
      <c r="A93" s="3"/>
      <c r="C93" s="41" t="s">
        <v>77</v>
      </c>
      <c r="D93" s="5"/>
      <c r="H93" s="1"/>
    </row>
    <row r="94" spans="1:8" x14ac:dyDescent="0.25">
      <c r="A94" s="3"/>
      <c r="C94" s="4" t="s">
        <v>30</v>
      </c>
      <c r="D94" s="39">
        <f>9.5</f>
        <v>9.5</v>
      </c>
      <c r="H94" s="1"/>
    </row>
    <row r="95" spans="1:8" x14ac:dyDescent="0.25">
      <c r="A95" s="3"/>
      <c r="C95" s="4" t="s">
        <v>64</v>
      </c>
      <c r="D95" s="34">
        <v>769</v>
      </c>
      <c r="H95" s="1"/>
    </row>
    <row r="96" spans="1:8" x14ac:dyDescent="0.25">
      <c r="A96" s="3"/>
      <c r="C96" s="4" t="s">
        <v>65</v>
      </c>
      <c r="D96" s="34">
        <v>768.25</v>
      </c>
      <c r="H96" s="1"/>
    </row>
    <row r="97" spans="1:8" x14ac:dyDescent="0.25">
      <c r="A97" s="3"/>
      <c r="C97" s="4" t="s">
        <v>66</v>
      </c>
      <c r="D97" s="34">
        <v>753</v>
      </c>
      <c r="H97" s="1"/>
    </row>
    <row r="98" spans="1:8" x14ac:dyDescent="0.25">
      <c r="A98" s="3"/>
      <c r="C98" s="4" t="s">
        <v>67</v>
      </c>
      <c r="D98" s="34">
        <v>753</v>
      </c>
      <c r="H98" s="1"/>
    </row>
    <row r="99" spans="1:8" x14ac:dyDescent="0.25">
      <c r="A99" s="3"/>
      <c r="C99" s="4" t="s">
        <v>68</v>
      </c>
      <c r="D99" s="39">
        <v>3</v>
      </c>
      <c r="H99" s="1"/>
    </row>
    <row r="100" spans="1:8" x14ac:dyDescent="0.25">
      <c r="A100" s="3"/>
      <c r="C100" s="4" t="s">
        <v>69</v>
      </c>
      <c r="D100" s="39">
        <v>0.5</v>
      </c>
      <c r="H100" s="1"/>
    </row>
    <row r="101" spans="1:8" x14ac:dyDescent="0.25">
      <c r="A101" s="3"/>
      <c r="C101" s="4" t="s">
        <v>32</v>
      </c>
      <c r="D101" s="5">
        <f>(AVERAGE(D95:D96)-AVERAGE(D97:D98)+D99+D100)*D94</f>
        <v>181.6875</v>
      </c>
      <c r="E101" s="5"/>
      <c r="H101" s="1"/>
    </row>
    <row r="102" spans="1:8" x14ac:dyDescent="0.25">
      <c r="A102" s="3"/>
      <c r="C102" s="4"/>
      <c r="D102" s="34"/>
      <c r="H102" s="1"/>
    </row>
    <row r="103" spans="1:8" x14ac:dyDescent="0.25">
      <c r="A103" s="3"/>
      <c r="C103" s="4"/>
      <c r="D103" s="34"/>
      <c r="H103" s="1"/>
    </row>
    <row r="104" spans="1:8" x14ac:dyDescent="0.25">
      <c r="A104" s="3"/>
      <c r="C104" s="41" t="s">
        <v>78</v>
      </c>
      <c r="D104" s="5"/>
      <c r="H104" s="1"/>
    </row>
    <row r="105" spans="1:8" x14ac:dyDescent="0.25">
      <c r="A105" s="3"/>
      <c r="C105" s="4" t="s">
        <v>30</v>
      </c>
      <c r="D105" s="39">
        <f>2.5+1+1/12+7/8/12</f>
        <v>3.65625</v>
      </c>
      <c r="H105" s="1"/>
    </row>
    <row r="106" spans="1:8" x14ac:dyDescent="0.25">
      <c r="A106" s="3"/>
      <c r="C106" s="4" t="s">
        <v>71</v>
      </c>
      <c r="D106" s="34">
        <v>769</v>
      </c>
      <c r="H106" s="1"/>
    </row>
    <row r="107" spans="1:8" x14ac:dyDescent="0.25">
      <c r="A107" s="3"/>
      <c r="C107" s="4" t="s">
        <v>72</v>
      </c>
      <c r="D107" s="34">
        <v>753</v>
      </c>
      <c r="H107" s="1"/>
    </row>
    <row r="108" spans="1:8" x14ac:dyDescent="0.25">
      <c r="A108" s="3"/>
      <c r="C108" s="4" t="s">
        <v>68</v>
      </c>
      <c r="D108" s="39">
        <v>3</v>
      </c>
      <c r="H108" s="1"/>
    </row>
    <row r="109" spans="1:8" x14ac:dyDescent="0.25">
      <c r="A109" s="3"/>
      <c r="C109" s="4" t="s">
        <v>69</v>
      </c>
      <c r="D109" s="39">
        <v>0.5</v>
      </c>
      <c r="H109" s="1"/>
    </row>
    <row r="110" spans="1:8" x14ac:dyDescent="0.25">
      <c r="A110" s="3"/>
      <c r="C110" s="4" t="s">
        <v>32</v>
      </c>
      <c r="D110" s="5">
        <f>(D106-D107+D108+D109)*D105</f>
        <v>71.296875</v>
      </c>
      <c r="E110" s="5"/>
      <c r="H110" s="1"/>
    </row>
    <row r="112" spans="1:8" x14ac:dyDescent="0.25">
      <c r="C112" s="4" t="s">
        <v>79</v>
      </c>
      <c r="D112" s="42">
        <f>D25+D35+D44+D54+D63+D72+D82+D91+D101+D110</f>
        <v>1839.989877083334</v>
      </c>
      <c r="E112" s="57">
        <f>ROUNDUP(D112/9,0)</f>
        <v>205</v>
      </c>
    </row>
    <row r="114" spans="3:4" x14ac:dyDescent="0.25">
      <c r="C114" s="12" t="s">
        <v>8</v>
      </c>
      <c r="D114" s="45">
        <f>ROUNDUP((D112+D17)/9,0)</f>
        <v>248</v>
      </c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4080-042E-4622-82E7-7D00F959135A}">
  <sheetPr codeName="Sheet5">
    <tabColor rgb="FF00B050"/>
    <pageSetUpPr fitToPage="1"/>
  </sheetPr>
  <dimension ref="A1:H96"/>
  <sheetViews>
    <sheetView workbookViewId="0">
      <selection activeCell="E30" sqref="E30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511</v>
      </c>
      <c r="B10" s="29">
        <v>34446</v>
      </c>
      <c r="C10" s="29" t="s">
        <v>14</v>
      </c>
      <c r="D10" s="28" t="s">
        <v>161</v>
      </c>
      <c r="E10" s="24"/>
      <c r="F10" s="24"/>
      <c r="G10" s="24"/>
      <c r="H10" s="25"/>
    </row>
    <row r="11" spans="1:8" x14ac:dyDescent="0.25">
      <c r="A11" s="2"/>
      <c r="H11" s="1"/>
    </row>
    <row r="12" spans="1:8" s="53" customFormat="1" ht="28.9" customHeight="1" x14ac:dyDescent="0.25">
      <c r="B12" s="53" t="s">
        <v>114</v>
      </c>
      <c r="C12" s="53" t="s">
        <v>115</v>
      </c>
      <c r="D12" s="53" t="s">
        <v>116</v>
      </c>
      <c r="E12" s="53" t="s">
        <v>117</v>
      </c>
      <c r="F12" s="53" t="s">
        <v>118</v>
      </c>
      <c r="G12" s="53" t="s">
        <v>119</v>
      </c>
      <c r="H12" s="54"/>
    </row>
    <row r="13" spans="1:8" x14ac:dyDescent="0.25">
      <c r="A13" s="4" t="s">
        <v>106</v>
      </c>
      <c r="B13" s="43">
        <v>7.86</v>
      </c>
      <c r="C13" s="43">
        <v>6</v>
      </c>
      <c r="D13" s="43">
        <v>12.35</v>
      </c>
      <c r="E13" s="52">
        <f>AVERAGE(B13:D13)</f>
        <v>8.7366666666666664</v>
      </c>
      <c r="F13" s="39">
        <f>63+1/12+7/8/12</f>
        <v>63.15625</v>
      </c>
      <c r="G13" s="39">
        <v>4</v>
      </c>
      <c r="H13" s="1"/>
    </row>
    <row r="14" spans="1:8" x14ac:dyDescent="0.25">
      <c r="A14" s="4" t="s">
        <v>107</v>
      </c>
      <c r="B14" s="43">
        <v>8.69</v>
      </c>
      <c r="C14" s="43">
        <v>6</v>
      </c>
      <c r="D14" s="43">
        <v>11.92</v>
      </c>
      <c r="E14" s="52">
        <f t="shared" ref="E14:E20" si="0">AVERAGE(B14:D14)</f>
        <v>8.8699999999999992</v>
      </c>
      <c r="F14" s="39">
        <f t="shared" ref="F14:F20" si="1">63+1/12+7/8/12</f>
        <v>63.15625</v>
      </c>
      <c r="G14" s="39">
        <v>4</v>
      </c>
      <c r="H14" s="1"/>
    </row>
    <row r="15" spans="1:8" x14ac:dyDescent="0.25">
      <c r="A15" s="4" t="s">
        <v>108</v>
      </c>
      <c r="B15" s="43">
        <v>9.44</v>
      </c>
      <c r="C15" s="43">
        <v>6</v>
      </c>
      <c r="D15" s="43">
        <v>11.5</v>
      </c>
      <c r="E15" s="52">
        <f t="shared" si="0"/>
        <v>8.9799999999999986</v>
      </c>
      <c r="F15" s="39">
        <f t="shared" si="1"/>
        <v>63.15625</v>
      </c>
      <c r="G15" s="39">
        <v>4</v>
      </c>
      <c r="H15" s="1"/>
    </row>
    <row r="16" spans="1:8" x14ac:dyDescent="0.25">
      <c r="A16" s="4" t="s">
        <v>109</v>
      </c>
      <c r="B16" s="43">
        <v>10.130000000000001</v>
      </c>
      <c r="C16" s="43">
        <v>6</v>
      </c>
      <c r="D16" s="43">
        <v>10.98</v>
      </c>
      <c r="E16" s="52">
        <f t="shared" si="0"/>
        <v>9.0366666666666671</v>
      </c>
      <c r="F16" s="39">
        <f t="shared" si="1"/>
        <v>63.15625</v>
      </c>
      <c r="G16" s="39">
        <v>4</v>
      </c>
      <c r="H16" s="1"/>
    </row>
    <row r="17" spans="1:8" x14ac:dyDescent="0.25">
      <c r="A17" s="4" t="s">
        <v>110</v>
      </c>
      <c r="B17" s="43">
        <v>10.74</v>
      </c>
      <c r="C17" s="43">
        <v>6</v>
      </c>
      <c r="D17" s="43">
        <v>10.37</v>
      </c>
      <c r="E17" s="52">
        <f t="shared" si="0"/>
        <v>9.0366666666666671</v>
      </c>
      <c r="F17" s="39">
        <f t="shared" si="1"/>
        <v>63.15625</v>
      </c>
      <c r="G17" s="39">
        <v>4</v>
      </c>
      <c r="H17" s="1"/>
    </row>
    <row r="18" spans="1:8" x14ac:dyDescent="0.25">
      <c r="A18" s="4" t="s">
        <v>111</v>
      </c>
      <c r="B18" s="43">
        <v>11.29</v>
      </c>
      <c r="C18" s="43">
        <v>6</v>
      </c>
      <c r="D18" s="43">
        <v>9.65</v>
      </c>
      <c r="E18" s="52">
        <f t="shared" si="0"/>
        <v>8.9799999999999986</v>
      </c>
      <c r="F18" s="39">
        <f t="shared" si="1"/>
        <v>63.15625</v>
      </c>
      <c r="G18" s="39">
        <v>4</v>
      </c>
      <c r="H18" s="1"/>
    </row>
    <row r="19" spans="1:8" x14ac:dyDescent="0.25">
      <c r="A19" s="4" t="s">
        <v>112</v>
      </c>
      <c r="B19" s="43">
        <v>11.77</v>
      </c>
      <c r="C19" s="43">
        <v>6</v>
      </c>
      <c r="D19" s="43">
        <v>8.84</v>
      </c>
      <c r="E19" s="52">
        <f t="shared" si="0"/>
        <v>8.8699999999999992</v>
      </c>
      <c r="F19" s="39">
        <f t="shared" si="1"/>
        <v>63.15625</v>
      </c>
      <c r="G19" s="39">
        <v>4</v>
      </c>
      <c r="H19" s="1"/>
    </row>
    <row r="20" spans="1:8" x14ac:dyDescent="0.25">
      <c r="A20" s="4" t="s">
        <v>113</v>
      </c>
      <c r="B20" s="43">
        <v>12.18</v>
      </c>
      <c r="C20" s="43">
        <v>6</v>
      </c>
      <c r="D20" s="43">
        <v>7.92</v>
      </c>
      <c r="E20" s="52">
        <f t="shared" si="0"/>
        <v>8.7000000000000011</v>
      </c>
      <c r="F20" s="39">
        <f t="shared" si="1"/>
        <v>63.15625</v>
      </c>
      <c r="G20" s="39">
        <v>4</v>
      </c>
      <c r="H20" s="1"/>
    </row>
    <row r="21" spans="1:8" x14ac:dyDescent="0.25">
      <c r="A21" s="3"/>
      <c r="C21" s="4"/>
      <c r="D21" s="14"/>
      <c r="H21" s="1"/>
    </row>
    <row r="22" spans="1:8" x14ac:dyDescent="0.25">
      <c r="A22" s="3"/>
      <c r="D22" s="14"/>
      <c r="H22" s="1"/>
    </row>
    <row r="23" spans="1:8" x14ac:dyDescent="0.25">
      <c r="A23" s="3"/>
      <c r="C23" s="4" t="s">
        <v>120</v>
      </c>
      <c r="D23" s="55">
        <f>E13/12*F13*G13/27</f>
        <v>6.8120383230452672</v>
      </c>
      <c r="H23" s="1"/>
    </row>
    <row r="24" spans="1:8" x14ac:dyDescent="0.25">
      <c r="A24" s="3"/>
      <c r="C24" s="4" t="s">
        <v>121</v>
      </c>
      <c r="D24" s="55">
        <f t="shared" ref="D24:D30" si="2">E14/12*F14*G14/27</f>
        <v>6.9159992283950613</v>
      </c>
      <c r="H24" s="1"/>
    </row>
    <row r="25" spans="1:8" x14ac:dyDescent="0.25">
      <c r="A25" s="3"/>
      <c r="C25" s="4" t="s">
        <v>122</v>
      </c>
      <c r="D25" s="55">
        <f t="shared" si="2"/>
        <v>7.0017669753086409</v>
      </c>
      <c r="H25" s="1"/>
    </row>
    <row r="26" spans="1:8" x14ac:dyDescent="0.25">
      <c r="A26" s="3"/>
      <c r="C26" s="4" t="s">
        <v>123</v>
      </c>
      <c r="D26" s="55">
        <f t="shared" si="2"/>
        <v>7.0459503600823048</v>
      </c>
      <c r="H26" s="1"/>
    </row>
    <row r="27" spans="1:8" x14ac:dyDescent="0.25">
      <c r="A27" s="3"/>
      <c r="C27" s="4" t="s">
        <v>124</v>
      </c>
      <c r="D27" s="55">
        <f t="shared" si="2"/>
        <v>7.0459503600823048</v>
      </c>
      <c r="H27" s="1"/>
    </row>
    <row r="28" spans="1:8" x14ac:dyDescent="0.25">
      <c r="A28" s="3"/>
      <c r="C28" s="4" t="s">
        <v>125</v>
      </c>
      <c r="D28" s="55">
        <f t="shared" si="2"/>
        <v>7.0017669753086409</v>
      </c>
      <c r="H28" s="1"/>
    </row>
    <row r="29" spans="1:8" x14ac:dyDescent="0.25">
      <c r="A29" s="3"/>
      <c r="C29" s="4" t="s">
        <v>126</v>
      </c>
      <c r="D29" s="55">
        <f t="shared" si="2"/>
        <v>6.9159992283950613</v>
      </c>
      <c r="H29" s="1"/>
    </row>
    <row r="30" spans="1:8" x14ac:dyDescent="0.25">
      <c r="A30" s="3"/>
      <c r="C30" s="4" t="s">
        <v>127</v>
      </c>
      <c r="D30" s="55">
        <f t="shared" si="2"/>
        <v>6.7834490740740749</v>
      </c>
      <c r="H30" s="1"/>
    </row>
    <row r="31" spans="1:8" x14ac:dyDescent="0.25">
      <c r="A31" s="3"/>
      <c r="D31" s="14"/>
      <c r="H31" s="1"/>
    </row>
    <row r="32" spans="1:8" x14ac:dyDescent="0.25">
      <c r="A32" s="3"/>
      <c r="C32" s="37" t="s">
        <v>27</v>
      </c>
      <c r="D32" s="5"/>
      <c r="H32" s="1"/>
    </row>
    <row r="33" spans="1:8" x14ac:dyDescent="0.25">
      <c r="A33" s="3"/>
      <c r="C33" s="41" t="s">
        <v>128</v>
      </c>
      <c r="D33" s="5"/>
      <c r="H33" s="1"/>
    </row>
    <row r="34" spans="1:8" x14ac:dyDescent="0.25">
      <c r="A34" s="3"/>
      <c r="C34" s="4" t="s">
        <v>97</v>
      </c>
      <c r="D34" s="5">
        <v>36.950000000000003</v>
      </c>
      <c r="H34" s="1"/>
    </row>
    <row r="35" spans="1:8" x14ac:dyDescent="0.25">
      <c r="A35" s="3"/>
      <c r="C35" s="4" t="s">
        <v>105</v>
      </c>
      <c r="D35" s="39">
        <f>17/12</f>
        <v>1.4166666666666667</v>
      </c>
      <c r="H35" s="1"/>
    </row>
    <row r="36" spans="1:8" x14ac:dyDescent="0.25">
      <c r="A36" s="3"/>
      <c r="C36" s="4" t="s">
        <v>97</v>
      </c>
      <c r="D36" s="5">
        <v>55.426000000000002</v>
      </c>
      <c r="H36" s="1"/>
    </row>
    <row r="37" spans="1:8" x14ac:dyDescent="0.25">
      <c r="A37" s="3"/>
      <c r="C37" s="4" t="s">
        <v>129</v>
      </c>
      <c r="D37" s="34">
        <v>770</v>
      </c>
      <c r="H37" s="1"/>
    </row>
    <row r="38" spans="1:8" x14ac:dyDescent="0.25">
      <c r="A38" s="3"/>
      <c r="C38" s="4" t="s">
        <v>130</v>
      </c>
      <c r="D38" s="34">
        <v>767.5</v>
      </c>
      <c r="H38" s="1"/>
    </row>
    <row r="39" spans="1:8" x14ac:dyDescent="0.25">
      <c r="A39" s="3"/>
      <c r="C39" s="4" t="s">
        <v>131</v>
      </c>
      <c r="D39" s="34">
        <v>770.2</v>
      </c>
      <c r="H39" s="1"/>
    </row>
    <row r="40" spans="1:8" x14ac:dyDescent="0.25">
      <c r="A40" s="3"/>
      <c r="C40" s="4" t="s">
        <v>132</v>
      </c>
      <c r="D40" s="34">
        <v>767.3</v>
      </c>
      <c r="H40" s="1"/>
    </row>
    <row r="41" spans="1:8" x14ac:dyDescent="0.25">
      <c r="A41" s="3"/>
      <c r="C41" s="4" t="s">
        <v>103</v>
      </c>
      <c r="D41" s="55">
        <f>(D34*D35+(AVERAGE(D37,D39)-AVERAGE(D38,D40)-D35)*D36)/27</f>
        <v>4.5731802469136733</v>
      </c>
      <c r="H41" s="1"/>
    </row>
    <row r="42" spans="1:8" x14ac:dyDescent="0.25">
      <c r="A42" s="3"/>
      <c r="D42" s="14"/>
      <c r="H42" s="1"/>
    </row>
    <row r="43" spans="1:8" x14ac:dyDescent="0.25">
      <c r="A43" s="3"/>
      <c r="C43" s="37" t="s">
        <v>31</v>
      </c>
      <c r="D43" s="5"/>
      <c r="H43" s="1"/>
    </row>
    <row r="44" spans="1:8" x14ac:dyDescent="0.25">
      <c r="A44" s="3"/>
      <c r="C44" s="41" t="s">
        <v>128</v>
      </c>
      <c r="D44" s="5"/>
      <c r="H44" s="1"/>
    </row>
    <row r="45" spans="1:8" x14ac:dyDescent="0.25">
      <c r="A45" s="3"/>
      <c r="C45" s="4" t="s">
        <v>97</v>
      </c>
      <c r="D45" s="5">
        <v>36.950000000000003</v>
      </c>
      <c r="H45" s="1"/>
    </row>
    <row r="46" spans="1:8" x14ac:dyDescent="0.25">
      <c r="A46" s="3"/>
      <c r="C46" s="4" t="s">
        <v>105</v>
      </c>
      <c r="D46" s="39">
        <f>17/12</f>
        <v>1.4166666666666667</v>
      </c>
      <c r="H46" s="1"/>
    </row>
    <row r="47" spans="1:8" x14ac:dyDescent="0.25">
      <c r="A47" s="3"/>
      <c r="C47" s="4" t="s">
        <v>97</v>
      </c>
      <c r="D47" s="5">
        <v>55.426000000000002</v>
      </c>
      <c r="H47" s="1"/>
    </row>
    <row r="48" spans="1:8" x14ac:dyDescent="0.25">
      <c r="A48" s="3"/>
      <c r="C48" s="4" t="s">
        <v>129</v>
      </c>
      <c r="D48" s="34">
        <v>769.61</v>
      </c>
      <c r="H48" s="1"/>
    </row>
    <row r="49" spans="1:8" x14ac:dyDescent="0.25">
      <c r="A49" s="3"/>
      <c r="C49" s="4" t="s">
        <v>130</v>
      </c>
      <c r="D49" s="34">
        <v>766.83</v>
      </c>
      <c r="H49" s="1"/>
    </row>
    <row r="50" spans="1:8" x14ac:dyDescent="0.25">
      <c r="A50" s="3"/>
      <c r="C50" s="4" t="s">
        <v>131</v>
      </c>
      <c r="D50" s="34">
        <v>769</v>
      </c>
      <c r="H50" s="1"/>
    </row>
    <row r="51" spans="1:8" x14ac:dyDescent="0.25">
      <c r="A51" s="3"/>
      <c r="C51" s="4" t="s">
        <v>132</v>
      </c>
      <c r="D51" s="34">
        <v>766.63</v>
      </c>
      <c r="H51" s="1"/>
    </row>
    <row r="52" spans="1:8" x14ac:dyDescent="0.25">
      <c r="A52" s="3"/>
      <c r="C52" s="4" t="s">
        <v>103</v>
      </c>
      <c r="D52" s="55">
        <f>(D45*D46+(AVERAGE(D48,D50)-AVERAGE(D49,D51)-D46)*D47)/27</f>
        <v>4.3165783950618222</v>
      </c>
      <c r="H52" s="1"/>
    </row>
    <row r="53" spans="1:8" x14ac:dyDescent="0.25">
      <c r="A53" s="3"/>
      <c r="D53" s="14"/>
      <c r="H53" s="1"/>
    </row>
    <row r="54" spans="1:8" x14ac:dyDescent="0.25">
      <c r="A54" s="3"/>
      <c r="C54" s="4" t="s">
        <v>8</v>
      </c>
      <c r="D54" s="40">
        <f>ROUNDUP(SUM(D23:D30)+D41+D52,0)</f>
        <v>65</v>
      </c>
      <c r="H54" s="1"/>
    </row>
    <row r="55" spans="1:8" x14ac:dyDescent="0.25">
      <c r="A55" s="3"/>
      <c r="H55" s="1"/>
    </row>
    <row r="56" spans="1:8" x14ac:dyDescent="0.25">
      <c r="A56" s="3"/>
      <c r="H56" s="1"/>
    </row>
    <row r="57" spans="1:8" x14ac:dyDescent="0.25">
      <c r="A57" s="3"/>
      <c r="H57" s="1"/>
    </row>
    <row r="58" spans="1:8" x14ac:dyDescent="0.25">
      <c r="A58" s="3"/>
      <c r="H58" s="1"/>
    </row>
    <row r="59" spans="1:8" x14ac:dyDescent="0.25">
      <c r="A59" s="3"/>
      <c r="H59" s="1"/>
    </row>
    <row r="60" spans="1:8" x14ac:dyDescent="0.25">
      <c r="A60" s="3"/>
      <c r="H60" s="1"/>
    </row>
    <row r="61" spans="1:8" x14ac:dyDescent="0.25">
      <c r="A61" s="3"/>
      <c r="H61" s="1"/>
    </row>
    <row r="62" spans="1:8" x14ac:dyDescent="0.25">
      <c r="A62" s="3"/>
      <c r="H62" s="1"/>
    </row>
    <row r="63" spans="1:8" x14ac:dyDescent="0.25">
      <c r="A63" s="3"/>
      <c r="H63" s="1"/>
    </row>
    <row r="64" spans="1:8" x14ac:dyDescent="0.25">
      <c r="A64" s="3"/>
      <c r="H64" s="1"/>
    </row>
    <row r="65" spans="1:8" x14ac:dyDescent="0.25">
      <c r="A65" s="3"/>
      <c r="H65" s="1"/>
    </row>
    <row r="66" spans="1:8" x14ac:dyDescent="0.25">
      <c r="A66" s="3"/>
      <c r="H66" s="1"/>
    </row>
    <row r="67" spans="1:8" x14ac:dyDescent="0.25">
      <c r="A67" s="3"/>
      <c r="H67" s="1"/>
    </row>
    <row r="68" spans="1:8" x14ac:dyDescent="0.25">
      <c r="A68" s="3"/>
      <c r="H68" s="1"/>
    </row>
    <row r="69" spans="1:8" x14ac:dyDescent="0.25">
      <c r="A69" s="3"/>
      <c r="H69" s="1"/>
    </row>
    <row r="70" spans="1:8" x14ac:dyDescent="0.25">
      <c r="A70" s="3"/>
      <c r="H70" s="1"/>
    </row>
    <row r="71" spans="1:8" x14ac:dyDescent="0.25">
      <c r="A71" s="3"/>
      <c r="H71" s="1"/>
    </row>
    <row r="72" spans="1:8" x14ac:dyDescent="0.25">
      <c r="A72" s="3"/>
      <c r="H72" s="1"/>
    </row>
    <row r="73" spans="1:8" x14ac:dyDescent="0.25">
      <c r="A73" s="3"/>
      <c r="H73" s="1"/>
    </row>
    <row r="74" spans="1:8" x14ac:dyDescent="0.25">
      <c r="A74" s="3"/>
      <c r="H74" s="1"/>
    </row>
    <row r="75" spans="1:8" x14ac:dyDescent="0.25">
      <c r="A75" s="3"/>
      <c r="H75" s="1"/>
    </row>
    <row r="76" spans="1:8" x14ac:dyDescent="0.25">
      <c r="A76" s="3"/>
      <c r="H76" s="1"/>
    </row>
    <row r="77" spans="1:8" x14ac:dyDescent="0.25">
      <c r="A77" s="3"/>
      <c r="H77" s="1"/>
    </row>
    <row r="78" spans="1:8" x14ac:dyDescent="0.25">
      <c r="A78" s="3"/>
      <c r="H78" s="1"/>
    </row>
    <row r="79" spans="1:8" x14ac:dyDescent="0.25">
      <c r="A79" s="3"/>
      <c r="H79" s="1"/>
    </row>
    <row r="80" spans="1:8" x14ac:dyDescent="0.25">
      <c r="A80" s="3"/>
      <c r="H80" s="1"/>
    </row>
    <row r="81" spans="1:8" x14ac:dyDescent="0.25">
      <c r="A81" s="3"/>
      <c r="H81" s="1"/>
    </row>
    <row r="82" spans="1:8" x14ac:dyDescent="0.25">
      <c r="A82" s="3"/>
      <c r="H82" s="1"/>
    </row>
    <row r="83" spans="1:8" x14ac:dyDescent="0.25">
      <c r="A83" s="3"/>
      <c r="H83" s="1"/>
    </row>
    <row r="84" spans="1:8" x14ac:dyDescent="0.25">
      <c r="A84" s="3"/>
      <c r="H84" s="1"/>
    </row>
    <row r="85" spans="1:8" x14ac:dyDescent="0.25">
      <c r="A85" s="3"/>
      <c r="H85" s="1"/>
    </row>
    <row r="86" spans="1:8" x14ac:dyDescent="0.25">
      <c r="A86" s="3"/>
      <c r="H86" s="1"/>
    </row>
    <row r="87" spans="1:8" x14ac:dyDescent="0.25">
      <c r="A87" s="3"/>
      <c r="H87" s="1"/>
    </row>
    <row r="88" spans="1:8" x14ac:dyDescent="0.25">
      <c r="A88" s="3"/>
      <c r="H88" s="1"/>
    </row>
    <row r="89" spans="1:8" x14ac:dyDescent="0.25">
      <c r="A89" s="3"/>
      <c r="H89" s="1"/>
    </row>
    <row r="90" spans="1:8" x14ac:dyDescent="0.25">
      <c r="A90" s="3"/>
      <c r="H90" s="1"/>
    </row>
    <row r="91" spans="1:8" x14ac:dyDescent="0.25">
      <c r="A91" s="3"/>
      <c r="H91" s="1"/>
    </row>
    <row r="92" spans="1:8" x14ac:dyDescent="0.25">
      <c r="A92" s="3"/>
      <c r="H92" s="1"/>
    </row>
    <row r="93" spans="1:8" x14ac:dyDescent="0.25">
      <c r="A93" s="3"/>
      <c r="H93" s="1"/>
    </row>
    <row r="94" spans="1:8" x14ac:dyDescent="0.25">
      <c r="A94" s="3"/>
      <c r="H94" s="1"/>
    </row>
    <row r="95" spans="1:8" x14ac:dyDescent="0.25">
      <c r="A95" s="3"/>
      <c r="H95" s="1"/>
    </row>
    <row r="96" spans="1:8" x14ac:dyDescent="0.25">
      <c r="A96" s="3"/>
      <c r="H96" s="1"/>
    </row>
  </sheetData>
  <phoneticPr fontId="5" type="noConversion"/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119F-FDED-4EFC-838A-3A94F7CBA1AD}">
  <sheetPr codeName="Sheet6">
    <tabColor rgb="FF00B050"/>
    <pageSetUpPr fitToPage="1"/>
  </sheetPr>
  <dimension ref="A1:H85"/>
  <sheetViews>
    <sheetView workbookViewId="0">
      <selection activeCell="B1" sqref="B1"/>
    </sheetView>
  </sheetViews>
  <sheetFormatPr defaultRowHeight="15" x14ac:dyDescent="0.25"/>
  <cols>
    <col min="1" max="8" width="15.28515625" customWidth="1"/>
  </cols>
  <sheetData>
    <row r="1" spans="1:8" ht="18.75" x14ac:dyDescent="0.3">
      <c r="A1" s="16" t="s">
        <v>3</v>
      </c>
      <c r="B1" s="17"/>
      <c r="C1" s="17"/>
      <c r="D1" s="17"/>
      <c r="E1" s="17"/>
      <c r="F1" s="17"/>
      <c r="G1" s="17"/>
      <c r="H1" s="18"/>
    </row>
    <row r="2" spans="1:8" x14ac:dyDescent="0.25">
      <c r="A2" s="3"/>
      <c r="H2" s="1"/>
    </row>
    <row r="3" spans="1:8" x14ac:dyDescent="0.25">
      <c r="A3" s="3"/>
      <c r="H3" s="1"/>
    </row>
    <row r="4" spans="1:8" x14ac:dyDescent="0.25">
      <c r="A4" s="19" t="s">
        <v>2</v>
      </c>
      <c r="B4" s="11">
        <v>10008</v>
      </c>
      <c r="H4" s="1"/>
    </row>
    <row r="5" spans="1:8" x14ac:dyDescent="0.25">
      <c r="A5" s="19" t="s">
        <v>0</v>
      </c>
      <c r="B5" s="13" t="s">
        <v>21</v>
      </c>
      <c r="H5" s="1"/>
    </row>
    <row r="6" spans="1:8" x14ac:dyDescent="0.25">
      <c r="A6" s="19" t="s">
        <v>7</v>
      </c>
      <c r="B6" s="31" t="s">
        <v>22</v>
      </c>
      <c r="E6" s="12" t="s">
        <v>1</v>
      </c>
      <c r="F6" s="13" t="s">
        <v>18</v>
      </c>
      <c r="G6" s="12" t="s">
        <v>5</v>
      </c>
      <c r="H6" s="20">
        <v>44589</v>
      </c>
    </row>
    <row r="7" spans="1:8" x14ac:dyDescent="0.25">
      <c r="A7" s="19" t="s">
        <v>9</v>
      </c>
      <c r="B7" s="26" t="s">
        <v>17</v>
      </c>
      <c r="E7" s="12" t="s">
        <v>6</v>
      </c>
      <c r="F7" s="13" t="s">
        <v>143</v>
      </c>
      <c r="G7" s="12" t="s">
        <v>5</v>
      </c>
      <c r="H7" s="20">
        <v>44592</v>
      </c>
    </row>
    <row r="8" spans="1:8" x14ac:dyDescent="0.25">
      <c r="A8" s="21"/>
      <c r="B8" s="22"/>
      <c r="C8" s="7"/>
      <c r="D8" s="7"/>
      <c r="E8" s="7"/>
      <c r="F8" s="7"/>
      <c r="G8" s="7"/>
      <c r="H8" s="8"/>
    </row>
    <row r="9" spans="1:8" x14ac:dyDescent="0.25">
      <c r="A9" s="23" t="s">
        <v>19</v>
      </c>
      <c r="B9" s="23" t="s">
        <v>20</v>
      </c>
      <c r="C9" s="23" t="s">
        <v>10</v>
      </c>
      <c r="D9" s="27" t="s">
        <v>4</v>
      </c>
      <c r="E9" s="27"/>
      <c r="F9" s="27"/>
      <c r="G9" s="27"/>
      <c r="H9" s="27"/>
    </row>
    <row r="10" spans="1:8" x14ac:dyDescent="0.25">
      <c r="A10" s="30">
        <v>511</v>
      </c>
      <c r="B10" s="29">
        <v>44112</v>
      </c>
      <c r="C10" s="29" t="s">
        <v>14</v>
      </c>
      <c r="D10" s="28" t="s">
        <v>162</v>
      </c>
      <c r="E10" s="24"/>
      <c r="F10" s="24"/>
      <c r="G10" s="24"/>
      <c r="H10" s="25"/>
    </row>
    <row r="11" spans="1:8" x14ac:dyDescent="0.25">
      <c r="A11" s="2"/>
      <c r="H11" s="1"/>
    </row>
    <row r="12" spans="1:8" x14ac:dyDescent="0.25">
      <c r="A12" s="3"/>
      <c r="C12" s="37" t="s">
        <v>27</v>
      </c>
      <c r="D12" s="5"/>
      <c r="H12" s="1"/>
    </row>
    <row r="13" spans="1:8" x14ac:dyDescent="0.25">
      <c r="A13" s="3"/>
      <c r="C13" s="41" t="s">
        <v>62</v>
      </c>
      <c r="D13" s="5"/>
      <c r="H13" s="1"/>
    </row>
    <row r="14" spans="1:8" x14ac:dyDescent="0.25">
      <c r="A14" s="3"/>
      <c r="C14" s="4" t="s">
        <v>97</v>
      </c>
      <c r="D14" s="5">
        <v>122.398</v>
      </c>
      <c r="H14" s="1"/>
    </row>
    <row r="15" spans="1:8" x14ac:dyDescent="0.25">
      <c r="A15" s="3"/>
      <c r="C15" s="4" t="s">
        <v>60</v>
      </c>
      <c r="D15" s="34">
        <v>767.3</v>
      </c>
      <c r="H15" s="1"/>
    </row>
    <row r="16" spans="1:8" x14ac:dyDescent="0.25">
      <c r="A16" s="3"/>
      <c r="C16" s="4" t="s">
        <v>59</v>
      </c>
      <c r="D16" s="34">
        <v>767.5</v>
      </c>
      <c r="H16" s="1"/>
    </row>
    <row r="17" spans="1:8" x14ac:dyDescent="0.25">
      <c r="A17" s="3"/>
      <c r="C17" s="4" t="s">
        <v>96</v>
      </c>
      <c r="D17" s="34">
        <v>756.75</v>
      </c>
      <c r="H17" s="1"/>
    </row>
    <row r="18" spans="1:8" x14ac:dyDescent="0.25">
      <c r="A18" s="3"/>
      <c r="C18" s="4" t="s">
        <v>32</v>
      </c>
      <c r="D18" s="40">
        <f>(AVERAGE(D15:D16)-D17)*D14/27</f>
        <v>48.279211111111003</v>
      </c>
      <c r="E18" s="5"/>
      <c r="H18" s="1"/>
    </row>
    <row r="19" spans="1:8" x14ac:dyDescent="0.25">
      <c r="A19" s="3"/>
      <c r="C19" s="4"/>
      <c r="D19" s="34"/>
      <c r="H19" s="1"/>
    </row>
    <row r="20" spans="1:8" x14ac:dyDescent="0.25">
      <c r="A20" s="3"/>
      <c r="C20" s="41" t="s">
        <v>63</v>
      </c>
      <c r="D20" s="5"/>
      <c r="H20" s="1"/>
    </row>
    <row r="21" spans="1:8" x14ac:dyDescent="0.25">
      <c r="A21" s="3"/>
      <c r="C21" s="4" t="s">
        <v>97</v>
      </c>
      <c r="D21" s="5">
        <v>33.151000000000003</v>
      </c>
      <c r="H21" s="1"/>
    </row>
    <row r="22" spans="1:8" x14ac:dyDescent="0.25">
      <c r="A22" s="3"/>
      <c r="C22" s="4" t="s">
        <v>98</v>
      </c>
      <c r="D22" s="34">
        <v>767</v>
      </c>
      <c r="H22" s="1"/>
    </row>
    <row r="23" spans="1:8" x14ac:dyDescent="0.25">
      <c r="A23" s="3"/>
      <c r="C23" s="4" t="s">
        <v>99</v>
      </c>
      <c r="D23" s="34">
        <v>770.2</v>
      </c>
      <c r="H23" s="1"/>
    </row>
    <row r="24" spans="1:8" x14ac:dyDescent="0.25">
      <c r="A24" s="3"/>
      <c r="C24" s="4" t="s">
        <v>96</v>
      </c>
      <c r="D24" s="34">
        <v>756.75</v>
      </c>
      <c r="H24" s="1"/>
    </row>
    <row r="25" spans="1:8" x14ac:dyDescent="0.25">
      <c r="A25" s="3"/>
      <c r="C25" s="4" t="s">
        <v>32</v>
      </c>
      <c r="D25" s="40">
        <f>(AVERAGE(D22:D23)-D24)*D21/27</f>
        <v>14.549605555555585</v>
      </c>
      <c r="E25" s="5"/>
      <c r="H25" s="1"/>
    </row>
    <row r="26" spans="1:8" x14ac:dyDescent="0.25">
      <c r="A26" s="3"/>
      <c r="C26" s="4"/>
      <c r="D26" s="34"/>
      <c r="H26" s="1"/>
    </row>
    <row r="27" spans="1:8" x14ac:dyDescent="0.25">
      <c r="A27" s="3"/>
      <c r="C27" s="4"/>
      <c r="D27" s="34"/>
      <c r="H27" s="1"/>
    </row>
    <row r="28" spans="1:8" x14ac:dyDescent="0.25">
      <c r="A28" s="3"/>
      <c r="C28" s="41" t="s">
        <v>70</v>
      </c>
      <c r="D28" s="5"/>
      <c r="H28" s="1"/>
    </row>
    <row r="29" spans="1:8" x14ac:dyDescent="0.25">
      <c r="A29" s="3"/>
      <c r="C29" s="4" t="s">
        <v>97</v>
      </c>
      <c r="D29" s="5">
        <v>8.0530000000000008</v>
      </c>
      <c r="H29" s="1"/>
    </row>
    <row r="30" spans="1:8" x14ac:dyDescent="0.25">
      <c r="A30" s="3"/>
      <c r="C30" s="4" t="s">
        <v>98</v>
      </c>
      <c r="D30" s="34">
        <v>770.2</v>
      </c>
      <c r="H30" s="1"/>
    </row>
    <row r="31" spans="1:8" x14ac:dyDescent="0.25">
      <c r="A31" s="3"/>
      <c r="C31" s="4" t="s">
        <v>96</v>
      </c>
      <c r="D31" s="34">
        <v>756.75</v>
      </c>
      <c r="H31" s="1"/>
    </row>
    <row r="32" spans="1:8" x14ac:dyDescent="0.25">
      <c r="A32" s="3"/>
      <c r="C32" s="4" t="s">
        <v>32</v>
      </c>
      <c r="D32" s="40">
        <f>(D30-D31)*D29/27</f>
        <v>4.0115870370370512</v>
      </c>
      <c r="E32" s="5"/>
      <c r="H32" s="1"/>
    </row>
    <row r="33" spans="1:8" x14ac:dyDescent="0.25">
      <c r="A33" s="3"/>
      <c r="H33" s="1"/>
    </row>
    <row r="34" spans="1:8" x14ac:dyDescent="0.25">
      <c r="A34" s="3"/>
      <c r="C34" s="41" t="s">
        <v>73</v>
      </c>
      <c r="D34" s="5"/>
      <c r="H34" s="1"/>
    </row>
    <row r="35" spans="1:8" x14ac:dyDescent="0.25">
      <c r="A35" s="3"/>
      <c r="C35" s="4" t="s">
        <v>97</v>
      </c>
      <c r="D35" s="5">
        <v>71.991</v>
      </c>
      <c r="H35" s="1"/>
    </row>
    <row r="36" spans="1:8" x14ac:dyDescent="0.25">
      <c r="A36" s="3"/>
      <c r="C36" s="4" t="s">
        <v>98</v>
      </c>
      <c r="D36" s="34">
        <v>770</v>
      </c>
      <c r="H36" s="1"/>
    </row>
    <row r="37" spans="1:8" x14ac:dyDescent="0.25">
      <c r="A37" s="3"/>
      <c r="C37" s="4" t="s">
        <v>99</v>
      </c>
      <c r="D37" s="34">
        <v>767.75</v>
      </c>
      <c r="H37" s="1"/>
    </row>
    <row r="38" spans="1:8" x14ac:dyDescent="0.25">
      <c r="A38" s="3"/>
      <c r="C38" s="4" t="s">
        <v>96</v>
      </c>
      <c r="D38" s="34">
        <v>756.75</v>
      </c>
      <c r="H38" s="1"/>
    </row>
    <row r="39" spans="1:8" x14ac:dyDescent="0.25">
      <c r="A39" s="3"/>
      <c r="C39" s="4" t="s">
        <v>32</v>
      </c>
      <c r="D39" s="40">
        <f>(AVERAGE(D36:D37)-D38)*D35/27</f>
        <v>32.32929166666667</v>
      </c>
      <c r="E39" s="5"/>
      <c r="H39" s="1"/>
    </row>
    <row r="40" spans="1:8" x14ac:dyDescent="0.25">
      <c r="A40" s="3"/>
      <c r="C40" s="4"/>
      <c r="D40" s="34"/>
      <c r="H40" s="1"/>
    </row>
    <row r="41" spans="1:8" x14ac:dyDescent="0.25">
      <c r="A41" s="3"/>
      <c r="C41" s="4"/>
      <c r="D41" s="34"/>
      <c r="H41" s="1"/>
    </row>
    <row r="42" spans="1:8" x14ac:dyDescent="0.25">
      <c r="A42" s="3"/>
      <c r="C42" s="41" t="s">
        <v>74</v>
      </c>
      <c r="D42" s="5"/>
      <c r="H42" s="1"/>
    </row>
    <row r="43" spans="1:8" x14ac:dyDescent="0.25">
      <c r="A43" s="3"/>
      <c r="C43" s="4" t="s">
        <v>97</v>
      </c>
      <c r="D43" s="5">
        <v>11.962</v>
      </c>
      <c r="H43" s="1"/>
    </row>
    <row r="44" spans="1:8" x14ac:dyDescent="0.25">
      <c r="A44" s="3"/>
      <c r="C44" s="4" t="s">
        <v>98</v>
      </c>
      <c r="D44" s="34">
        <v>770</v>
      </c>
      <c r="H44" s="1"/>
    </row>
    <row r="45" spans="1:8" x14ac:dyDescent="0.25">
      <c r="A45" s="3"/>
      <c r="C45" s="4" t="s">
        <v>96</v>
      </c>
      <c r="D45" s="34">
        <v>756.75</v>
      </c>
      <c r="H45" s="1"/>
    </row>
    <row r="46" spans="1:8" x14ac:dyDescent="0.25">
      <c r="A46" s="3"/>
      <c r="C46" s="4" t="s">
        <v>32</v>
      </c>
      <c r="D46" s="40">
        <f>(D44-D45)*D43/27</f>
        <v>5.8702407407407406</v>
      </c>
      <c r="E46" s="5"/>
      <c r="H46" s="1"/>
    </row>
    <row r="47" spans="1:8" x14ac:dyDescent="0.25">
      <c r="A47" s="3"/>
      <c r="H47" s="1"/>
    </row>
    <row r="48" spans="1:8" x14ac:dyDescent="0.25">
      <c r="A48" s="3"/>
      <c r="H48" s="1"/>
    </row>
    <row r="49" spans="1:8" x14ac:dyDescent="0.25">
      <c r="A49" s="3"/>
      <c r="C49" s="37" t="s">
        <v>31</v>
      </c>
      <c r="D49" s="5"/>
      <c r="H49" s="1"/>
    </row>
    <row r="50" spans="1:8" x14ac:dyDescent="0.25">
      <c r="A50" s="3"/>
      <c r="C50" s="41" t="s">
        <v>62</v>
      </c>
      <c r="D50" s="5"/>
      <c r="H50" s="1"/>
    </row>
    <row r="51" spans="1:8" x14ac:dyDescent="0.25">
      <c r="A51" s="3"/>
      <c r="C51" s="4" t="s">
        <v>97</v>
      </c>
      <c r="D51" s="5">
        <v>122.398</v>
      </c>
      <c r="H51" s="1"/>
    </row>
    <row r="52" spans="1:8" x14ac:dyDescent="0.25">
      <c r="A52" s="3"/>
      <c r="C52" s="4" t="s">
        <v>60</v>
      </c>
      <c r="D52" s="34">
        <v>766.83</v>
      </c>
      <c r="H52" s="1"/>
    </row>
    <row r="53" spans="1:8" x14ac:dyDescent="0.25">
      <c r="A53" s="3"/>
      <c r="C53" s="4" t="s">
        <v>59</v>
      </c>
      <c r="D53" s="34">
        <v>766.63</v>
      </c>
      <c r="H53" s="1"/>
    </row>
    <row r="54" spans="1:8" x14ac:dyDescent="0.25">
      <c r="A54" s="3"/>
      <c r="C54" s="4" t="s">
        <v>96</v>
      </c>
      <c r="D54" s="34">
        <v>760.75</v>
      </c>
      <c r="H54" s="1"/>
    </row>
    <row r="55" spans="1:8" x14ac:dyDescent="0.25">
      <c r="A55" s="3"/>
      <c r="C55" s="4" t="s">
        <v>32</v>
      </c>
      <c r="D55" s="40">
        <f>(AVERAGE(D52:D53)-D54)*D51/27</f>
        <v>27.108890370370453</v>
      </c>
      <c r="E55" s="5"/>
      <c r="H55" s="1"/>
    </row>
    <row r="56" spans="1:8" x14ac:dyDescent="0.25">
      <c r="A56" s="3"/>
      <c r="C56" s="4"/>
      <c r="D56" s="34"/>
      <c r="H56" s="1"/>
    </row>
    <row r="57" spans="1:8" x14ac:dyDescent="0.25">
      <c r="A57" s="3"/>
      <c r="C57" s="41" t="s">
        <v>75</v>
      </c>
      <c r="D57" s="5"/>
      <c r="H57" s="1"/>
    </row>
    <row r="58" spans="1:8" x14ac:dyDescent="0.25">
      <c r="A58" s="3"/>
      <c r="C58" s="4" t="s">
        <v>97</v>
      </c>
      <c r="D58" s="5">
        <v>29.978000000000002</v>
      </c>
      <c r="H58" s="1"/>
    </row>
    <row r="59" spans="1:8" x14ac:dyDescent="0.25">
      <c r="A59" s="3"/>
      <c r="C59" s="4" t="s">
        <v>98</v>
      </c>
      <c r="D59" s="34">
        <v>766.5</v>
      </c>
      <c r="H59" s="1"/>
    </row>
    <row r="60" spans="1:8" x14ac:dyDescent="0.25">
      <c r="A60" s="3"/>
      <c r="C60" s="4" t="s">
        <v>99</v>
      </c>
      <c r="D60" s="34">
        <v>769.61</v>
      </c>
      <c r="H60" s="1"/>
    </row>
    <row r="61" spans="1:8" x14ac:dyDescent="0.25">
      <c r="A61" s="3"/>
      <c r="C61" s="4" t="s">
        <v>96</v>
      </c>
      <c r="D61" s="34">
        <v>760.75</v>
      </c>
      <c r="H61" s="1"/>
    </row>
    <row r="62" spans="1:8" x14ac:dyDescent="0.25">
      <c r="A62" s="3"/>
      <c r="C62" s="4" t="s">
        <v>32</v>
      </c>
      <c r="D62" s="40">
        <f>(AVERAGE(D59:D60)-D61)*D58/27</f>
        <v>8.1107144444445147</v>
      </c>
      <c r="E62" s="5"/>
      <c r="H62" s="1"/>
    </row>
    <row r="63" spans="1:8" x14ac:dyDescent="0.25">
      <c r="A63" s="3"/>
      <c r="C63" s="4"/>
      <c r="D63" s="34"/>
      <c r="H63" s="1"/>
    </row>
    <row r="64" spans="1:8" x14ac:dyDescent="0.25">
      <c r="A64" s="3"/>
      <c r="C64" s="4"/>
      <c r="D64" s="34"/>
      <c r="H64" s="1"/>
    </row>
    <row r="65" spans="1:8" x14ac:dyDescent="0.25">
      <c r="A65" s="3"/>
      <c r="C65" s="41" t="s">
        <v>76</v>
      </c>
      <c r="D65" s="5"/>
      <c r="H65" s="1"/>
    </row>
    <row r="66" spans="1:8" x14ac:dyDescent="0.25">
      <c r="A66" s="3"/>
      <c r="C66" s="4" t="s">
        <v>97</v>
      </c>
      <c r="D66" s="5">
        <v>7.88</v>
      </c>
      <c r="H66" s="1"/>
    </row>
    <row r="67" spans="1:8" x14ac:dyDescent="0.25">
      <c r="A67" s="3"/>
      <c r="C67" s="4" t="s">
        <v>98</v>
      </c>
      <c r="D67" s="34">
        <v>769.61</v>
      </c>
      <c r="H67" s="1"/>
    </row>
    <row r="68" spans="1:8" x14ac:dyDescent="0.25">
      <c r="A68" s="3"/>
      <c r="C68" s="4" t="s">
        <v>96</v>
      </c>
      <c r="D68" s="34">
        <v>760.75</v>
      </c>
      <c r="H68" s="1"/>
    </row>
    <row r="69" spans="1:8" x14ac:dyDescent="0.25">
      <c r="A69" s="3"/>
      <c r="C69" s="4" t="s">
        <v>32</v>
      </c>
      <c r="D69" s="40">
        <f>(D67-D68)*D66/27</f>
        <v>2.5858074074074113</v>
      </c>
      <c r="E69" s="5"/>
      <c r="H69" s="1"/>
    </row>
    <row r="70" spans="1:8" x14ac:dyDescent="0.25">
      <c r="A70" s="3"/>
      <c r="H70" s="1"/>
    </row>
    <row r="71" spans="1:8" x14ac:dyDescent="0.25">
      <c r="A71" s="3"/>
      <c r="C71" s="41" t="s">
        <v>77</v>
      </c>
      <c r="D71" s="5"/>
      <c r="H71" s="1"/>
    </row>
    <row r="72" spans="1:8" x14ac:dyDescent="0.25">
      <c r="A72" s="3"/>
      <c r="C72" s="4" t="s">
        <v>97</v>
      </c>
      <c r="D72" s="5">
        <v>28.276</v>
      </c>
      <c r="H72" s="1"/>
    </row>
    <row r="73" spans="1:8" x14ac:dyDescent="0.25">
      <c r="A73" s="3"/>
      <c r="C73" s="4" t="s">
        <v>98</v>
      </c>
      <c r="D73" s="34">
        <v>769</v>
      </c>
      <c r="H73" s="1"/>
    </row>
    <row r="74" spans="1:8" x14ac:dyDescent="0.25">
      <c r="A74" s="3"/>
      <c r="C74" s="4" t="s">
        <v>99</v>
      </c>
      <c r="D74" s="34">
        <v>768.25</v>
      </c>
      <c r="H74" s="1"/>
    </row>
    <row r="75" spans="1:8" x14ac:dyDescent="0.25">
      <c r="A75" s="3"/>
      <c r="C75" s="4" t="s">
        <v>96</v>
      </c>
      <c r="D75" s="34">
        <v>760.75</v>
      </c>
      <c r="H75" s="1"/>
    </row>
    <row r="76" spans="1:8" x14ac:dyDescent="0.25">
      <c r="A76" s="3"/>
      <c r="C76" s="4" t="s">
        <v>32</v>
      </c>
      <c r="D76" s="40">
        <f>(AVERAGE(D73:D74)-D75)*D72/27</f>
        <v>8.2471666666666668</v>
      </c>
      <c r="E76" s="5"/>
      <c r="H76" s="1"/>
    </row>
    <row r="77" spans="1:8" x14ac:dyDescent="0.25">
      <c r="A77" s="3"/>
      <c r="C77" s="4"/>
      <c r="D77" s="34"/>
      <c r="H77" s="1"/>
    </row>
    <row r="78" spans="1:8" x14ac:dyDescent="0.25">
      <c r="A78" s="3"/>
      <c r="C78" s="4"/>
      <c r="D78" s="34"/>
      <c r="H78" s="1"/>
    </row>
    <row r="79" spans="1:8" x14ac:dyDescent="0.25">
      <c r="A79" s="3"/>
      <c r="C79" s="41" t="s">
        <v>78</v>
      </c>
      <c r="D79" s="5"/>
      <c r="H79" s="1"/>
    </row>
    <row r="80" spans="1:8" x14ac:dyDescent="0.25">
      <c r="A80" s="3"/>
      <c r="C80" s="4" t="s">
        <v>97</v>
      </c>
      <c r="D80" s="5">
        <v>10.098000000000001</v>
      </c>
      <c r="H80" s="1"/>
    </row>
    <row r="81" spans="1:8" x14ac:dyDescent="0.25">
      <c r="A81" s="3"/>
      <c r="C81" s="4" t="s">
        <v>98</v>
      </c>
      <c r="D81" s="34">
        <f>D73</f>
        <v>769</v>
      </c>
      <c r="H81" s="1"/>
    </row>
    <row r="82" spans="1:8" x14ac:dyDescent="0.25">
      <c r="A82" s="3"/>
      <c r="C82" s="4" t="s">
        <v>96</v>
      </c>
      <c r="D82" s="34">
        <v>760.75</v>
      </c>
      <c r="H82" s="1"/>
    </row>
    <row r="83" spans="1:8" x14ac:dyDescent="0.25">
      <c r="A83" s="3"/>
      <c r="C83" s="4" t="s">
        <v>32</v>
      </c>
      <c r="D83" s="40">
        <f>(D81-D82)*D80/27</f>
        <v>3.0855000000000001</v>
      </c>
      <c r="E83" s="5"/>
      <c r="H83" s="1"/>
    </row>
    <row r="85" spans="1:8" x14ac:dyDescent="0.25">
      <c r="C85" s="12" t="s">
        <v>8</v>
      </c>
      <c r="D85" s="40">
        <f>D18+D25+D32+D39+D46+D55+D62+D69+D76+D83</f>
        <v>154.17801500000007</v>
      </c>
      <c r="E85" s="40"/>
      <c r="F85" s="49"/>
    </row>
  </sheetData>
  <pageMargins left="0.7" right="0.7" top="0.75" bottom="0.75" header="0.3" footer="0.3"/>
  <pageSetup scale="73" fitToHeight="0" orientation="portrait" r:id="rId1"/>
  <headerFooter>
    <oddHeader>&amp;R&amp;P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80414096DB4792FB2650BE7D609B" ma:contentTypeVersion="16" ma:contentTypeDescription="Create a new document." ma:contentTypeScope="" ma:versionID="4fe1b6ac27a1ef2588bb8f9096bb5245">
  <xsd:schema xmlns:xsd="http://www.w3.org/2001/XMLSchema" xmlns:xs="http://www.w3.org/2001/XMLSchema" xmlns:p="http://schemas.microsoft.com/office/2006/metadata/properties" xmlns:ns2="7362986a-8710-405f-a920-dd04f460f98d" xmlns:ns3="b6e9a5f3-c0b1-405b-bf26-942ca396b9b8" targetNamespace="http://schemas.microsoft.com/office/2006/metadata/properties" ma:root="true" ma:fieldsID="2546a5bd1c0843dfd9854b3d0813fef7" ns2:_="" ns3:_="">
    <xsd:import namespace="7362986a-8710-405f-a920-dd04f460f98d"/>
    <xsd:import namespace="b6e9a5f3-c0b1-405b-bf26-942ca396b9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2986a-8710-405f-a920-dd04f460f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c61dfa-e80d-48ff-b718-63783f955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9a5f3-c0b1-405b-bf26-942ca396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927976-dcbc-4cd9-b458-801253e06ae0}" ma:internalName="TaxCatchAll" ma:showField="CatchAllData" ma:web="b6e9a5f3-c0b1-405b-bf26-942ca396b9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e9a5f3-c0b1-405b-bf26-942ca396b9b8" xsi:nil="true"/>
    <lcf76f155ced4ddcb4097134ff3c332f xmlns="7362986a-8710-405f-a920-dd04f460f9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95288D-5172-4A66-8D6F-08E1A941A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2986a-8710-405f-a920-dd04f460f98d"/>
    <ds:schemaRef ds:uri="b6e9a5f3-c0b1-405b-bf26-942ca396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01B60-52D1-47EE-AF71-A89BCA20DB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66E80-5AB0-4973-8EA7-4F3BF1A553F1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b6e9a5f3-c0b1-405b-bf26-942ca396b9b8"/>
    <ds:schemaRef ds:uri="7362986a-8710-405f-a920-dd04f460f98d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FOR CAD</vt:lpstr>
      <vt:lpstr>Structure Removed</vt:lpstr>
      <vt:lpstr>Wearing Removed</vt:lpstr>
      <vt:lpstr>Unclassified Excavation</vt:lpstr>
      <vt:lpstr>Shale Excavation</vt:lpstr>
      <vt:lpstr>Reinforcing Steel</vt:lpstr>
      <vt:lpstr>Sealing</vt:lpstr>
      <vt:lpstr>Deck</vt:lpstr>
      <vt:lpstr>Abutment</vt:lpstr>
      <vt:lpstr>Footing</vt:lpstr>
      <vt:lpstr>Beams</vt:lpstr>
      <vt:lpstr>2" PEJF</vt:lpstr>
      <vt:lpstr>Semi-Int Exp Jt Seal</vt:lpstr>
      <vt:lpstr>Bearing Pad</vt:lpstr>
      <vt:lpstr>Bearings</vt:lpstr>
      <vt:lpstr>TST Railing</vt:lpstr>
      <vt:lpstr>Porous Backfill</vt:lpstr>
      <vt:lpstr>Drip Strip</vt:lpstr>
      <vt:lpstr>6"PCPP</vt:lpstr>
      <vt:lpstr>6"NPCPP</vt:lpstr>
      <vt:lpstr>Drilled Shafts</vt:lpstr>
      <vt:lpstr>Approach Slab</vt:lpstr>
      <vt:lpstr>Type A Installation</vt:lpstr>
      <vt:lpstr>RCP</vt:lpstr>
      <vt:lpstr>'2" PEJF'!Print_Area</vt:lpstr>
      <vt:lpstr>'6"NPCPP'!Print_Area</vt:lpstr>
      <vt:lpstr>'6"PCPP'!Print_Area</vt:lpstr>
      <vt:lpstr>Abutment!Print_Area</vt:lpstr>
      <vt:lpstr>'Approach Slab'!Print_Area</vt:lpstr>
      <vt:lpstr>Beams!Print_Area</vt:lpstr>
      <vt:lpstr>'Bearing Pad'!Print_Area</vt:lpstr>
      <vt:lpstr>Bearings!Print_Area</vt:lpstr>
      <vt:lpstr>Deck!Print_Area</vt:lpstr>
      <vt:lpstr>'Drilled Shafts'!Print_Area</vt:lpstr>
      <vt:lpstr>'Drip Strip'!Print_Area</vt:lpstr>
      <vt:lpstr>Footing!Print_Area</vt:lpstr>
      <vt:lpstr>'Porous Backfill'!Print_Area</vt:lpstr>
      <vt:lpstr>RCP!Print_Area</vt:lpstr>
      <vt:lpstr>'Reinforcing Steel'!Print_Area</vt:lpstr>
      <vt:lpstr>Sealing!Print_Area</vt:lpstr>
      <vt:lpstr>'Semi-Int Exp Jt Seal'!Print_Area</vt:lpstr>
      <vt:lpstr>'Structure Removed'!Print_Area</vt:lpstr>
      <vt:lpstr>'TST Railing'!Print_Area</vt:lpstr>
      <vt:lpstr>'Type A Installation'!Print_Area</vt:lpstr>
      <vt:lpstr>'Unclassified Excavation'!Print_Area</vt:lpstr>
      <vt:lpstr>'Wearing Removed'!Print_Area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Kronk</dc:creator>
  <cp:lastModifiedBy>Matthew Mcclellan</cp:lastModifiedBy>
  <cp:lastPrinted>2022-01-28T21:49:06Z</cp:lastPrinted>
  <dcterms:created xsi:type="dcterms:W3CDTF">2021-07-15T11:10:03Z</dcterms:created>
  <dcterms:modified xsi:type="dcterms:W3CDTF">2023-03-31T18:33:23Z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0x0101008B7E80414096DB4792FB2650BE7D609B</vt:lpwstr>
  </property>
</Properties>
</file>