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City of Wilmington\0116432A.00 - CLI-US 22-1000 Rombach Resurf\103518\103518_CLI-US22-10.00\ProjAdmin\Estimates\2019-08-30 Stage 3\"/>
    </mc:Choice>
  </mc:AlternateContent>
  <xr:revisionPtr revIDLastSave="0" documentId="13_ncr:1_{2D600E8E-E16C-4A5C-BA0C-60B33F0D833F}" xr6:coauthVersionLast="45" xr6:coauthVersionMax="45" xr10:uidLastSave="{00000000-0000-0000-0000-000000000000}"/>
  <bookViews>
    <workbookView xWindow="28680" yWindow="-300" windowWidth="29040" windowHeight="176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CALCS'!$I$28:$Y$75</definedName>
    <definedName name="ITEM">[1]QryItemAddIn2!$A:$A</definedName>
    <definedName name="_xlnm.Print_Area" localSheetId="0">'PAVEMENT CALCS'!$D$14:$AD$88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6" i="1" l="1"/>
  <c r="Q56" i="1"/>
  <c r="Q49" i="1"/>
  <c r="Q50" i="1"/>
  <c r="Q51" i="1"/>
  <c r="Q52" i="1"/>
  <c r="Q53" i="1"/>
  <c r="Q48" i="1"/>
  <c r="W59" i="1" l="1"/>
  <c r="W44" i="1"/>
  <c r="N115" i="1" l="1"/>
  <c r="N116" i="1"/>
  <c r="N117" i="1"/>
  <c r="N120" i="1"/>
  <c r="N121" i="1"/>
  <c r="P126" i="1"/>
  <c r="P125" i="1"/>
  <c r="P124" i="1"/>
  <c r="P123" i="1"/>
  <c r="L136" i="1"/>
  <c r="P136" i="1" s="1"/>
  <c r="L135" i="1"/>
  <c r="P135" i="1" s="1"/>
  <c r="L134" i="1"/>
  <c r="N134" i="1" s="1"/>
  <c r="L133" i="1"/>
  <c r="N133" i="1" s="1"/>
  <c r="L132" i="1"/>
  <c r="N132" i="1" s="1"/>
  <c r="L131" i="1"/>
  <c r="P131" i="1" s="1"/>
  <c r="L130" i="1"/>
  <c r="P130" i="1" s="1"/>
  <c r="L129" i="1"/>
  <c r="P129" i="1" s="1"/>
  <c r="L128" i="1"/>
  <c r="P128" i="1" s="1"/>
  <c r="L127" i="1"/>
  <c r="P127" i="1" s="1"/>
  <c r="L126" i="1"/>
  <c r="L125" i="1"/>
  <c r="L124" i="1"/>
  <c r="L123" i="1"/>
  <c r="L122" i="1"/>
  <c r="P122" i="1" s="1"/>
  <c r="L121" i="1"/>
  <c r="L120" i="1"/>
  <c r="L119" i="1"/>
  <c r="N119" i="1" s="1"/>
  <c r="L118" i="1"/>
  <c r="N118" i="1" s="1"/>
  <c r="L112" i="1"/>
  <c r="N112" i="1" s="1"/>
  <c r="L113" i="1"/>
  <c r="N113" i="1" s="1"/>
  <c r="L114" i="1"/>
  <c r="N114" i="1" s="1"/>
  <c r="L115" i="1"/>
  <c r="L116" i="1"/>
  <c r="L117" i="1"/>
  <c r="L111" i="1"/>
  <c r="P111" i="1" s="1"/>
  <c r="AD169" i="1" l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O169" i="1"/>
  <c r="M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O168" i="1"/>
  <c r="M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Q87" i="1"/>
  <c r="P86" i="1"/>
  <c r="P87" i="1" s="1"/>
  <c r="N86" i="1"/>
  <c r="O86" i="1" s="1"/>
  <c r="O87" i="1" s="1"/>
  <c r="I86" i="1"/>
  <c r="X83" i="1"/>
  <c r="K82" i="1"/>
  <c r="I82" i="1"/>
  <c r="K81" i="1"/>
  <c r="I81" i="1"/>
  <c r="K80" i="1"/>
  <c r="I80" i="1"/>
  <c r="I79" i="1"/>
  <c r="K79" i="1" s="1"/>
  <c r="L79" i="1" s="1"/>
  <c r="W79" i="1" s="1"/>
  <c r="K78" i="1"/>
  <c r="I78" i="1"/>
  <c r="K77" i="1"/>
  <c r="I77" i="1"/>
  <c r="K76" i="1"/>
  <c r="I76" i="1"/>
  <c r="K75" i="1"/>
  <c r="I75" i="1"/>
  <c r="AA74" i="1"/>
  <c r="L74" i="1"/>
  <c r="I74" i="1"/>
  <c r="L75" i="1" s="1"/>
  <c r="L76" i="1" s="1"/>
  <c r="K73" i="1"/>
  <c r="I73" i="1"/>
  <c r="K72" i="1"/>
  <c r="I72" i="1"/>
  <c r="K71" i="1"/>
  <c r="I71" i="1"/>
  <c r="K70" i="1"/>
  <c r="I70" i="1"/>
  <c r="I69" i="1"/>
  <c r="K69" i="1" s="1"/>
  <c r="L69" i="1" s="1"/>
  <c r="W69" i="1" s="1"/>
  <c r="K68" i="1"/>
  <c r="I68" i="1"/>
  <c r="K67" i="1"/>
  <c r="I67" i="1"/>
  <c r="K66" i="1"/>
  <c r="I66" i="1"/>
  <c r="K65" i="1"/>
  <c r="I65" i="1"/>
  <c r="K64" i="1"/>
  <c r="L64" i="1" s="1"/>
  <c r="W64" i="1" s="1"/>
  <c r="I64" i="1"/>
  <c r="K63" i="1"/>
  <c r="I63" i="1"/>
  <c r="K62" i="1"/>
  <c r="I62" i="1"/>
  <c r="K61" i="1"/>
  <c r="I61" i="1"/>
  <c r="K60" i="1"/>
  <c r="I60" i="1"/>
  <c r="AA59" i="1"/>
  <c r="Z59" i="1"/>
  <c r="I59" i="1"/>
  <c r="L60" i="1" s="1"/>
  <c r="L61" i="1" s="1"/>
  <c r="P56" i="1"/>
  <c r="N56" i="1"/>
  <c r="O56" i="1" s="1"/>
  <c r="I56" i="1"/>
  <c r="P53" i="1"/>
  <c r="N53" i="1"/>
  <c r="O53" i="1" s="1"/>
  <c r="I53" i="1"/>
  <c r="P52" i="1"/>
  <c r="N52" i="1"/>
  <c r="O52" i="1" s="1"/>
  <c r="I52" i="1"/>
  <c r="P51" i="1"/>
  <c r="N51" i="1"/>
  <c r="O51" i="1" s="1"/>
  <c r="I51" i="1"/>
  <c r="P50" i="1"/>
  <c r="N50" i="1"/>
  <c r="O50" i="1" s="1"/>
  <c r="I50" i="1"/>
  <c r="P49" i="1"/>
  <c r="N49" i="1"/>
  <c r="O49" i="1" s="1"/>
  <c r="I49" i="1"/>
  <c r="P48" i="1"/>
  <c r="N48" i="1"/>
  <c r="I48" i="1"/>
  <c r="AD44" i="1"/>
  <c r="AD45" i="1" s="1"/>
  <c r="AC44" i="1"/>
  <c r="X44" i="1"/>
  <c r="S44" i="1"/>
  <c r="I44" i="1"/>
  <c r="AD43" i="1"/>
  <c r="AC43" i="1"/>
  <c r="AC45" i="1" s="1"/>
  <c r="X43" i="1"/>
  <c r="X45" i="1" s="1"/>
  <c r="W43" i="1"/>
  <c r="W45" i="1" s="1"/>
  <c r="S43" i="1"/>
  <c r="S45" i="1" s="1"/>
  <c r="I43" i="1"/>
  <c r="AD39" i="1"/>
  <c r="AC39" i="1"/>
  <c r="X39" i="1"/>
  <c r="W39" i="1"/>
  <c r="S39" i="1"/>
  <c r="I39" i="1"/>
  <c r="AD36" i="1"/>
  <c r="AC36" i="1"/>
  <c r="X36" i="1"/>
  <c r="W36" i="1"/>
  <c r="S36" i="1"/>
  <c r="I36" i="1"/>
  <c r="AD35" i="1"/>
  <c r="AC35" i="1"/>
  <c r="X35" i="1"/>
  <c r="W35" i="1"/>
  <c r="S35" i="1"/>
  <c r="I35" i="1"/>
  <c r="AD34" i="1"/>
  <c r="AC34" i="1"/>
  <c r="X34" i="1"/>
  <c r="W34" i="1"/>
  <c r="S34" i="1"/>
  <c r="I34" i="1"/>
  <c r="AD33" i="1"/>
  <c r="AC33" i="1"/>
  <c r="X33" i="1"/>
  <c r="W33" i="1"/>
  <c r="S33" i="1"/>
  <c r="I33" i="1"/>
  <c r="AD32" i="1"/>
  <c r="AC32" i="1"/>
  <c r="X32" i="1"/>
  <c r="W32" i="1"/>
  <c r="S32" i="1"/>
  <c r="I32" i="1"/>
  <c r="AD31" i="1"/>
  <c r="AC31" i="1"/>
  <c r="X31" i="1"/>
  <c r="W31" i="1"/>
  <c r="S31" i="1"/>
  <c r="I31" i="1"/>
  <c r="Z74" i="1" l="1"/>
  <c r="W74" i="1"/>
  <c r="W83" i="1" s="1"/>
  <c r="N87" i="1"/>
  <c r="N83" i="1"/>
  <c r="N88" i="1" s="1"/>
  <c r="P83" i="1"/>
  <c r="P88" i="1" s="1"/>
  <c r="Q83" i="1"/>
  <c r="Q88" i="1" s="1"/>
  <c r="O48" i="1"/>
  <c r="O83" i="1" s="1"/>
  <c r="O88" i="1" s="1"/>
  <c r="L70" i="1"/>
  <c r="AA69" i="1"/>
  <c r="Z69" i="1"/>
  <c r="U76" i="1"/>
  <c r="L77" i="1"/>
  <c r="M77" i="1" s="1"/>
  <c r="Z79" i="1"/>
  <c r="L80" i="1"/>
  <c r="AA79" i="1"/>
  <c r="U61" i="1"/>
  <c r="L62" i="1"/>
  <c r="M62" i="1" s="1"/>
  <c r="AA64" i="1"/>
  <c r="Z64" i="1"/>
  <c r="L65" i="1"/>
  <c r="U60" i="1"/>
  <c r="U75" i="1"/>
  <c r="Z83" i="1" l="1"/>
  <c r="Z88" i="1" s="1"/>
  <c r="AA83" i="1"/>
  <c r="AA88" i="1" s="1"/>
  <c r="L71" i="1"/>
  <c r="U70" i="1"/>
  <c r="U65" i="1"/>
  <c r="L66" i="1"/>
  <c r="U80" i="1"/>
  <c r="L81" i="1"/>
  <c r="S30" i="1"/>
  <c r="S40" i="1" s="1"/>
  <c r="S88" i="1" s="1"/>
  <c r="W30" i="1"/>
  <c r="W40" i="1" s="1"/>
  <c r="W88" i="1" s="1"/>
  <c r="X30" i="1"/>
  <c r="X40" i="1" s="1"/>
  <c r="X88" i="1" s="1"/>
  <c r="AC30" i="1"/>
  <c r="AC40" i="1" s="1"/>
  <c r="AC88" i="1" s="1"/>
  <c r="AD30" i="1"/>
  <c r="AD40" i="1" s="1"/>
  <c r="AD88" i="1" s="1"/>
  <c r="U81" i="1" l="1"/>
  <c r="L82" i="1"/>
  <c r="M82" i="1" s="1"/>
  <c r="U66" i="1"/>
  <c r="L67" i="1"/>
  <c r="M67" i="1" s="1"/>
  <c r="M83" i="1" s="1"/>
  <c r="M88" i="1" s="1"/>
  <c r="L72" i="1"/>
  <c r="M72" i="1" s="1"/>
  <c r="U71" i="1"/>
  <c r="U83" i="1" l="1"/>
  <c r="U88" i="1" s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D331" i="1" l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AD27" i="1"/>
  <c r="AC27" i="1"/>
  <c r="AB27" i="1"/>
  <c r="AA27" i="1"/>
  <c r="Z27" i="1"/>
  <c r="Y27" i="1"/>
  <c r="X27" i="1"/>
  <c r="W27" i="1"/>
  <c r="V27" i="1"/>
  <c r="V87" i="1" s="1"/>
  <c r="U27" i="1"/>
  <c r="T27" i="1"/>
  <c r="T87" i="1" s="1"/>
  <c r="S27" i="1"/>
  <c r="R27" i="1"/>
  <c r="R87" i="1" s="1"/>
  <c r="Q27" i="1"/>
  <c r="P27" i="1"/>
  <c r="O27" i="1"/>
  <c r="N27" i="1"/>
  <c r="AC14" i="1"/>
  <c r="AB14" i="1"/>
  <c r="Z14" i="1"/>
  <c r="Y14" i="1"/>
  <c r="W14" i="1"/>
  <c r="V14" i="1"/>
  <c r="U14" i="1"/>
  <c r="T14" i="1"/>
  <c r="S14" i="1"/>
  <c r="R14" i="1"/>
  <c r="Q14" i="1"/>
  <c r="M27" i="1"/>
  <c r="M14" i="1"/>
  <c r="P168" i="1" l="1"/>
  <c r="P169" i="1" s="1"/>
  <c r="N168" i="1"/>
  <c r="N169" i="1" s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D9" i="1"/>
  <c r="D90" i="1" s="1"/>
  <c r="D171" i="1" s="1"/>
  <c r="D252" i="1" s="1"/>
  <c r="I30" i="1"/>
</calcChain>
</file>

<file path=xl/sharedStrings.xml><?xml version="1.0" encoding="utf-8"?>
<sst xmlns="http://schemas.openxmlformats.org/spreadsheetml/2006/main" count="232" uniqueCount="80">
  <si>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</si>
  <si>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</si>
  <si>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</si>
  <si>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</si>
  <si>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</si>
  <si>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</si>
  <si>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</si>
  <si>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</si>
  <si>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</si>
  <si>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</si>
  <si>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</si>
  <si>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</si>
  <si>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</si>
  <si>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</si>
  <si>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</si>
  <si>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</si>
  <si>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</si>
  <si>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</si>
  <si>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</si>
  <si>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</si>
  <si>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</si>
  <si>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</si>
  <si>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</si>
  <si>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</si>
  <si>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</si>
  <si>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</si>
  <si>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</si>
  <si>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</si>
  <si>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</si>
  <si>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SURFACE AREA (A) A=DxW/9</t>
  </si>
  <si>
    <t>AVERAGE WIDTH   (W)</t>
  </si>
  <si>
    <t>254E01000</t>
  </si>
  <si>
    <t>304E20000</t>
  </si>
  <si>
    <t>407E20000</t>
  </si>
  <si>
    <t>442E20000</t>
  </si>
  <si>
    <t xml:space="preserve"> (T=3.25")</t>
  </si>
  <si>
    <t xml:space="preserve"> (T=8")</t>
  </si>
  <si>
    <t xml:space="preserve"> (@ 0.055 GAL/SY)</t>
  </si>
  <si>
    <t xml:space="preserve"> (@ 0.085 GAL/SY)</t>
  </si>
  <si>
    <t xml:space="preserve"> (T=1.5")</t>
  </si>
  <si>
    <t>US 22 (Rombach Ave)</t>
  </si>
  <si>
    <t xml:space="preserve"> (T=1.75")</t>
  </si>
  <si>
    <t>441E50000</t>
  </si>
  <si>
    <t>441E50300</t>
  </si>
  <si>
    <t>LT/RT</t>
  </si>
  <si>
    <t>3,4</t>
  </si>
  <si>
    <t>4,8</t>
  </si>
  <si>
    <t>4,8,9</t>
  </si>
  <si>
    <t>EAST SIDE DRIVE</t>
  </si>
  <si>
    <t>BIKE PATH</t>
  </si>
  <si>
    <t>204E10000</t>
  </si>
  <si>
    <t>204E13000</t>
  </si>
  <si>
    <t>204E30020</t>
  </si>
  <si>
    <t>204E50000</t>
  </si>
  <si>
    <t xml:space="preserve"> 12" DEEP</t>
  </si>
  <si>
    <t>01/NHS/PV</t>
  </si>
  <si>
    <t xml:space="preserve">01/NHS/PV - SUBTOTALS  </t>
  </si>
  <si>
    <t>03/NHS/PV</t>
  </si>
  <si>
    <t>02/S&gt;2/PV</t>
  </si>
  <si>
    <t>04/S&gt;2/PV</t>
  </si>
  <si>
    <t xml:space="preserve">02/S&gt;2/PV - SUBTOTALS  </t>
  </si>
  <si>
    <t xml:space="preserve">03/NHS/PV - SUBTOTALS  </t>
  </si>
  <si>
    <t xml:space="preserve">04/S&gt;2/PV - SUBTOTALS  </t>
  </si>
  <si>
    <t>RT</t>
  </si>
  <si>
    <t>US 22 (ROMBACH AVENUE)</t>
  </si>
  <si>
    <t>DRIVEWAYS</t>
  </si>
  <si>
    <t>TYPE</t>
  </si>
  <si>
    <t>APRON SLOPE (%)</t>
  </si>
  <si>
    <t>STATION</t>
  </si>
  <si>
    <t>COMMERCIAL</t>
  </si>
  <si>
    <t>RESIDENTIAL</t>
  </si>
  <si>
    <t>LT</t>
  </si>
  <si>
    <t>N/A</t>
  </si>
  <si>
    <t>FARM</t>
  </si>
  <si>
    <t>WALK/PATH SLOPE (%)</t>
  </si>
  <si>
    <t>452E10010</t>
  </si>
  <si>
    <t>452E12010</t>
  </si>
  <si>
    <t>442E20200</t>
  </si>
  <si>
    <t>1-4,13</t>
  </si>
  <si>
    <t>253E02001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</si>
</sst>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2" fontId="6" fillId="0" borderId="29" xfId="0" applyNumberFormat="1" applyFont="1" applyFill="1" applyBorder="1" applyAlignment="1" applyProtection="1">
      <alignment horizontal="center" vertical="center"/>
    </xf>
    <xf numFmtId="167" fontId="6" fillId="0" borderId="7" xfId="0" applyNumberFormat="1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7" fontId="6" fillId="0" borderId="28" xfId="0" applyNumberFormat="1" applyFont="1" applyFill="1" applyBorder="1" applyAlignment="1" applyProtection="1">
      <alignment horizontal="center" vertical="center"/>
      <protection locked="0"/>
    </xf>
    <xf numFmtId="166" fontId="6" fillId="0" borderId="32" xfId="0" applyNumberFormat="1" applyFont="1" applyFill="1" applyBorder="1" applyAlignment="1" applyProtection="1">
      <alignment horizontal="center" vertical="center"/>
      <protection locked="0"/>
    </xf>
    <xf numFmtId="166" fontId="6" fillId="0" borderId="34" xfId="0" applyNumberFormat="1" applyFont="1" applyFill="1" applyBorder="1" applyAlignment="1" applyProtection="1">
      <alignment horizontal="center" vertical="center"/>
      <protection locked="0"/>
    </xf>
    <xf numFmtId="166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33" xfId="0" applyNumberFormat="1" applyFont="1" applyFill="1" applyBorder="1" applyAlignment="1" applyProtection="1">
      <alignment horizontal="center" vertical="center"/>
      <protection locked="0"/>
    </xf>
    <xf numFmtId="167" fontId="5" fillId="0" borderId="15" xfId="0" applyNumberFormat="1" applyFont="1" applyFill="1" applyBorder="1" applyAlignment="1" applyProtection="1">
      <alignment horizontal="center"/>
      <protection locked="0"/>
    </xf>
    <xf numFmtId="167" fontId="5" fillId="0" borderId="16" xfId="0" applyNumberFormat="1" applyFont="1" applyFill="1" applyBorder="1" applyAlignment="1" applyProtection="1">
      <alignment horizontal="center"/>
      <protection locked="0"/>
    </xf>
    <xf numFmtId="167" fontId="5" fillId="0" borderId="17" xfId="0" applyNumberFormat="1" applyFont="1" applyFill="1" applyBorder="1" applyAlignment="1" applyProtection="1">
      <alignment horizontal="center"/>
      <protection locked="0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67" fontId="5" fillId="0" borderId="7" xfId="0" applyNumberFormat="1" applyFont="1" applyFill="1" applyBorder="1" applyAlignment="1" applyProtection="1">
      <alignment horizontal="center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center" vertical="center" textRotation="90"/>
    </xf>
    <xf numFmtId="1" fontId="9" fillId="0" borderId="19" xfId="0" applyNumberFormat="1" applyFont="1" applyFill="1" applyBorder="1" applyAlignment="1" applyProtection="1">
      <alignment horizontal="center" vertical="center" textRotation="90"/>
    </xf>
    <xf numFmtId="1" fontId="9" fillId="0" borderId="20" xfId="0" applyNumberFormat="1" applyFont="1" applyFill="1" applyBorder="1" applyAlignment="1" applyProtection="1">
      <alignment horizontal="center" vertical="center" textRotation="90"/>
    </xf>
    <xf numFmtId="1" fontId="9" fillId="0" borderId="21" xfId="0" applyNumberFormat="1" applyFont="1" applyFill="1" applyBorder="1" applyAlignment="1" applyProtection="1">
      <alignment horizontal="center" vertical="center" textRotation="90"/>
    </xf>
    <xf numFmtId="1" fontId="9" fillId="0" borderId="30" xfId="0" applyNumberFormat="1" applyFont="1" applyFill="1" applyBorder="1" applyAlignment="1" applyProtection="1">
      <alignment horizontal="center" vertical="center" textRotation="90"/>
    </xf>
    <xf numFmtId="1" fontId="9" fillId="0" borderId="31" xfId="0" applyNumberFormat="1" applyFont="1" applyFill="1" applyBorder="1" applyAlignment="1" applyProtection="1">
      <alignment horizontal="center" vertical="center" textRotation="90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167" fontId="5" fillId="0" borderId="15" xfId="0" applyNumberFormat="1" applyFont="1" applyFill="1" applyBorder="1" applyAlignment="1" applyProtection="1">
      <alignment horizontal="center" vertical="center"/>
      <protection locked="0"/>
    </xf>
    <xf numFmtId="167" fontId="5" fillId="0" borderId="16" xfId="0" applyNumberFormat="1" applyFont="1" applyFill="1" applyBorder="1" applyAlignment="1" applyProtection="1">
      <alignment horizontal="center" vertical="center"/>
      <protection locked="0"/>
    </xf>
    <xf numFmtId="167" fontId="5" fillId="0" borderId="17" xfId="0" applyNumberFormat="1" applyFont="1" applyFill="1" applyBorder="1" applyAlignment="1" applyProtection="1">
      <alignment horizontal="center" vertical="center"/>
      <protection locked="0"/>
    </xf>
    <xf numFmtId="167" fontId="5" fillId="0" borderId="7" xfId="0" applyNumberFormat="1" applyFont="1" applyFill="1" applyBorder="1" applyAlignment="1" applyProtection="1">
      <alignment horizontal="center"/>
      <protection locked="0"/>
    </xf>
    <xf numFmtId="167" fontId="5" fillId="0" borderId="27" xfId="0" applyNumberFormat="1" applyFont="1" applyFill="1" applyBorder="1" applyAlignment="1" applyProtection="1">
      <alignment horizontal="center"/>
      <protection locked="0"/>
    </xf>
    <xf numFmtId="167" fontId="5" fillId="0" borderId="28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" fontId="9" fillId="0" borderId="8" xfId="0" applyNumberFormat="1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28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  <xf numFmtId="164" fontId="6" fillId="0" borderId="27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31"/>
  <sheetViews>
    <sheetView showGridLines="0" tabSelected="1" topLeftCell="C19" zoomScale="80" zoomScaleNormal="80" workbookViewId="0">
      <selection activeCell="L48" sqref="L48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13</v>
      </c>
      <c r="G1" s="57" t="s">
        <v>20</v>
      </c>
      <c r="H1" s="3" t="s">
        <v>21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7"/>
      <c r="V1" s="47"/>
      <c r="W1" s="46"/>
      <c r="X1" s="46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11</v>
      </c>
      <c r="G2" s="57" t="s">
        <v>22</v>
      </c>
      <c r="H2" s="3" t="s">
        <v>24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7"/>
      <c r="V2" s="47"/>
      <c r="W2" s="46"/>
      <c r="X2" s="46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23</v>
      </c>
      <c r="H3" s="3" t="s">
        <v>26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46"/>
      <c r="X3" s="46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25</v>
      </c>
      <c r="H4" s="3" t="s">
        <v>27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46"/>
      <c r="X4" s="46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46"/>
      <c r="X5" s="46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46"/>
      <c r="X6" s="46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12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46"/>
      <c r="X7" s="46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17</v>
      </c>
      <c r="D9" s="74">
        <f>AF9</f>
        <v>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F9" s="49">
        <v>1</v>
      </c>
      <c r="AG9" s="50" t="s">
        <v>14</v>
      </c>
      <c r="AH9" s="17"/>
      <c r="AI9" s="17"/>
      <c r="AJ9" s="17"/>
      <c r="AK9" s="17"/>
      <c r="AL9" s="17"/>
    </row>
    <row r="10" spans="1:38" ht="12.75" customHeight="1" thickBot="1" x14ac:dyDescent="0.25">
      <c r="B10" s="53"/>
      <c r="D10" s="12"/>
      <c r="E10" s="12"/>
      <c r="F10" s="12"/>
      <c r="G10" s="12"/>
      <c r="H10" s="12"/>
      <c r="I10" s="13"/>
      <c r="J10" s="13"/>
      <c r="K10" s="13"/>
      <c r="L10" s="14" t="s">
        <v>15</v>
      </c>
      <c r="M10" s="51" t="s">
        <v>50</v>
      </c>
      <c r="N10" s="58" t="s">
        <v>51</v>
      </c>
      <c r="O10" s="58" t="s">
        <v>52</v>
      </c>
      <c r="P10" s="58" t="s">
        <v>53</v>
      </c>
      <c r="Q10" s="58" t="s">
        <v>79</v>
      </c>
      <c r="R10" s="58"/>
      <c r="S10" s="58" t="s">
        <v>31</v>
      </c>
      <c r="T10" s="58"/>
      <c r="U10" s="58" t="s">
        <v>32</v>
      </c>
      <c r="V10" s="58"/>
      <c r="W10" s="58" t="s">
        <v>33</v>
      </c>
      <c r="X10" s="58" t="s">
        <v>33</v>
      </c>
      <c r="Y10" s="58"/>
      <c r="Z10" s="58" t="s">
        <v>42</v>
      </c>
      <c r="AA10" s="58" t="s">
        <v>43</v>
      </c>
      <c r="AB10" s="51"/>
      <c r="AC10" s="58" t="s">
        <v>34</v>
      </c>
      <c r="AD10" s="58" t="s">
        <v>77</v>
      </c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16</v>
      </c>
      <c r="M11" s="16"/>
      <c r="N11" s="59" t="s">
        <v>54</v>
      </c>
      <c r="O11" s="59"/>
      <c r="P11" s="59"/>
      <c r="Q11" s="59"/>
      <c r="R11" s="59"/>
      <c r="S11" s="59" t="s">
        <v>35</v>
      </c>
      <c r="T11" s="59"/>
      <c r="U11" s="59" t="s">
        <v>36</v>
      </c>
      <c r="V11" s="59"/>
      <c r="W11" s="59" t="s">
        <v>37</v>
      </c>
      <c r="X11" s="59" t="s">
        <v>38</v>
      </c>
      <c r="Y11" s="59"/>
      <c r="Z11" s="59"/>
      <c r="AA11" s="16"/>
      <c r="AB11" s="16"/>
      <c r="AC11" s="59" t="s">
        <v>39</v>
      </c>
      <c r="AD11" s="59" t="s">
        <v>41</v>
      </c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8" ht="12.75" customHeight="1" x14ac:dyDescent="0.2">
      <c r="B14" s="108" t="s">
        <v>18</v>
      </c>
      <c r="D14" s="75" t="s">
        <v>2</v>
      </c>
      <c r="E14" s="76"/>
      <c r="F14" s="77"/>
      <c r="G14" s="111" t="s">
        <v>9</v>
      </c>
      <c r="H14" s="93" t="s">
        <v>0</v>
      </c>
      <c r="I14" s="93" t="s">
        <v>10</v>
      </c>
      <c r="J14" s="93" t="s">
        <v>30</v>
      </c>
      <c r="K14" s="93" t="s">
        <v>29</v>
      </c>
      <c r="L14" s="93" t="s">
        <v>3</v>
      </c>
      <c r="M14" s="115" t="str">
        <f t="shared" ref="M14:AC14" si="0">IF(OR(TRIM(M10)=0,TRIM(M10)=""),"",IF(IFERROR(TRIM(INDEX(QryItemNamed,MATCH(TRIM(M10),ITEM,0),2)),"")="Y","SPECIAL",LEFT(IFERROR(TRIM(INDEX(ITEM,MATCH(TRIM(M10),ITEM,0))),""),3)))</f>
        <v>204</v>
      </c>
      <c r="N14" s="121"/>
      <c r="O14" s="121"/>
      <c r="P14" s="116"/>
      <c r="Q14" s="20" t="str">
        <f t="shared" si="0"/>
        <v>253</v>
      </c>
      <c r="R14" s="20" t="str">
        <f t="shared" si="0"/>
        <v/>
      </c>
      <c r="S14" s="20" t="str">
        <f t="shared" si="0"/>
        <v>254</v>
      </c>
      <c r="T14" s="20" t="str">
        <f t="shared" si="0"/>
        <v/>
      </c>
      <c r="U14" s="20" t="str">
        <f t="shared" si="0"/>
        <v>304</v>
      </c>
      <c r="V14" s="20" t="str">
        <f t="shared" si="0"/>
        <v/>
      </c>
      <c r="W14" s="115" t="str">
        <f t="shared" si="0"/>
        <v>407</v>
      </c>
      <c r="X14" s="116"/>
      <c r="Y14" s="20" t="str">
        <f t="shared" si="0"/>
        <v/>
      </c>
      <c r="Z14" s="115" t="str">
        <f t="shared" si="0"/>
        <v>441</v>
      </c>
      <c r="AA14" s="116"/>
      <c r="AB14" s="20" t="str">
        <f t="shared" si="0"/>
        <v/>
      </c>
      <c r="AC14" s="115" t="str">
        <f t="shared" si="0"/>
        <v>442</v>
      </c>
      <c r="AD14" s="116"/>
    </row>
    <row r="15" spans="1:38" ht="12.75" customHeight="1" x14ac:dyDescent="0.2">
      <c r="B15" s="109"/>
      <c r="D15" s="78"/>
      <c r="E15" s="79"/>
      <c r="F15" s="80"/>
      <c r="G15" s="112"/>
      <c r="H15" s="94"/>
      <c r="I15" s="94"/>
      <c r="J15" s="94"/>
      <c r="K15" s="94"/>
      <c r="L15" s="94"/>
      <c r="M15" s="81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SUBGRADE COMPACTION</v>
      </c>
      <c r="N15" s="81" t="str">
        <f t="shared" si="1"/>
        <v>EXCAVATION OF SUBGRADE 12" DEEP</v>
      </c>
      <c r="O15" s="81" t="str">
        <f t="shared" si="1"/>
        <v>GRANULAR MATERIAL, TYPE C</v>
      </c>
      <c r="P15" s="81" t="str">
        <f t="shared" si="1"/>
        <v>GEOTEXTILE FABRIC</v>
      </c>
      <c r="Q15" s="81" t="str">
        <f t="shared" si="1"/>
        <v>PAVEMENT REPAIR, AS PER PLAN</v>
      </c>
      <c r="R15" s="81" t="str">
        <f t="shared" si="1"/>
        <v/>
      </c>
      <c r="S15" s="81" t="str">
        <f t="shared" si="1"/>
        <v>PAVEMENT PLANING, ASPHALT CONCRETE (T=3.25")</v>
      </c>
      <c r="T15" s="81" t="str">
        <f t="shared" si="1"/>
        <v/>
      </c>
      <c r="U15" s="81" t="str">
        <f t="shared" si="1"/>
        <v>AGGREGATE BASE (T=8")</v>
      </c>
      <c r="V15" s="81" t="str">
        <f t="shared" si="1"/>
        <v/>
      </c>
      <c r="W15" s="81" t="str">
        <f t="shared" si="1"/>
        <v>NON-TRACKING TACK COAT (@ 0.055 GAL/SY)</v>
      </c>
      <c r="X15" s="81" t="str">
        <f t="shared" si="1"/>
        <v>NON-TRACKING TACK COAT (@ 0.085 GAL/SY)</v>
      </c>
      <c r="Y15" s="81" t="str">
        <f t="shared" si="1"/>
        <v/>
      </c>
      <c r="Z15" s="81" t="str">
        <f t="shared" si="1"/>
        <v>ASPHALT CONCRETE SURFACE COURSE, TYPE 1, (448), PG64-22</v>
      </c>
      <c r="AA15" s="81" t="str">
        <f t="shared" si="1"/>
        <v>ASPHALT CONCRETE INTERMEDIATE COURSE, TYPE 2, (448)</v>
      </c>
      <c r="AB15" s="81" t="str">
        <f t="shared" si="1"/>
        <v/>
      </c>
      <c r="AC15" s="81" t="str">
        <f t="shared" si="1"/>
        <v>ASPHALT CONCRETE SURFACE COURSE, 12.5 MM, TYPE A (448) (T=1.5")</v>
      </c>
      <c r="AD15" s="81" t="str">
        <f t="shared" si="1"/>
        <v>ASPHALT CONCRETE INTERMEDIATE COURSE, 19 MM, TYPE A (448) (T=1.75")</v>
      </c>
    </row>
    <row r="16" spans="1:38" ht="12.75" customHeight="1" x14ac:dyDescent="0.2">
      <c r="B16" s="109"/>
      <c r="D16" s="78"/>
      <c r="E16" s="79"/>
      <c r="F16" s="80"/>
      <c r="G16" s="112"/>
      <c r="H16" s="94"/>
      <c r="I16" s="94"/>
      <c r="J16" s="94"/>
      <c r="K16" s="94"/>
      <c r="L16" s="94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2:30" ht="12.75" customHeight="1" x14ac:dyDescent="0.2">
      <c r="B17" s="109"/>
      <c r="D17" s="78"/>
      <c r="E17" s="79"/>
      <c r="F17" s="80"/>
      <c r="G17" s="112"/>
      <c r="H17" s="94"/>
      <c r="I17" s="94"/>
      <c r="J17" s="94"/>
      <c r="K17" s="94"/>
      <c r="L17" s="94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2:30" ht="12.75" customHeight="1" x14ac:dyDescent="0.2">
      <c r="B18" s="109"/>
      <c r="D18" s="78"/>
      <c r="E18" s="79"/>
      <c r="F18" s="80"/>
      <c r="G18" s="112"/>
      <c r="H18" s="94"/>
      <c r="I18" s="94"/>
      <c r="J18" s="94"/>
      <c r="K18" s="94"/>
      <c r="L18" s="94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2:30" ht="12.75" customHeight="1" x14ac:dyDescent="0.2">
      <c r="B19" s="109"/>
      <c r="D19" s="78"/>
      <c r="E19" s="79"/>
      <c r="F19" s="80"/>
      <c r="G19" s="112"/>
      <c r="H19" s="94"/>
      <c r="I19" s="94"/>
      <c r="J19" s="94"/>
      <c r="K19" s="94"/>
      <c r="L19" s="94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2:30" ht="12.75" customHeight="1" x14ac:dyDescent="0.2">
      <c r="B20" s="109"/>
      <c r="D20" s="78"/>
      <c r="E20" s="79"/>
      <c r="F20" s="80"/>
      <c r="G20" s="112"/>
      <c r="H20" s="94"/>
      <c r="I20" s="94"/>
      <c r="J20" s="94"/>
      <c r="K20" s="94"/>
      <c r="L20" s="94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2:30" ht="12.75" customHeight="1" x14ac:dyDescent="0.2">
      <c r="B21" s="109"/>
      <c r="D21" s="78"/>
      <c r="E21" s="79"/>
      <c r="F21" s="80"/>
      <c r="G21" s="112"/>
      <c r="H21" s="94"/>
      <c r="I21" s="94"/>
      <c r="J21" s="94"/>
      <c r="K21" s="94"/>
      <c r="L21" s="94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2:30" ht="12.75" customHeight="1" x14ac:dyDescent="0.2">
      <c r="B22" s="109"/>
      <c r="D22" s="78"/>
      <c r="E22" s="79"/>
      <c r="F22" s="80"/>
      <c r="G22" s="112"/>
      <c r="H22" s="94"/>
      <c r="I22" s="94"/>
      <c r="J22" s="94"/>
      <c r="K22" s="94"/>
      <c r="L22" s="94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2:30" ht="12.75" customHeight="1" x14ac:dyDescent="0.2">
      <c r="B23" s="109"/>
      <c r="D23" s="78"/>
      <c r="E23" s="79"/>
      <c r="F23" s="80"/>
      <c r="G23" s="112"/>
      <c r="H23" s="94"/>
      <c r="I23" s="94"/>
      <c r="J23" s="94"/>
      <c r="K23" s="94"/>
      <c r="L23" s="94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2:30" ht="12.75" customHeight="1" x14ac:dyDescent="0.2">
      <c r="B24" s="109"/>
      <c r="D24" s="78"/>
      <c r="E24" s="79"/>
      <c r="F24" s="80"/>
      <c r="G24" s="112"/>
      <c r="H24" s="94"/>
      <c r="I24" s="94"/>
      <c r="J24" s="94"/>
      <c r="K24" s="94"/>
      <c r="L24" s="94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2:30" ht="12.75" customHeight="1" x14ac:dyDescent="0.2">
      <c r="B25" s="109"/>
      <c r="D25" s="78"/>
      <c r="E25" s="79"/>
      <c r="F25" s="80"/>
      <c r="G25" s="112"/>
      <c r="H25" s="94"/>
      <c r="I25" s="94"/>
      <c r="J25" s="94"/>
      <c r="K25" s="94"/>
      <c r="L25" s="94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2:30" ht="12.75" customHeight="1" x14ac:dyDescent="0.2">
      <c r="B26" s="109"/>
      <c r="D26" s="78"/>
      <c r="E26" s="79"/>
      <c r="F26" s="80"/>
      <c r="G26" s="112"/>
      <c r="H26" s="94"/>
      <c r="I26" s="94"/>
      <c r="J26" s="94"/>
      <c r="K26" s="94"/>
      <c r="L26" s="94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2:30" ht="12.75" customHeight="1" thickBot="1" x14ac:dyDescent="0.25">
      <c r="B27" s="110"/>
      <c r="D27" s="117"/>
      <c r="E27" s="117"/>
      <c r="F27" s="117"/>
      <c r="G27" s="21"/>
      <c r="H27" s="22"/>
      <c r="I27" s="23" t="s">
        <v>6</v>
      </c>
      <c r="J27" s="23" t="s">
        <v>6</v>
      </c>
      <c r="K27" s="23" t="s">
        <v>28</v>
      </c>
      <c r="L27" s="23" t="s">
        <v>28</v>
      </c>
      <c r="M27" s="23" t="str">
        <f t="shared" ref="M27:AD27" si="2">IF(OR(TRIM(M10)=0,TRIM(M10)=""),"",IF(IFERROR(TRIM(INDEX(QryItemNamed,MATCH(TRIM(M10),ITEM,0),3)),"")="LS","",IFERROR(TRIM(INDEX(QryItemNamed,MATCH(TRIM(M10),ITEM,0),3)),"")))</f>
        <v>SY</v>
      </c>
      <c r="N27" s="23" t="str">
        <f t="shared" si="2"/>
        <v>CY</v>
      </c>
      <c r="O27" s="23" t="str">
        <f t="shared" si="2"/>
        <v>CY</v>
      </c>
      <c r="P27" s="23" t="str">
        <f t="shared" si="2"/>
        <v>SY</v>
      </c>
      <c r="Q27" s="23" t="str">
        <f t="shared" si="2"/>
        <v>CY</v>
      </c>
      <c r="R27" s="23" t="str">
        <f t="shared" si="2"/>
        <v/>
      </c>
      <c r="S27" s="23" t="str">
        <f t="shared" si="2"/>
        <v>SY</v>
      </c>
      <c r="T27" s="23" t="str">
        <f t="shared" si="2"/>
        <v/>
      </c>
      <c r="U27" s="23" t="str">
        <f t="shared" si="2"/>
        <v>CY</v>
      </c>
      <c r="V27" s="23" t="str">
        <f t="shared" si="2"/>
        <v/>
      </c>
      <c r="W27" s="23" t="str">
        <f t="shared" si="2"/>
        <v>GAL</v>
      </c>
      <c r="X27" s="23" t="str">
        <f t="shared" si="2"/>
        <v>GAL</v>
      </c>
      <c r="Y27" s="23" t="str">
        <f t="shared" si="2"/>
        <v/>
      </c>
      <c r="Z27" s="23" t="str">
        <f t="shared" si="2"/>
        <v>CY</v>
      </c>
      <c r="AA27" s="23" t="str">
        <f t="shared" si="2"/>
        <v>CY</v>
      </c>
      <c r="AB27" s="23" t="str">
        <f t="shared" si="2"/>
        <v/>
      </c>
      <c r="AC27" s="23" t="str">
        <f t="shared" si="2"/>
        <v>CY</v>
      </c>
      <c r="AD27" s="23" t="str">
        <f t="shared" si="2"/>
        <v>CY</v>
      </c>
    </row>
    <row r="28" spans="2:30" ht="12.75" customHeight="1" x14ac:dyDescent="0.2">
      <c r="B28" s="54"/>
      <c r="D28" s="71" t="s">
        <v>55</v>
      </c>
      <c r="E28" s="72"/>
      <c r="F28" s="73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28"/>
    </row>
    <row r="29" spans="2:30" ht="12.75" customHeight="1" x14ac:dyDescent="0.2">
      <c r="B29" s="55"/>
      <c r="D29" s="84" t="s">
        <v>64</v>
      </c>
      <c r="E29" s="85"/>
      <c r="F29" s="86"/>
      <c r="G29" s="26"/>
      <c r="H29" s="27"/>
      <c r="I29" s="28"/>
      <c r="J29" s="28"/>
      <c r="K29" s="3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/>
      <c r="D30" s="31">
        <v>1890</v>
      </c>
      <c r="E30" s="32" t="s">
        <v>1</v>
      </c>
      <c r="F30" s="31">
        <v>3638.31</v>
      </c>
      <c r="G30" s="33" t="s">
        <v>78</v>
      </c>
      <c r="H30" s="34" t="s">
        <v>44</v>
      </c>
      <c r="I30" s="30">
        <f t="shared" ref="I30:I36" si="3">IF(D30&lt;&gt;"",F30-D30,"")</f>
        <v>1748.31</v>
      </c>
      <c r="J30" s="30">
        <v>27</v>
      </c>
      <c r="K30" s="30"/>
      <c r="L30" s="30">
        <v>6024.9669999999996</v>
      </c>
      <c r="M30" s="28"/>
      <c r="N30" s="28"/>
      <c r="O30" s="28"/>
      <c r="P30" s="28"/>
      <c r="Q30" s="28"/>
      <c r="R30" s="28"/>
      <c r="S30" s="28">
        <f t="shared" ref="S30:S36" si="4">ROUNDUP($L30,2)</f>
        <v>6024.97</v>
      </c>
      <c r="T30" s="28"/>
      <c r="U30" s="28"/>
      <c r="V30" s="28"/>
      <c r="W30" s="28">
        <f t="shared" ref="W30:W36" si="5">ROUNDUP($L30*0.055,2)</f>
        <v>331.38</v>
      </c>
      <c r="X30" s="28">
        <f t="shared" ref="X30:X36" si="6">ROUNDUP($L30*0.085,2)</f>
        <v>512.13</v>
      </c>
      <c r="Y30" s="28"/>
      <c r="Z30" s="28"/>
      <c r="AA30" s="28"/>
      <c r="AB30" s="28"/>
      <c r="AC30" s="28">
        <f t="shared" ref="AC30:AC36" si="7">ROUNDUP(($L30*(1.5/36)),2)</f>
        <v>251.04999999999998</v>
      </c>
      <c r="AD30" s="28">
        <f t="shared" ref="AD30:AD36" si="8">ROUNDUP(($L30*(1.75/36)),2)</f>
        <v>292.89</v>
      </c>
    </row>
    <row r="31" spans="2:30" ht="12.75" customHeight="1" x14ac:dyDescent="0.2">
      <c r="B31" s="55"/>
      <c r="D31" s="31">
        <v>3638.31</v>
      </c>
      <c r="E31" s="32" t="s">
        <v>1</v>
      </c>
      <c r="F31" s="31">
        <v>5000</v>
      </c>
      <c r="G31" s="33" t="s">
        <v>45</v>
      </c>
      <c r="H31" s="34" t="s">
        <v>44</v>
      </c>
      <c r="I31" s="30">
        <f t="shared" si="3"/>
        <v>1361.69</v>
      </c>
      <c r="J31" s="30">
        <v>60</v>
      </c>
      <c r="K31" s="30"/>
      <c r="L31" s="30">
        <v>9638.92</v>
      </c>
      <c r="M31" s="28"/>
      <c r="N31" s="28"/>
      <c r="O31" s="28"/>
      <c r="P31" s="30"/>
      <c r="Q31" s="28"/>
      <c r="R31" s="28"/>
      <c r="S31" s="28">
        <f t="shared" si="4"/>
        <v>9638.92</v>
      </c>
      <c r="T31" s="28"/>
      <c r="U31" s="28"/>
      <c r="V31" s="28"/>
      <c r="W31" s="28">
        <f t="shared" si="5"/>
        <v>530.15</v>
      </c>
      <c r="X31" s="28">
        <f t="shared" si="6"/>
        <v>819.31</v>
      </c>
      <c r="Y31" s="30"/>
      <c r="Z31" s="28"/>
      <c r="AA31" s="35"/>
      <c r="AB31" s="35"/>
      <c r="AC31" s="28">
        <f t="shared" si="7"/>
        <v>401.63</v>
      </c>
      <c r="AD31" s="28">
        <f t="shared" si="8"/>
        <v>468.56</v>
      </c>
    </row>
    <row r="32" spans="2:30" ht="12.75" customHeight="1" x14ac:dyDescent="0.2">
      <c r="B32" s="55"/>
      <c r="D32" s="31">
        <v>5000</v>
      </c>
      <c r="E32" s="32" t="s">
        <v>1</v>
      </c>
      <c r="F32" s="31">
        <v>7150</v>
      </c>
      <c r="G32" s="33">
        <v>4</v>
      </c>
      <c r="H32" s="34" t="s">
        <v>44</v>
      </c>
      <c r="I32" s="30">
        <f t="shared" si="3"/>
        <v>2150</v>
      </c>
      <c r="J32" s="30">
        <v>60</v>
      </c>
      <c r="K32" s="30"/>
      <c r="L32" s="30">
        <v>14773.43</v>
      </c>
      <c r="M32" s="28"/>
      <c r="N32" s="28"/>
      <c r="O32" s="28"/>
      <c r="P32" s="30"/>
      <c r="Q32" s="28"/>
      <c r="R32" s="28"/>
      <c r="S32" s="28">
        <f t="shared" si="4"/>
        <v>14773.43</v>
      </c>
      <c r="T32" s="28"/>
      <c r="U32" s="28"/>
      <c r="V32" s="28"/>
      <c r="W32" s="28">
        <f t="shared" si="5"/>
        <v>812.54</v>
      </c>
      <c r="X32" s="28">
        <f t="shared" si="6"/>
        <v>1255.75</v>
      </c>
      <c r="Y32" s="30"/>
      <c r="Z32" s="28"/>
      <c r="AA32" s="35"/>
      <c r="AB32" s="35"/>
      <c r="AC32" s="28">
        <f t="shared" si="7"/>
        <v>615.55999999999995</v>
      </c>
      <c r="AD32" s="28">
        <f t="shared" si="8"/>
        <v>718.16</v>
      </c>
    </row>
    <row r="33" spans="2:30" ht="12.75" customHeight="1" x14ac:dyDescent="0.2">
      <c r="B33" s="55"/>
      <c r="D33" s="31">
        <v>7150</v>
      </c>
      <c r="E33" s="32" t="s">
        <v>1</v>
      </c>
      <c r="F33" s="31">
        <v>9607.2800000000007</v>
      </c>
      <c r="G33" s="33">
        <v>4</v>
      </c>
      <c r="H33" s="34" t="s">
        <v>44</v>
      </c>
      <c r="I33" s="30">
        <f t="shared" si="3"/>
        <v>2457.2800000000007</v>
      </c>
      <c r="J33" s="30">
        <v>50</v>
      </c>
      <c r="K33" s="30"/>
      <c r="L33" s="30">
        <v>17247.996999999999</v>
      </c>
      <c r="M33" s="28"/>
      <c r="N33" s="28"/>
      <c r="O33" s="28"/>
      <c r="P33" s="30"/>
      <c r="Q33" s="28"/>
      <c r="R33" s="28"/>
      <c r="S33" s="28">
        <f t="shared" si="4"/>
        <v>17248</v>
      </c>
      <c r="T33" s="28"/>
      <c r="U33" s="28"/>
      <c r="V33" s="28"/>
      <c r="W33" s="28">
        <f t="shared" si="5"/>
        <v>948.64</v>
      </c>
      <c r="X33" s="28">
        <f t="shared" si="6"/>
        <v>1466.08</v>
      </c>
      <c r="Y33" s="30"/>
      <c r="Z33" s="28"/>
      <c r="AA33" s="35"/>
      <c r="AB33" s="35"/>
      <c r="AC33" s="28">
        <f t="shared" si="7"/>
        <v>718.67</v>
      </c>
      <c r="AD33" s="28">
        <f t="shared" si="8"/>
        <v>838.45</v>
      </c>
    </row>
    <row r="34" spans="2:30" ht="12.75" customHeight="1" x14ac:dyDescent="0.2">
      <c r="B34" s="55"/>
      <c r="D34" s="31">
        <v>9607.2800000000007</v>
      </c>
      <c r="E34" s="32" t="s">
        <v>1</v>
      </c>
      <c r="F34" s="31">
        <v>11658.2</v>
      </c>
      <c r="G34" s="33" t="s">
        <v>46</v>
      </c>
      <c r="H34" s="34" t="s">
        <v>44</v>
      </c>
      <c r="I34" s="30">
        <f t="shared" si="3"/>
        <v>2050.92</v>
      </c>
      <c r="J34" s="30">
        <v>50</v>
      </c>
      <c r="K34" s="30"/>
      <c r="L34" s="30">
        <v>14078.47</v>
      </c>
      <c r="M34" s="28"/>
      <c r="N34" s="28"/>
      <c r="O34" s="28"/>
      <c r="P34" s="30"/>
      <c r="Q34" s="28"/>
      <c r="R34" s="28"/>
      <c r="S34" s="28">
        <f t="shared" si="4"/>
        <v>14078.47</v>
      </c>
      <c r="T34" s="28"/>
      <c r="U34" s="28"/>
      <c r="V34" s="28"/>
      <c r="W34" s="28">
        <f t="shared" si="5"/>
        <v>774.31999999999994</v>
      </c>
      <c r="X34" s="28">
        <f t="shared" si="6"/>
        <v>1196.67</v>
      </c>
      <c r="Y34" s="30"/>
      <c r="Z34" s="28"/>
      <c r="AA34" s="35"/>
      <c r="AB34" s="35"/>
      <c r="AC34" s="28">
        <f t="shared" si="7"/>
        <v>586.61</v>
      </c>
      <c r="AD34" s="28">
        <f t="shared" si="8"/>
        <v>684.38</v>
      </c>
    </row>
    <row r="35" spans="2:30" ht="12.75" customHeight="1" x14ac:dyDescent="0.2">
      <c r="B35" s="55"/>
      <c r="D35" s="31">
        <v>11658.2</v>
      </c>
      <c r="E35" s="32" t="s">
        <v>1</v>
      </c>
      <c r="F35" s="31">
        <v>13450</v>
      </c>
      <c r="G35" s="33" t="s">
        <v>47</v>
      </c>
      <c r="H35" s="34" t="s">
        <v>44</v>
      </c>
      <c r="I35" s="30">
        <f t="shared" si="3"/>
        <v>1791.7999999999993</v>
      </c>
      <c r="J35" s="30">
        <v>50</v>
      </c>
      <c r="K35" s="30"/>
      <c r="L35" s="30">
        <v>9111.8467000000001</v>
      </c>
      <c r="M35" s="28"/>
      <c r="N35" s="28"/>
      <c r="O35" s="28"/>
      <c r="P35" s="30"/>
      <c r="Q35" s="28"/>
      <c r="R35" s="28"/>
      <c r="S35" s="28">
        <f t="shared" si="4"/>
        <v>9111.85</v>
      </c>
      <c r="T35" s="28"/>
      <c r="U35" s="28"/>
      <c r="V35" s="28"/>
      <c r="W35" s="28">
        <f t="shared" si="5"/>
        <v>501.15999999999997</v>
      </c>
      <c r="X35" s="28">
        <f t="shared" si="6"/>
        <v>774.51</v>
      </c>
      <c r="Y35" s="30"/>
      <c r="Z35" s="28"/>
      <c r="AA35" s="35"/>
      <c r="AB35" s="35"/>
      <c r="AC35" s="28">
        <f t="shared" si="7"/>
        <v>379.67</v>
      </c>
      <c r="AD35" s="28">
        <f t="shared" si="8"/>
        <v>442.94</v>
      </c>
    </row>
    <row r="36" spans="2:30" ht="12.75" customHeight="1" x14ac:dyDescent="0.2">
      <c r="B36" s="55"/>
      <c r="D36" s="31">
        <v>13450</v>
      </c>
      <c r="E36" s="32" t="s">
        <v>1</v>
      </c>
      <c r="F36" s="31">
        <v>13479</v>
      </c>
      <c r="G36" s="33">
        <v>9</v>
      </c>
      <c r="H36" s="34" t="s">
        <v>44</v>
      </c>
      <c r="I36" s="30">
        <f t="shared" si="3"/>
        <v>29</v>
      </c>
      <c r="J36" s="30">
        <v>60</v>
      </c>
      <c r="K36" s="30"/>
      <c r="L36" s="30">
        <v>160.12</v>
      </c>
      <c r="M36" s="28"/>
      <c r="N36" s="28"/>
      <c r="O36" s="28"/>
      <c r="P36" s="30"/>
      <c r="Q36" s="28"/>
      <c r="R36" s="28"/>
      <c r="S36" s="28">
        <f t="shared" si="4"/>
        <v>160.12</v>
      </c>
      <c r="T36" s="28"/>
      <c r="U36" s="28"/>
      <c r="V36" s="28"/>
      <c r="W36" s="28">
        <f t="shared" si="5"/>
        <v>8.81</v>
      </c>
      <c r="X36" s="28">
        <f t="shared" si="6"/>
        <v>13.62</v>
      </c>
      <c r="Y36" s="30"/>
      <c r="Z36" s="28"/>
      <c r="AA36" s="35"/>
      <c r="AB36" s="35"/>
      <c r="AC36" s="28">
        <f t="shared" si="7"/>
        <v>6.68</v>
      </c>
      <c r="AD36" s="28">
        <f t="shared" si="8"/>
        <v>7.79</v>
      </c>
    </row>
    <row r="37" spans="2:30" ht="12.75" customHeight="1" x14ac:dyDescent="0.2">
      <c r="B37" s="55"/>
      <c r="D37" s="31"/>
      <c r="E37" s="32"/>
      <c r="F37" s="31"/>
      <c r="G37" s="33"/>
      <c r="H37" s="34"/>
      <c r="I37" s="30"/>
      <c r="J37" s="30"/>
      <c r="K37" s="30"/>
      <c r="L37" s="30"/>
      <c r="M37" s="28"/>
      <c r="N37" s="28"/>
      <c r="O37" s="28"/>
      <c r="P37" s="30"/>
      <c r="Q37" s="28"/>
      <c r="R37" s="28"/>
      <c r="S37" s="28"/>
      <c r="T37" s="28"/>
      <c r="U37" s="28"/>
      <c r="V37" s="28"/>
      <c r="W37" s="28"/>
      <c r="X37" s="28"/>
      <c r="Y37" s="30"/>
      <c r="Z37" s="28"/>
      <c r="AA37" s="35"/>
      <c r="AB37" s="35"/>
      <c r="AC37" s="28"/>
      <c r="AD37" s="28"/>
    </row>
    <row r="38" spans="2:30" ht="12.75" customHeight="1" x14ac:dyDescent="0.2">
      <c r="B38" s="55"/>
      <c r="D38" s="102" t="s">
        <v>48</v>
      </c>
      <c r="E38" s="103"/>
      <c r="F38" s="104"/>
      <c r="G38" s="33"/>
      <c r="H38" s="34"/>
      <c r="I38" s="30"/>
      <c r="J38" s="30"/>
      <c r="K38" s="30"/>
      <c r="L38" s="30"/>
      <c r="M38" s="28"/>
      <c r="N38" s="28"/>
      <c r="O38" s="28"/>
      <c r="P38" s="30"/>
      <c r="Q38" s="28"/>
      <c r="R38" s="28"/>
      <c r="S38" s="28"/>
      <c r="T38" s="28"/>
      <c r="U38" s="28"/>
      <c r="V38" s="28"/>
      <c r="W38" s="28"/>
      <c r="X38" s="28"/>
      <c r="Y38" s="30"/>
      <c r="Z38" s="28"/>
      <c r="AA38" s="35"/>
      <c r="AB38" s="35"/>
      <c r="AC38" s="28"/>
      <c r="AD38" s="28"/>
    </row>
    <row r="39" spans="2:30" ht="12.75" customHeight="1" thickBot="1" x14ac:dyDescent="0.25">
      <c r="B39" s="55"/>
      <c r="D39" s="31">
        <v>19103.68</v>
      </c>
      <c r="E39" s="32" t="s">
        <v>1</v>
      </c>
      <c r="F39" s="31">
        <v>19952.93</v>
      </c>
      <c r="G39" s="33">
        <v>15</v>
      </c>
      <c r="H39" s="34"/>
      <c r="I39" s="30">
        <f t="shared" ref="I39" si="9">IF(D39&lt;&gt;"",F39-D39,"")</f>
        <v>849.25</v>
      </c>
      <c r="J39" s="30"/>
      <c r="K39" s="30"/>
      <c r="L39" s="30">
        <v>4609.1666999999998</v>
      </c>
      <c r="M39" s="28"/>
      <c r="N39" s="28"/>
      <c r="O39" s="28"/>
      <c r="P39" s="30"/>
      <c r="Q39" s="28"/>
      <c r="R39" s="28"/>
      <c r="S39" s="28">
        <f>ROUNDUP($L39,2)</f>
        <v>4609.17</v>
      </c>
      <c r="T39" s="28"/>
      <c r="U39" s="28"/>
      <c r="V39" s="28"/>
      <c r="W39" s="28">
        <f>ROUNDUP($L39*0.055,2)</f>
        <v>253.51</v>
      </c>
      <c r="X39" s="28">
        <f>ROUNDUP($L39*0.085,2)</f>
        <v>391.78</v>
      </c>
      <c r="Y39" s="30"/>
      <c r="Z39" s="28"/>
      <c r="AA39" s="35"/>
      <c r="AB39" s="35"/>
      <c r="AC39" s="28">
        <f>ROUNDUP(($L39*(1.5/36)),2)</f>
        <v>192.04999999999998</v>
      </c>
      <c r="AD39" s="28">
        <f>ROUNDUP(($L39*(1.75/36)),2)</f>
        <v>224.06</v>
      </c>
    </row>
    <row r="40" spans="2:30" ht="12.75" customHeight="1" thickBot="1" x14ac:dyDescent="0.25">
      <c r="B40" s="55"/>
      <c r="D40" s="96" t="s">
        <v>56</v>
      </c>
      <c r="E40" s="97"/>
      <c r="F40" s="97"/>
      <c r="G40" s="97"/>
      <c r="H40" s="97"/>
      <c r="I40" s="97"/>
      <c r="J40" s="97"/>
      <c r="K40" s="97"/>
      <c r="L40" s="98"/>
      <c r="M40" s="60"/>
      <c r="N40" s="60"/>
      <c r="O40" s="60"/>
      <c r="P40" s="60"/>
      <c r="Q40" s="60"/>
      <c r="R40" s="60"/>
      <c r="S40" s="60">
        <f>SUM(S28:S39)</f>
        <v>75644.929999999993</v>
      </c>
      <c r="T40" s="60"/>
      <c r="U40" s="60"/>
      <c r="V40" s="60"/>
      <c r="W40" s="60">
        <f>SUM(W28:W39)</f>
        <v>4160.5099999999993</v>
      </c>
      <c r="X40" s="60">
        <f>SUM(X28:X39)</f>
        <v>6429.85</v>
      </c>
      <c r="Y40" s="60"/>
      <c r="Z40" s="60"/>
      <c r="AA40" s="60"/>
      <c r="AB40" s="60"/>
      <c r="AC40" s="60">
        <f>SUM(AC28:AC39)</f>
        <v>3151.92</v>
      </c>
      <c r="AD40" s="60">
        <f>SUM(AD28:AD39)</f>
        <v>3677.2300000000005</v>
      </c>
    </row>
    <row r="41" spans="2:30" ht="12.75" customHeight="1" x14ac:dyDescent="0.2">
      <c r="B41" s="55"/>
      <c r="D41" s="99" t="s">
        <v>58</v>
      </c>
      <c r="E41" s="100"/>
      <c r="F41" s="101"/>
      <c r="G41" s="33"/>
      <c r="H41" s="34"/>
      <c r="I41" s="30"/>
      <c r="J41" s="30"/>
      <c r="K41" s="30"/>
      <c r="L41" s="30"/>
      <c r="M41" s="28"/>
      <c r="N41" s="28"/>
      <c r="O41" s="28"/>
      <c r="P41" s="30"/>
      <c r="Q41" s="28"/>
      <c r="R41" s="28"/>
      <c r="S41" s="28"/>
      <c r="T41" s="28"/>
      <c r="U41" s="28"/>
      <c r="V41" s="28"/>
      <c r="W41" s="28"/>
      <c r="X41" s="28"/>
      <c r="Y41" s="30"/>
      <c r="Z41" s="28"/>
      <c r="AA41" s="35"/>
      <c r="AB41" s="35"/>
      <c r="AC41" s="28"/>
      <c r="AD41" s="28"/>
    </row>
    <row r="42" spans="2:30" ht="12.75" customHeight="1" x14ac:dyDescent="0.2">
      <c r="B42" s="55"/>
      <c r="D42" s="84" t="s">
        <v>40</v>
      </c>
      <c r="E42" s="85"/>
      <c r="F42" s="86"/>
      <c r="G42" s="33"/>
      <c r="H42" s="34"/>
      <c r="I42" s="30"/>
      <c r="J42" s="30"/>
      <c r="K42" s="30"/>
      <c r="L42" s="30"/>
      <c r="M42" s="28"/>
      <c r="N42" s="28"/>
      <c r="O42" s="28"/>
      <c r="P42" s="30"/>
      <c r="Q42" s="28"/>
      <c r="R42" s="28"/>
      <c r="S42" s="28"/>
      <c r="T42" s="28"/>
      <c r="U42" s="28"/>
      <c r="V42" s="28"/>
      <c r="W42" s="28"/>
      <c r="X42" s="28"/>
      <c r="Y42" s="30"/>
      <c r="Z42" s="28"/>
      <c r="AA42" s="35"/>
      <c r="AB42" s="35"/>
      <c r="AC42" s="28"/>
      <c r="AD42" s="28"/>
    </row>
    <row r="43" spans="2:30" ht="12.75" customHeight="1" x14ac:dyDescent="0.2">
      <c r="B43" s="55"/>
      <c r="D43" s="31">
        <v>13479</v>
      </c>
      <c r="E43" s="32" t="s">
        <v>1</v>
      </c>
      <c r="F43" s="31">
        <v>16200</v>
      </c>
      <c r="G43" s="33">
        <v>9</v>
      </c>
      <c r="H43" s="34" t="s">
        <v>44</v>
      </c>
      <c r="I43" s="30">
        <f t="shared" ref="I43:I44" si="10">IF(D43&lt;&gt;"",F43-D43,"")</f>
        <v>2721</v>
      </c>
      <c r="J43" s="30">
        <v>60</v>
      </c>
      <c r="K43" s="30"/>
      <c r="L43" s="30">
        <v>19730.36</v>
      </c>
      <c r="M43" s="28"/>
      <c r="N43" s="28"/>
      <c r="O43" s="28"/>
      <c r="P43" s="30"/>
      <c r="Q43" s="28"/>
      <c r="R43" s="28"/>
      <c r="S43" s="28">
        <f>ROUNDUP($L43,2)</f>
        <v>19730.36</v>
      </c>
      <c r="T43" s="28"/>
      <c r="U43" s="28"/>
      <c r="V43" s="28"/>
      <c r="W43" s="28">
        <f>ROUNDUP($L43*0.055,2)</f>
        <v>1085.17</v>
      </c>
      <c r="X43" s="28">
        <f>ROUNDUP($L43*0.085,2)</f>
        <v>1677.09</v>
      </c>
      <c r="Y43" s="30"/>
      <c r="Z43" s="28"/>
      <c r="AA43" s="35"/>
      <c r="AB43" s="35"/>
      <c r="AC43" s="28">
        <f>ROUNDUP(($L43*(1.5/36)),2)</f>
        <v>822.1</v>
      </c>
      <c r="AD43" s="28">
        <f>ROUNDUP(($L43*(1.75/36)),2)</f>
        <v>959.12</v>
      </c>
    </row>
    <row r="44" spans="2:30" ht="12.75" customHeight="1" thickBot="1" x14ac:dyDescent="0.25">
      <c r="B44" s="55"/>
      <c r="D44" s="31">
        <v>16200</v>
      </c>
      <c r="E44" s="32" t="s">
        <v>1</v>
      </c>
      <c r="F44" s="31">
        <v>17255</v>
      </c>
      <c r="G44" s="33">
        <v>9</v>
      </c>
      <c r="H44" s="34" t="s">
        <v>44</v>
      </c>
      <c r="I44" s="30">
        <f t="shared" si="10"/>
        <v>1055</v>
      </c>
      <c r="J44" s="30">
        <v>24</v>
      </c>
      <c r="K44" s="30"/>
      <c r="L44" s="30">
        <v>3426.17</v>
      </c>
      <c r="M44" s="28"/>
      <c r="N44" s="28"/>
      <c r="O44" s="28"/>
      <c r="P44" s="30"/>
      <c r="Q44" s="28"/>
      <c r="R44" s="28"/>
      <c r="S44" s="28">
        <f>ROUNDUP($L44,2)</f>
        <v>3426.17</v>
      </c>
      <c r="T44" s="28"/>
      <c r="U44" s="28"/>
      <c r="V44" s="28"/>
      <c r="W44" s="28">
        <f>ROUNDUP($L44*0.055,2)</f>
        <v>188.44</v>
      </c>
      <c r="X44" s="28">
        <f>ROUNDUP($L44*0.085,2)</f>
        <v>291.23</v>
      </c>
      <c r="Y44" s="30"/>
      <c r="Z44" s="28"/>
      <c r="AA44" s="35"/>
      <c r="AB44" s="35"/>
      <c r="AC44" s="28">
        <f>ROUNDUP(($L44*(1.5/36)),2)</f>
        <v>142.76</v>
      </c>
      <c r="AD44" s="28">
        <f>ROUNDUP(($L44*(1.75/36)),2)</f>
        <v>166.54999999999998</v>
      </c>
    </row>
    <row r="45" spans="2:30" ht="12.75" customHeight="1" thickBot="1" x14ac:dyDescent="0.25">
      <c r="B45" s="55"/>
      <c r="D45" s="96" t="s">
        <v>60</v>
      </c>
      <c r="E45" s="97"/>
      <c r="F45" s="97"/>
      <c r="G45" s="97"/>
      <c r="H45" s="97"/>
      <c r="I45" s="97"/>
      <c r="J45" s="97"/>
      <c r="K45" s="97"/>
      <c r="L45" s="98"/>
      <c r="M45" s="60"/>
      <c r="N45" s="60"/>
      <c r="O45" s="60"/>
      <c r="P45" s="60"/>
      <c r="Q45" s="60"/>
      <c r="R45" s="60"/>
      <c r="S45" s="60">
        <f>SUM(S41:S44)</f>
        <v>23156.53</v>
      </c>
      <c r="T45" s="60"/>
      <c r="U45" s="60"/>
      <c r="V45" s="60"/>
      <c r="W45" s="60">
        <f>SUM(W41:W44)</f>
        <v>1273.6100000000001</v>
      </c>
      <c r="X45" s="60">
        <f>SUM(X41:X44)</f>
        <v>1968.32</v>
      </c>
      <c r="Y45" s="60"/>
      <c r="Z45" s="60"/>
      <c r="AA45" s="60"/>
      <c r="AB45" s="60"/>
      <c r="AC45" s="60">
        <f>SUM(AC41:AC44)</f>
        <v>964.86</v>
      </c>
      <c r="AD45" s="60">
        <f>SUM(AD41:AD44)</f>
        <v>1125.67</v>
      </c>
    </row>
    <row r="46" spans="2:30" ht="12.75" customHeight="1" x14ac:dyDescent="0.2">
      <c r="B46" s="55"/>
      <c r="D46" s="99" t="s">
        <v>57</v>
      </c>
      <c r="E46" s="100"/>
      <c r="F46" s="101"/>
      <c r="G46" s="33"/>
      <c r="H46" s="34"/>
      <c r="I46" s="30"/>
      <c r="J46" s="30"/>
      <c r="K46" s="30"/>
      <c r="L46" s="30"/>
      <c r="M46" s="28"/>
      <c r="N46" s="28"/>
      <c r="O46" s="28"/>
      <c r="P46" s="30"/>
      <c r="Q46" s="28"/>
      <c r="R46" s="28"/>
      <c r="S46" s="28"/>
      <c r="T46" s="28"/>
      <c r="U46" s="28"/>
      <c r="V46" s="28"/>
      <c r="W46" s="28"/>
      <c r="X46" s="28"/>
      <c r="Y46" s="30"/>
      <c r="Z46" s="28"/>
      <c r="AA46" s="35"/>
      <c r="AB46" s="35"/>
      <c r="AC46" s="28"/>
      <c r="AD46" s="28"/>
    </row>
    <row r="47" spans="2:30" ht="12.75" customHeight="1" x14ac:dyDescent="0.2">
      <c r="B47" s="55"/>
      <c r="D47" s="84" t="s">
        <v>64</v>
      </c>
      <c r="E47" s="85"/>
      <c r="F47" s="86"/>
      <c r="G47" s="33"/>
      <c r="H47" s="34"/>
      <c r="I47" s="30"/>
      <c r="J47" s="30"/>
      <c r="K47" s="30"/>
      <c r="L47" s="30"/>
      <c r="M47" s="28"/>
      <c r="N47" s="28"/>
      <c r="O47" s="28"/>
      <c r="P47" s="30"/>
      <c r="Q47" s="28"/>
      <c r="R47" s="28"/>
      <c r="S47" s="28"/>
      <c r="T47" s="28"/>
      <c r="U47" s="28"/>
      <c r="V47" s="28"/>
      <c r="W47" s="28"/>
      <c r="X47" s="28"/>
      <c r="Y47" s="30"/>
      <c r="Z47" s="28"/>
      <c r="AA47" s="35"/>
      <c r="AB47" s="35"/>
      <c r="AC47" s="28"/>
      <c r="AD47" s="28"/>
    </row>
    <row r="48" spans="2:30" ht="12.75" customHeight="1" x14ac:dyDescent="0.2">
      <c r="B48" s="55"/>
      <c r="D48" s="31">
        <v>1890</v>
      </c>
      <c r="E48" s="32" t="s">
        <v>1</v>
      </c>
      <c r="F48" s="31">
        <v>3638.31</v>
      </c>
      <c r="G48" s="33">
        <v>11</v>
      </c>
      <c r="H48" s="34" t="s">
        <v>44</v>
      </c>
      <c r="I48" s="30">
        <f t="shared" ref="I48:I53" si="11">IF(D48&lt;&gt;"",F48-D48,"")</f>
        <v>1748.31</v>
      </c>
      <c r="J48" s="30">
        <v>27</v>
      </c>
      <c r="K48" s="30"/>
      <c r="L48" s="30">
        <v>1496.4104</v>
      </c>
      <c r="M48" s="28"/>
      <c r="N48" s="28">
        <f t="shared" ref="N48:N53" si="12">L48*(1/3)</f>
        <v>498.80346666666662</v>
      </c>
      <c r="O48" s="28">
        <f t="shared" ref="O48:O53" si="13">N48</f>
        <v>498.80346666666662</v>
      </c>
      <c r="P48" s="28">
        <f t="shared" ref="P48:P53" si="14">L48</f>
        <v>1496.4104</v>
      </c>
      <c r="Q48" s="28">
        <f>ROUNDUP($L48*(17.25/36),2)</f>
        <v>717.03</v>
      </c>
      <c r="R48" s="28"/>
      <c r="S48" s="28"/>
      <c r="T48" s="28"/>
      <c r="U48" s="28"/>
      <c r="V48" s="28"/>
      <c r="W48" s="28"/>
      <c r="X48" s="28"/>
      <c r="Y48" s="30"/>
      <c r="Z48" s="28"/>
      <c r="AA48" s="35"/>
      <c r="AB48" s="35"/>
      <c r="AC48" s="28"/>
      <c r="AD48" s="28"/>
    </row>
    <row r="49" spans="2:30" ht="12.75" customHeight="1" x14ac:dyDescent="0.2">
      <c r="B49" s="55"/>
      <c r="D49" s="31">
        <v>3638.31</v>
      </c>
      <c r="E49" s="32" t="s">
        <v>1</v>
      </c>
      <c r="F49" s="31">
        <v>5000</v>
      </c>
      <c r="G49" s="33">
        <v>11</v>
      </c>
      <c r="H49" s="34" t="s">
        <v>44</v>
      </c>
      <c r="I49" s="30">
        <f t="shared" si="11"/>
        <v>1361.69</v>
      </c>
      <c r="J49" s="30">
        <v>60</v>
      </c>
      <c r="K49" s="30"/>
      <c r="L49" s="30">
        <v>85.11</v>
      </c>
      <c r="M49" s="28"/>
      <c r="N49" s="28">
        <f t="shared" si="12"/>
        <v>28.369999999999997</v>
      </c>
      <c r="O49" s="28">
        <f t="shared" si="13"/>
        <v>28.369999999999997</v>
      </c>
      <c r="P49" s="28">
        <f t="shared" si="14"/>
        <v>85.11</v>
      </c>
      <c r="Q49" s="28">
        <f t="shared" ref="Q49:Q53" si="15">ROUNDUP($L49*(17.25/36),2)</f>
        <v>40.79</v>
      </c>
      <c r="R49" s="28"/>
      <c r="S49" s="28"/>
      <c r="T49" s="28"/>
      <c r="U49" s="28"/>
      <c r="V49" s="28"/>
      <c r="W49" s="28"/>
      <c r="X49" s="28"/>
      <c r="Y49" s="30"/>
      <c r="Z49" s="28"/>
      <c r="AA49" s="35"/>
      <c r="AB49" s="35"/>
      <c r="AC49" s="28"/>
      <c r="AD49" s="28"/>
    </row>
    <row r="50" spans="2:30" ht="12.75" customHeight="1" x14ac:dyDescent="0.2">
      <c r="B50" s="55"/>
      <c r="D50" s="31">
        <v>5000</v>
      </c>
      <c r="E50" s="32" t="s">
        <v>1</v>
      </c>
      <c r="F50" s="31">
        <v>7150</v>
      </c>
      <c r="G50" s="33">
        <v>11</v>
      </c>
      <c r="H50" s="34" t="s">
        <v>44</v>
      </c>
      <c r="I50" s="30">
        <f t="shared" si="11"/>
        <v>2150</v>
      </c>
      <c r="J50" s="30">
        <v>60</v>
      </c>
      <c r="K50" s="30"/>
      <c r="L50" s="30">
        <v>354.39</v>
      </c>
      <c r="M50" s="28"/>
      <c r="N50" s="28">
        <f t="shared" si="12"/>
        <v>118.13</v>
      </c>
      <c r="O50" s="28">
        <f t="shared" si="13"/>
        <v>118.13</v>
      </c>
      <c r="P50" s="28">
        <f t="shared" si="14"/>
        <v>354.39</v>
      </c>
      <c r="Q50" s="28">
        <f t="shared" si="15"/>
        <v>169.82</v>
      </c>
      <c r="R50" s="28"/>
      <c r="S50" s="28"/>
      <c r="T50" s="28"/>
      <c r="U50" s="28"/>
      <c r="V50" s="28"/>
      <c r="W50" s="28"/>
      <c r="X50" s="28"/>
      <c r="Y50" s="30"/>
      <c r="Z50" s="28"/>
      <c r="AA50" s="35"/>
      <c r="AB50" s="35"/>
      <c r="AC50" s="28"/>
      <c r="AD50" s="28"/>
    </row>
    <row r="51" spans="2:30" ht="12.75" customHeight="1" x14ac:dyDescent="0.2">
      <c r="B51" s="55"/>
      <c r="D51" s="31">
        <v>7100</v>
      </c>
      <c r="E51" s="32" t="s">
        <v>1</v>
      </c>
      <c r="F51" s="31">
        <v>9607.2800000000007</v>
      </c>
      <c r="G51" s="33">
        <v>11</v>
      </c>
      <c r="H51" s="34" t="s">
        <v>44</v>
      </c>
      <c r="I51" s="30">
        <f t="shared" si="11"/>
        <v>2507.2800000000007</v>
      </c>
      <c r="J51" s="30">
        <v>50</v>
      </c>
      <c r="K51" s="30"/>
      <c r="L51" s="30">
        <v>1233.33</v>
      </c>
      <c r="M51" s="28"/>
      <c r="N51" s="28">
        <f t="shared" si="12"/>
        <v>411.10999999999996</v>
      </c>
      <c r="O51" s="28">
        <f t="shared" si="13"/>
        <v>411.10999999999996</v>
      </c>
      <c r="P51" s="28">
        <f t="shared" si="14"/>
        <v>1233.33</v>
      </c>
      <c r="Q51" s="28">
        <f t="shared" si="15"/>
        <v>590.98</v>
      </c>
      <c r="R51" s="28"/>
      <c r="S51" s="28"/>
      <c r="T51" s="28"/>
      <c r="U51" s="28"/>
      <c r="V51" s="28"/>
      <c r="W51" s="28"/>
      <c r="X51" s="28"/>
      <c r="Y51" s="30"/>
      <c r="Z51" s="28"/>
      <c r="AA51" s="35"/>
      <c r="AB51" s="35"/>
      <c r="AC51" s="30"/>
      <c r="AD51" s="30"/>
    </row>
    <row r="52" spans="2:30" ht="12.75" customHeight="1" x14ac:dyDescent="0.2">
      <c r="B52" s="55"/>
      <c r="D52" s="31">
        <v>9607.2800000000007</v>
      </c>
      <c r="E52" s="32" t="s">
        <v>1</v>
      </c>
      <c r="F52" s="31">
        <v>11658.2</v>
      </c>
      <c r="G52" s="33">
        <v>11</v>
      </c>
      <c r="H52" s="34" t="s">
        <v>44</v>
      </c>
      <c r="I52" s="30">
        <f t="shared" si="11"/>
        <v>2050.92</v>
      </c>
      <c r="J52" s="30">
        <v>50</v>
      </c>
      <c r="K52" s="30"/>
      <c r="L52" s="30">
        <v>1529.98</v>
      </c>
      <c r="M52" s="28"/>
      <c r="N52" s="28">
        <f t="shared" si="12"/>
        <v>509.99333333333334</v>
      </c>
      <c r="O52" s="28">
        <f t="shared" si="13"/>
        <v>509.99333333333334</v>
      </c>
      <c r="P52" s="28">
        <f t="shared" si="14"/>
        <v>1529.98</v>
      </c>
      <c r="Q52" s="28">
        <f t="shared" si="15"/>
        <v>733.12</v>
      </c>
      <c r="R52" s="28"/>
      <c r="S52" s="28"/>
      <c r="T52" s="28"/>
      <c r="U52" s="28"/>
      <c r="V52" s="28"/>
      <c r="W52" s="28"/>
      <c r="X52" s="28"/>
      <c r="Y52" s="30"/>
      <c r="Z52" s="28"/>
      <c r="AA52" s="35"/>
      <c r="AB52" s="35"/>
      <c r="AC52" s="28"/>
      <c r="AD52" s="28"/>
    </row>
    <row r="53" spans="2:30" ht="12.75" customHeight="1" x14ac:dyDescent="0.2">
      <c r="B53" s="55"/>
      <c r="D53" s="31">
        <v>11658.2</v>
      </c>
      <c r="E53" s="32" t="s">
        <v>1</v>
      </c>
      <c r="F53" s="31">
        <v>13450</v>
      </c>
      <c r="G53" s="33">
        <v>11</v>
      </c>
      <c r="H53" s="34" t="s">
        <v>44</v>
      </c>
      <c r="I53" s="30">
        <f t="shared" si="11"/>
        <v>1791.7999999999993</v>
      </c>
      <c r="J53" s="30">
        <v>50</v>
      </c>
      <c r="K53" s="30"/>
      <c r="L53" s="30">
        <v>1927.02</v>
      </c>
      <c r="M53" s="28"/>
      <c r="N53" s="28">
        <f t="shared" si="12"/>
        <v>642.33999999999992</v>
      </c>
      <c r="O53" s="28">
        <f t="shared" si="13"/>
        <v>642.33999999999992</v>
      </c>
      <c r="P53" s="28">
        <f t="shared" si="14"/>
        <v>1927.02</v>
      </c>
      <c r="Q53" s="28">
        <f t="shared" si="15"/>
        <v>923.37</v>
      </c>
      <c r="R53" s="28"/>
      <c r="S53" s="28"/>
      <c r="T53" s="28"/>
      <c r="U53" s="28"/>
      <c r="V53" s="28"/>
      <c r="W53" s="28"/>
      <c r="X53" s="28"/>
      <c r="Y53" s="30"/>
      <c r="Z53" s="28"/>
      <c r="AA53" s="35"/>
      <c r="AB53" s="35"/>
      <c r="AC53" s="30"/>
      <c r="AD53" s="30"/>
    </row>
    <row r="54" spans="2:30" ht="12.75" customHeight="1" x14ac:dyDescent="0.2">
      <c r="B54" s="55"/>
      <c r="D54" s="31"/>
      <c r="E54" s="32"/>
      <c r="F54" s="31"/>
      <c r="G54" s="33"/>
      <c r="H54" s="34"/>
      <c r="I54" s="30"/>
      <c r="J54" s="30"/>
      <c r="K54" s="30"/>
      <c r="L54" s="30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  <c r="Z54" s="28"/>
      <c r="AA54" s="35"/>
      <c r="AB54" s="35"/>
      <c r="AC54" s="30"/>
      <c r="AD54" s="30"/>
    </row>
    <row r="55" spans="2:30" ht="12.75" customHeight="1" x14ac:dyDescent="0.2">
      <c r="B55" s="55"/>
      <c r="D55" s="102" t="s">
        <v>48</v>
      </c>
      <c r="E55" s="103"/>
      <c r="F55" s="104"/>
      <c r="G55" s="33"/>
      <c r="H55" s="34"/>
      <c r="I55" s="30"/>
      <c r="J55" s="30"/>
      <c r="K55" s="30"/>
      <c r="L55" s="30"/>
      <c r="M55" s="28"/>
      <c r="N55" s="28"/>
      <c r="O55" s="30"/>
      <c r="P55" s="28"/>
      <c r="Q55" s="28"/>
      <c r="R55" s="28"/>
      <c r="S55" s="28"/>
      <c r="T55" s="28"/>
      <c r="U55" s="28"/>
      <c r="V55" s="28"/>
      <c r="W55" s="28"/>
      <c r="X55" s="28"/>
      <c r="Y55" s="30"/>
      <c r="Z55" s="28"/>
      <c r="AA55" s="35"/>
      <c r="AB55" s="35"/>
      <c r="AC55" s="28"/>
      <c r="AD55" s="28"/>
    </row>
    <row r="56" spans="2:30" ht="12.75" customHeight="1" x14ac:dyDescent="0.2">
      <c r="B56" s="55"/>
      <c r="D56" s="31">
        <v>19103.68</v>
      </c>
      <c r="E56" s="32" t="s">
        <v>1</v>
      </c>
      <c r="F56" s="31">
        <v>19952.93</v>
      </c>
      <c r="G56" s="33">
        <v>11</v>
      </c>
      <c r="H56" s="34"/>
      <c r="I56" s="30">
        <f t="shared" ref="I56" si="16">IF(D56&lt;&gt;"",F56-D56,"")</f>
        <v>849.25</v>
      </c>
      <c r="J56" s="30"/>
      <c r="K56" s="30"/>
      <c r="L56" s="30">
        <v>323.89</v>
      </c>
      <c r="M56" s="28"/>
      <c r="N56" s="28">
        <f>L56*(1/3)</f>
        <v>107.96333333333332</v>
      </c>
      <c r="O56" s="28">
        <f>N56</f>
        <v>107.96333333333332</v>
      </c>
      <c r="P56" s="28">
        <f>L56</f>
        <v>323.89</v>
      </c>
      <c r="Q56" s="28">
        <f t="shared" ref="Q56" si="17">ROUNDUP($L56*(17.25/36),2)</f>
        <v>155.19999999999999</v>
      </c>
      <c r="R56" s="28"/>
      <c r="S56" s="28"/>
      <c r="T56" s="28"/>
      <c r="U56" s="28"/>
      <c r="V56" s="28"/>
      <c r="W56" s="28"/>
      <c r="X56" s="28"/>
      <c r="Y56" s="30"/>
      <c r="Z56" s="28"/>
      <c r="AA56" s="35"/>
      <c r="AB56" s="35"/>
      <c r="AC56" s="28"/>
      <c r="AD56" s="28"/>
    </row>
    <row r="57" spans="2:30" ht="12.75" customHeight="1" x14ac:dyDescent="0.2">
      <c r="B57" s="55"/>
      <c r="D57" s="31"/>
      <c r="E57" s="32"/>
      <c r="F57" s="31"/>
      <c r="G57" s="33"/>
      <c r="H57" s="34"/>
      <c r="I57" s="30"/>
      <c r="J57" s="30"/>
      <c r="K57" s="30"/>
      <c r="L57" s="30"/>
      <c r="M57" s="28"/>
      <c r="N57" s="28"/>
      <c r="O57" s="28"/>
      <c r="P57" s="30"/>
      <c r="Q57" s="28"/>
      <c r="R57" s="28"/>
      <c r="S57" s="28"/>
      <c r="T57" s="28"/>
      <c r="U57" s="28"/>
      <c r="V57" s="28"/>
      <c r="W57" s="28"/>
      <c r="X57" s="28"/>
      <c r="Y57" s="28"/>
      <c r="Z57" s="35"/>
      <c r="AA57" s="35"/>
      <c r="AB57" s="30"/>
      <c r="AC57" s="30"/>
      <c r="AD57" s="28"/>
    </row>
    <row r="58" spans="2:30" ht="12.75" customHeight="1" x14ac:dyDescent="0.2">
      <c r="B58" s="55"/>
      <c r="D58" s="84" t="s">
        <v>49</v>
      </c>
      <c r="E58" s="85"/>
      <c r="F58" s="86"/>
      <c r="G58" s="33"/>
      <c r="H58" s="34"/>
      <c r="I58" s="30"/>
      <c r="J58" s="30"/>
      <c r="K58" s="30"/>
      <c r="L58" s="30"/>
      <c r="M58" s="28"/>
      <c r="N58" s="28"/>
      <c r="O58" s="30"/>
      <c r="P58" s="28"/>
      <c r="Q58" s="28"/>
      <c r="R58" s="28"/>
      <c r="S58" s="28"/>
      <c r="T58" s="28"/>
      <c r="U58" s="28"/>
      <c r="V58" s="28"/>
      <c r="W58" s="28"/>
      <c r="X58" s="30"/>
      <c r="Y58" s="28"/>
      <c r="Z58" s="35"/>
      <c r="AA58" s="35"/>
      <c r="AB58" s="30"/>
      <c r="AC58" s="30"/>
      <c r="AD58" s="28"/>
    </row>
    <row r="59" spans="2:30" ht="12.75" customHeight="1" x14ac:dyDescent="0.2">
      <c r="B59" s="55"/>
      <c r="D59" s="31">
        <v>4766.93</v>
      </c>
      <c r="E59" s="32" t="s">
        <v>1</v>
      </c>
      <c r="F59" s="31">
        <v>4991.66</v>
      </c>
      <c r="G59" s="33">
        <v>7</v>
      </c>
      <c r="H59" s="34" t="s">
        <v>63</v>
      </c>
      <c r="I59" s="30">
        <f t="shared" ref="I59:I82" si="18">IF(D59&lt;&gt;"",F59-D59,"")</f>
        <v>224.72999999999956</v>
      </c>
      <c r="J59" s="30">
        <v>10</v>
      </c>
      <c r="K59" s="30"/>
      <c r="L59" s="30">
        <v>185.54</v>
      </c>
      <c r="M59" s="28"/>
      <c r="N59" s="28"/>
      <c r="O59" s="30"/>
      <c r="P59" s="28"/>
      <c r="Q59" s="28"/>
      <c r="R59" s="28"/>
      <c r="S59" s="28"/>
      <c r="T59" s="28"/>
      <c r="U59" s="28"/>
      <c r="V59" s="28"/>
      <c r="W59" s="28">
        <f>ROUNDUP($L59*0.055,2)</f>
        <v>10.209999999999999</v>
      </c>
      <c r="X59" s="28"/>
      <c r="Y59" s="28"/>
      <c r="Z59" s="35">
        <f>ROUNDUP($L59*(1/36),2)</f>
        <v>5.16</v>
      </c>
      <c r="AA59" s="35">
        <f>ROUNDUP($L59*(2/36),2)</f>
        <v>10.31</v>
      </c>
      <c r="AB59" s="30"/>
      <c r="AC59" s="30"/>
      <c r="AD59" s="28"/>
    </row>
    <row r="60" spans="2:30" ht="12.75" customHeight="1" x14ac:dyDescent="0.2">
      <c r="B60" s="55"/>
      <c r="D60" s="31"/>
      <c r="E60" s="32"/>
      <c r="F60" s="31"/>
      <c r="G60" s="33"/>
      <c r="H60" s="34"/>
      <c r="I60" s="30" t="str">
        <f t="shared" si="18"/>
        <v/>
      </c>
      <c r="J60" s="30"/>
      <c r="K60" s="30" t="str">
        <f t="shared" ref="K60:K73" si="19">IF(D60&lt;&gt;"",I60*J60/9,"")</f>
        <v/>
      </c>
      <c r="L60" s="30">
        <f>L59+(((4/12)*2*I59)/9)</f>
        <v>202.18666666666661</v>
      </c>
      <c r="M60" s="28"/>
      <c r="N60" s="28"/>
      <c r="O60" s="30"/>
      <c r="P60" s="28"/>
      <c r="Q60" s="28"/>
      <c r="R60" s="28"/>
      <c r="S60" s="28"/>
      <c r="T60" s="28"/>
      <c r="U60" s="28">
        <f>ROUNDUP(L60*(4/36),2)</f>
        <v>22.470000000000002</v>
      </c>
      <c r="V60" s="28"/>
      <c r="W60" s="28"/>
      <c r="X60" s="28"/>
      <c r="Y60" s="28"/>
      <c r="Z60" s="35"/>
      <c r="AA60" s="35"/>
      <c r="AB60" s="30"/>
      <c r="AC60" s="30"/>
      <c r="AD60" s="28"/>
    </row>
    <row r="61" spans="2:30" ht="12.75" customHeight="1" x14ac:dyDescent="0.2">
      <c r="B61" s="55"/>
      <c r="D61" s="31"/>
      <c r="E61" s="32"/>
      <c r="F61" s="31"/>
      <c r="G61" s="33"/>
      <c r="H61" s="34"/>
      <c r="I61" s="30" t="str">
        <f t="shared" si="18"/>
        <v/>
      </c>
      <c r="J61" s="30"/>
      <c r="K61" s="30" t="str">
        <f t="shared" si="19"/>
        <v/>
      </c>
      <c r="L61" s="30">
        <f>L60+(((6/12)*2*I59)/9)</f>
        <v>227.15666666666655</v>
      </c>
      <c r="M61" s="28"/>
      <c r="N61" s="28"/>
      <c r="O61" s="30"/>
      <c r="P61" s="28"/>
      <c r="Q61" s="28"/>
      <c r="R61" s="28"/>
      <c r="S61" s="28"/>
      <c r="T61" s="28"/>
      <c r="U61" s="28">
        <f>ROUNDUP(L61*(4/36),2)</f>
        <v>25.240000000000002</v>
      </c>
      <c r="V61" s="28"/>
      <c r="W61" s="28"/>
      <c r="X61" s="28"/>
      <c r="Y61" s="28"/>
      <c r="Z61" s="35"/>
      <c r="AA61" s="35"/>
      <c r="AB61" s="30"/>
      <c r="AC61" s="30"/>
      <c r="AD61" s="28"/>
    </row>
    <row r="62" spans="2:30" ht="12.75" customHeight="1" x14ac:dyDescent="0.2">
      <c r="B62" s="55"/>
      <c r="D62" s="31"/>
      <c r="E62" s="32"/>
      <c r="F62" s="31"/>
      <c r="G62" s="33"/>
      <c r="H62" s="34"/>
      <c r="I62" s="30" t="str">
        <f t="shared" si="18"/>
        <v/>
      </c>
      <c r="J62" s="30"/>
      <c r="K62" s="30" t="str">
        <f t="shared" si="19"/>
        <v/>
      </c>
      <c r="L62" s="30">
        <f>L61+(((18/12)*2*I59)/9)</f>
        <v>302.06666666666638</v>
      </c>
      <c r="M62" s="28">
        <f>L62</f>
        <v>302.06666666666638</v>
      </c>
      <c r="N62" s="28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35"/>
      <c r="AA62" s="35"/>
      <c r="AB62" s="28"/>
      <c r="AC62" s="30"/>
      <c r="AD62" s="28"/>
    </row>
    <row r="63" spans="2:30" ht="12.75" customHeight="1" x14ac:dyDescent="0.2">
      <c r="B63" s="55"/>
      <c r="D63" s="31"/>
      <c r="E63" s="32"/>
      <c r="F63" s="31"/>
      <c r="G63" s="33"/>
      <c r="H63" s="34"/>
      <c r="I63" s="30" t="str">
        <f t="shared" si="18"/>
        <v/>
      </c>
      <c r="J63" s="30"/>
      <c r="K63" s="30" t="str">
        <f t="shared" si="19"/>
        <v/>
      </c>
      <c r="L63" s="30"/>
      <c r="M63" s="28"/>
      <c r="N63" s="28"/>
      <c r="O63" s="3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35"/>
      <c r="AA63" s="35"/>
      <c r="AB63" s="28"/>
      <c r="AC63" s="30"/>
      <c r="AD63" s="28"/>
    </row>
    <row r="64" spans="2:30" ht="12.75" customHeight="1" x14ac:dyDescent="0.2">
      <c r="B64" s="55"/>
      <c r="D64" s="31">
        <v>6677.91</v>
      </c>
      <c r="E64" s="32" t="s">
        <v>1</v>
      </c>
      <c r="F64" s="31">
        <v>7106.36</v>
      </c>
      <c r="G64" s="33">
        <v>7</v>
      </c>
      <c r="H64" s="34" t="s">
        <v>63</v>
      </c>
      <c r="I64" s="30">
        <f t="shared" si="18"/>
        <v>428.44999999999982</v>
      </c>
      <c r="J64" s="30">
        <v>10</v>
      </c>
      <c r="K64" s="30">
        <f t="shared" si="19"/>
        <v>476.05555555555537</v>
      </c>
      <c r="L64" s="30">
        <f>K64</f>
        <v>476.05555555555537</v>
      </c>
      <c r="M64" s="28"/>
      <c r="N64" s="28"/>
      <c r="O64" s="30"/>
      <c r="P64" s="28"/>
      <c r="Q64" s="28"/>
      <c r="R64" s="28"/>
      <c r="S64" s="28"/>
      <c r="T64" s="28"/>
      <c r="U64" s="28"/>
      <c r="V64" s="28"/>
      <c r="W64" s="28">
        <f>ROUNDUP($L64*0.055,2)</f>
        <v>26.19</v>
      </c>
      <c r="X64" s="28"/>
      <c r="Y64" s="28"/>
      <c r="Z64" s="35">
        <f>ROUNDUP($L64*(1/36),2)</f>
        <v>13.23</v>
      </c>
      <c r="AA64" s="35">
        <f>ROUNDUP($L64*(2/36),2)</f>
        <v>26.450000000000003</v>
      </c>
      <c r="AB64" s="35"/>
      <c r="AC64" s="28"/>
      <c r="AD64" s="28"/>
    </row>
    <row r="65" spans="2:30" ht="12.75" customHeight="1" x14ac:dyDescent="0.2">
      <c r="B65" s="55"/>
      <c r="D65" s="31"/>
      <c r="E65" s="32"/>
      <c r="F65" s="31"/>
      <c r="G65" s="33"/>
      <c r="H65" s="34"/>
      <c r="I65" s="30" t="str">
        <f t="shared" si="18"/>
        <v/>
      </c>
      <c r="J65" s="30"/>
      <c r="K65" s="30" t="str">
        <f t="shared" si="19"/>
        <v/>
      </c>
      <c r="L65" s="30">
        <f>L64+(((4/12)*2*I64)/9)</f>
        <v>507.79259259259237</v>
      </c>
      <c r="M65" s="28"/>
      <c r="N65" s="28"/>
      <c r="O65" s="30"/>
      <c r="P65" s="28"/>
      <c r="Q65" s="28"/>
      <c r="R65" s="28"/>
      <c r="S65" s="28"/>
      <c r="T65" s="28"/>
      <c r="U65" s="28">
        <f>ROUNDUP(L65*(4/36),2)</f>
        <v>56.43</v>
      </c>
      <c r="V65" s="28"/>
      <c r="W65" s="28"/>
      <c r="X65" s="28"/>
      <c r="Y65" s="28"/>
      <c r="Z65" s="35"/>
      <c r="AA65" s="35"/>
      <c r="AB65" s="35"/>
      <c r="AC65" s="28"/>
      <c r="AD65" s="28"/>
    </row>
    <row r="66" spans="2:30" ht="12.75" customHeight="1" x14ac:dyDescent="0.2">
      <c r="B66" s="55"/>
      <c r="D66" s="31"/>
      <c r="E66" s="32"/>
      <c r="F66" s="31"/>
      <c r="G66" s="33"/>
      <c r="H66" s="34"/>
      <c r="I66" s="30" t="str">
        <f t="shared" si="18"/>
        <v/>
      </c>
      <c r="J66" s="30"/>
      <c r="K66" s="30" t="str">
        <f t="shared" si="19"/>
        <v/>
      </c>
      <c r="L66" s="30">
        <f>L65+(((6/12)*2*I64)/9)</f>
        <v>555.39814814814792</v>
      </c>
      <c r="M66" s="28"/>
      <c r="N66" s="28"/>
      <c r="O66" s="30"/>
      <c r="P66" s="28"/>
      <c r="Q66" s="28"/>
      <c r="R66" s="28"/>
      <c r="S66" s="28"/>
      <c r="T66" s="28"/>
      <c r="U66" s="28">
        <f>ROUNDUP(L66*(4/36),2)</f>
        <v>61.72</v>
      </c>
      <c r="V66" s="28"/>
      <c r="W66" s="28"/>
      <c r="X66" s="28"/>
      <c r="Y66" s="28"/>
      <c r="Z66" s="35"/>
      <c r="AA66" s="35"/>
      <c r="AB66" s="35"/>
      <c r="AC66" s="28"/>
      <c r="AD66" s="28"/>
    </row>
    <row r="67" spans="2:30" ht="12.75" customHeight="1" x14ac:dyDescent="0.2">
      <c r="B67" s="55"/>
      <c r="D67" s="31"/>
      <c r="E67" s="32"/>
      <c r="F67" s="31"/>
      <c r="G67" s="33"/>
      <c r="H67" s="34"/>
      <c r="I67" s="30" t="str">
        <f t="shared" si="18"/>
        <v/>
      </c>
      <c r="J67" s="30"/>
      <c r="K67" s="30" t="str">
        <f t="shared" si="19"/>
        <v/>
      </c>
      <c r="L67" s="30">
        <f>L66+(((18/12)*2*I64)/9)</f>
        <v>698.21481481481453</v>
      </c>
      <c r="M67" s="28">
        <f>L67</f>
        <v>698.21481481481453</v>
      </c>
      <c r="N67" s="28"/>
      <c r="O67" s="3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35"/>
      <c r="AA67" s="35"/>
      <c r="AB67" s="35"/>
      <c r="AC67" s="28"/>
      <c r="AD67" s="28"/>
    </row>
    <row r="68" spans="2:30" ht="12.75" customHeight="1" x14ac:dyDescent="0.2">
      <c r="B68" s="55"/>
      <c r="D68" s="31"/>
      <c r="E68" s="32"/>
      <c r="F68" s="31"/>
      <c r="G68" s="33"/>
      <c r="H68" s="34"/>
      <c r="I68" s="30" t="str">
        <f t="shared" si="18"/>
        <v/>
      </c>
      <c r="J68" s="30"/>
      <c r="K68" s="30" t="str">
        <f t="shared" si="19"/>
        <v/>
      </c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  <c r="Z68" s="28"/>
      <c r="AA68" s="28"/>
      <c r="AB68" s="28"/>
      <c r="AC68" s="30"/>
      <c r="AD68" s="30"/>
    </row>
    <row r="69" spans="2:30" ht="12.75" customHeight="1" x14ac:dyDescent="0.2">
      <c r="B69" s="55"/>
      <c r="D69" s="31">
        <v>7230.62</v>
      </c>
      <c r="E69" s="32" t="s">
        <v>1</v>
      </c>
      <c r="F69" s="31">
        <v>7638.55</v>
      </c>
      <c r="G69" s="33">
        <v>7</v>
      </c>
      <c r="H69" s="34" t="s">
        <v>63</v>
      </c>
      <c r="I69" s="30">
        <f t="shared" si="18"/>
        <v>407.93000000000029</v>
      </c>
      <c r="J69" s="30">
        <v>10</v>
      </c>
      <c r="K69" s="30">
        <f t="shared" si="19"/>
        <v>453.25555555555587</v>
      </c>
      <c r="L69" s="30">
        <f>K69</f>
        <v>453.25555555555587</v>
      </c>
      <c r="M69" s="28"/>
      <c r="N69" s="28"/>
      <c r="O69" s="30"/>
      <c r="P69" s="28"/>
      <c r="Q69" s="28"/>
      <c r="R69" s="28"/>
      <c r="S69" s="28"/>
      <c r="T69" s="28"/>
      <c r="U69" s="28"/>
      <c r="V69" s="28"/>
      <c r="W69" s="28">
        <f>ROUNDUP($L69*0.055,2)</f>
        <v>24.930000000000003</v>
      </c>
      <c r="X69" s="28"/>
      <c r="Y69" s="28"/>
      <c r="Z69" s="35">
        <f>ROUNDUP($L69*(1/36),2)</f>
        <v>12.6</v>
      </c>
      <c r="AA69" s="35">
        <f>ROUNDUP($L69*(2/36),2)</f>
        <v>25.19</v>
      </c>
      <c r="AB69" s="28"/>
      <c r="AC69" s="30"/>
      <c r="AD69" s="30"/>
    </row>
    <row r="70" spans="2:30" ht="12.75" customHeight="1" x14ac:dyDescent="0.2">
      <c r="B70" s="55"/>
      <c r="D70" s="31"/>
      <c r="E70" s="32"/>
      <c r="F70" s="31"/>
      <c r="G70" s="33"/>
      <c r="H70" s="34"/>
      <c r="I70" s="30" t="str">
        <f t="shared" si="18"/>
        <v/>
      </c>
      <c r="J70" s="30"/>
      <c r="K70" s="30" t="str">
        <f t="shared" si="19"/>
        <v/>
      </c>
      <c r="L70" s="30">
        <f>L69+(((4/12)*2*I69)/9)</f>
        <v>483.47259259259295</v>
      </c>
      <c r="M70" s="28"/>
      <c r="N70" s="28"/>
      <c r="O70" s="30"/>
      <c r="P70" s="28"/>
      <c r="Q70" s="28"/>
      <c r="R70" s="28"/>
      <c r="S70" s="28"/>
      <c r="T70" s="28"/>
      <c r="U70" s="28">
        <f>ROUNDUP(L70*(4/36),2)</f>
        <v>53.72</v>
      </c>
      <c r="V70" s="28"/>
      <c r="W70" s="28"/>
      <c r="X70" s="28"/>
      <c r="Y70" s="28"/>
      <c r="Z70" s="35"/>
      <c r="AA70" s="35"/>
      <c r="AB70" s="28"/>
      <c r="AC70" s="30"/>
      <c r="AD70" s="30"/>
    </row>
    <row r="71" spans="2:30" ht="12.75" customHeight="1" x14ac:dyDescent="0.2">
      <c r="B71" s="55"/>
      <c r="D71" s="31"/>
      <c r="E71" s="32"/>
      <c r="F71" s="31"/>
      <c r="G71" s="33"/>
      <c r="H71" s="34"/>
      <c r="I71" s="30" t="str">
        <f t="shared" si="18"/>
        <v/>
      </c>
      <c r="J71" s="30"/>
      <c r="K71" s="30" t="str">
        <f t="shared" si="19"/>
        <v/>
      </c>
      <c r="L71" s="30">
        <f>L70+(((6/12)*2*I69)/9)</f>
        <v>528.79814814814858</v>
      </c>
      <c r="M71" s="28"/>
      <c r="N71" s="28"/>
      <c r="O71" s="30"/>
      <c r="P71" s="28"/>
      <c r="Q71" s="28"/>
      <c r="R71" s="28"/>
      <c r="S71" s="28"/>
      <c r="T71" s="28"/>
      <c r="U71" s="28">
        <f>ROUNDUP(L71*(4/36),2)</f>
        <v>58.76</v>
      </c>
      <c r="V71" s="28"/>
      <c r="W71" s="28"/>
      <c r="X71" s="28"/>
      <c r="Y71" s="28"/>
      <c r="Z71" s="35"/>
      <c r="AA71" s="35"/>
      <c r="AB71" s="28"/>
      <c r="AC71" s="30"/>
      <c r="AD71" s="30"/>
    </row>
    <row r="72" spans="2:30" ht="12.75" customHeight="1" x14ac:dyDescent="0.2">
      <c r="B72" s="55"/>
      <c r="D72" s="31"/>
      <c r="E72" s="32"/>
      <c r="F72" s="31"/>
      <c r="G72" s="33"/>
      <c r="H72" s="34"/>
      <c r="I72" s="30" t="str">
        <f t="shared" si="18"/>
        <v/>
      </c>
      <c r="J72" s="30"/>
      <c r="K72" s="30" t="str">
        <f t="shared" si="19"/>
        <v/>
      </c>
      <c r="L72" s="30">
        <f>L71+(((18/12)*2*I69)/9)</f>
        <v>664.77481481481539</v>
      </c>
      <c r="M72" s="28">
        <f>L72</f>
        <v>664.77481481481539</v>
      </c>
      <c r="N72" s="28"/>
      <c r="O72" s="3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35"/>
      <c r="AA72" s="35"/>
      <c r="AB72" s="28"/>
      <c r="AC72" s="30"/>
      <c r="AD72" s="30"/>
    </row>
    <row r="73" spans="2:30" ht="12.75" customHeight="1" x14ac:dyDescent="0.2">
      <c r="B73" s="55"/>
      <c r="D73" s="31"/>
      <c r="E73" s="32"/>
      <c r="F73" s="31"/>
      <c r="G73" s="33"/>
      <c r="H73" s="36"/>
      <c r="I73" s="30" t="str">
        <f t="shared" si="18"/>
        <v/>
      </c>
      <c r="J73" s="30"/>
      <c r="K73" s="30" t="str">
        <f t="shared" si="19"/>
        <v/>
      </c>
      <c r="L73" s="30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30"/>
      <c r="Z73" s="28"/>
      <c r="AA73" s="28"/>
      <c r="AB73" s="28"/>
      <c r="AC73" s="30"/>
      <c r="AD73" s="30"/>
    </row>
    <row r="74" spans="2:30" ht="12.75" customHeight="1" x14ac:dyDescent="0.2">
      <c r="B74" s="55"/>
      <c r="D74" s="31">
        <v>7705.84</v>
      </c>
      <c r="E74" s="32"/>
      <c r="F74" s="31">
        <v>8128.34</v>
      </c>
      <c r="G74" s="33">
        <v>7</v>
      </c>
      <c r="H74" s="36" t="s">
        <v>63</v>
      </c>
      <c r="I74" s="30">
        <f t="shared" si="18"/>
        <v>422.5</v>
      </c>
      <c r="J74" s="30">
        <v>10</v>
      </c>
      <c r="K74" s="30"/>
      <c r="L74" s="30">
        <f>4738.9267/9</f>
        <v>526.54741111111116</v>
      </c>
      <c r="M74" s="28"/>
      <c r="N74" s="28"/>
      <c r="O74" s="30"/>
      <c r="P74" s="28"/>
      <c r="Q74" s="28"/>
      <c r="R74" s="28"/>
      <c r="S74" s="28"/>
      <c r="T74" s="28"/>
      <c r="U74" s="28"/>
      <c r="V74" s="28"/>
      <c r="W74" s="28">
        <f>ROUNDUP($L74*0.055,2)</f>
        <v>28.970000000000002</v>
      </c>
      <c r="X74" s="28"/>
      <c r="Y74" s="28"/>
      <c r="Z74" s="35">
        <f>ROUNDUP($L74*(1/36),2)</f>
        <v>14.629999999999999</v>
      </c>
      <c r="AA74" s="35">
        <f>ROUNDUP($L74*(2/36),2)</f>
        <v>29.26</v>
      </c>
      <c r="AB74" s="28"/>
      <c r="AC74" s="30"/>
      <c r="AD74" s="30"/>
    </row>
    <row r="75" spans="2:30" ht="12.75" customHeight="1" x14ac:dyDescent="0.2">
      <c r="B75" s="55"/>
      <c r="D75" s="31"/>
      <c r="E75" s="32"/>
      <c r="F75" s="31"/>
      <c r="G75" s="33"/>
      <c r="H75" s="36"/>
      <c r="I75" s="30" t="str">
        <f t="shared" si="18"/>
        <v/>
      </c>
      <c r="J75" s="30"/>
      <c r="K75" s="30" t="str">
        <f t="shared" ref="K75:K82" si="20">IF(D75&lt;&gt;"",I75*J75/9,"")</f>
        <v/>
      </c>
      <c r="L75" s="30">
        <f>L74+(((4/12)*2*I74)/9)</f>
        <v>557.84370740740746</v>
      </c>
      <c r="M75" s="28"/>
      <c r="N75" s="28"/>
      <c r="O75" s="30"/>
      <c r="P75" s="28"/>
      <c r="Q75" s="28"/>
      <c r="R75" s="28"/>
      <c r="S75" s="28"/>
      <c r="T75" s="28"/>
      <c r="U75" s="28">
        <f>ROUNDUP(L75*(4/36),2)</f>
        <v>61.989999999999995</v>
      </c>
      <c r="V75" s="28"/>
      <c r="W75" s="28"/>
      <c r="X75" s="28"/>
      <c r="Y75" s="28"/>
      <c r="Z75" s="35"/>
      <c r="AA75" s="35"/>
      <c r="AB75" s="28"/>
      <c r="AC75" s="30"/>
      <c r="AD75" s="30"/>
    </row>
    <row r="76" spans="2:30" ht="12.75" customHeight="1" x14ac:dyDescent="0.2">
      <c r="B76" s="55"/>
      <c r="D76" s="31"/>
      <c r="E76" s="32"/>
      <c r="F76" s="31"/>
      <c r="G76" s="33"/>
      <c r="H76" s="34"/>
      <c r="I76" s="30" t="str">
        <f t="shared" si="18"/>
        <v/>
      </c>
      <c r="J76" s="30"/>
      <c r="K76" s="30" t="str">
        <f t="shared" si="20"/>
        <v/>
      </c>
      <c r="L76" s="30">
        <f>L75+(((6/12)*2*I74)/9)</f>
        <v>604.78815185185192</v>
      </c>
      <c r="M76" s="28"/>
      <c r="N76" s="28"/>
      <c r="O76" s="30"/>
      <c r="P76" s="28"/>
      <c r="Q76" s="28"/>
      <c r="R76" s="28"/>
      <c r="S76" s="28"/>
      <c r="T76" s="28"/>
      <c r="U76" s="28">
        <f>ROUNDUP(L76*(4/36),2)</f>
        <v>67.2</v>
      </c>
      <c r="V76" s="28"/>
      <c r="W76" s="28"/>
      <c r="X76" s="28"/>
      <c r="Y76" s="28"/>
      <c r="Z76" s="35"/>
      <c r="AA76" s="35"/>
      <c r="AB76" s="28"/>
      <c r="AC76" s="30"/>
      <c r="AD76" s="30"/>
    </row>
    <row r="77" spans="2:30" ht="12.75" customHeight="1" x14ac:dyDescent="0.2">
      <c r="B77" s="55"/>
      <c r="D77" s="31"/>
      <c r="E77" s="32"/>
      <c r="F77" s="31"/>
      <c r="G77" s="33"/>
      <c r="H77" s="34"/>
      <c r="I77" s="30" t="str">
        <f t="shared" si="18"/>
        <v/>
      </c>
      <c r="J77" s="30"/>
      <c r="K77" s="30" t="str">
        <f t="shared" si="20"/>
        <v/>
      </c>
      <c r="L77" s="30">
        <f>L76+(((18/12)*2*I74)/9)</f>
        <v>745.62148518518529</v>
      </c>
      <c r="M77" s="28">
        <f>L77</f>
        <v>745.62148518518529</v>
      </c>
      <c r="N77" s="28"/>
      <c r="O77" s="3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35"/>
      <c r="AA77" s="35"/>
      <c r="AB77" s="30"/>
      <c r="AC77" s="30"/>
      <c r="AD77" s="30"/>
    </row>
    <row r="78" spans="2:30" ht="12.75" customHeight="1" x14ac:dyDescent="0.2">
      <c r="B78" s="55"/>
      <c r="D78" s="31"/>
      <c r="E78" s="32"/>
      <c r="F78" s="31"/>
      <c r="G78" s="33"/>
      <c r="H78" s="34"/>
      <c r="I78" s="30" t="str">
        <f t="shared" si="18"/>
        <v/>
      </c>
      <c r="J78" s="30"/>
      <c r="K78" s="30" t="str">
        <f t="shared" si="20"/>
        <v/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5"/>
      <c r="AA78" s="28"/>
      <c r="AB78" s="30"/>
      <c r="AC78" s="29"/>
      <c r="AD78" s="30"/>
    </row>
    <row r="79" spans="2:30" ht="12.75" customHeight="1" x14ac:dyDescent="0.2">
      <c r="B79" s="55"/>
      <c r="D79" s="31">
        <v>8513.98</v>
      </c>
      <c r="E79" s="32"/>
      <c r="F79" s="31">
        <v>9547.67</v>
      </c>
      <c r="G79" s="33">
        <v>7</v>
      </c>
      <c r="H79" s="34" t="s">
        <v>63</v>
      </c>
      <c r="I79" s="30">
        <f t="shared" si="18"/>
        <v>1033.6900000000005</v>
      </c>
      <c r="J79" s="30">
        <v>10</v>
      </c>
      <c r="K79" s="30">
        <f t="shared" si="20"/>
        <v>1148.5444444444449</v>
      </c>
      <c r="L79" s="30">
        <f>K79</f>
        <v>1148.5444444444449</v>
      </c>
      <c r="M79" s="28"/>
      <c r="N79" s="28"/>
      <c r="O79" s="30"/>
      <c r="P79" s="28"/>
      <c r="Q79" s="28"/>
      <c r="R79" s="28"/>
      <c r="S79" s="28"/>
      <c r="T79" s="28"/>
      <c r="U79" s="28"/>
      <c r="V79" s="28"/>
      <c r="W79" s="28">
        <f>ROUNDUP($L79*0.055,2)</f>
        <v>63.169999999999995</v>
      </c>
      <c r="X79" s="28"/>
      <c r="Y79" s="28"/>
      <c r="Z79" s="35">
        <f>ROUNDUP($L79*(1/36),2)</f>
        <v>31.91</v>
      </c>
      <c r="AA79" s="35">
        <f>ROUNDUP($L79*(2/36),2)</f>
        <v>63.809999999999995</v>
      </c>
      <c r="AB79" s="30"/>
      <c r="AC79" s="29"/>
      <c r="AD79" s="30"/>
    </row>
    <row r="80" spans="2:30" ht="12.75" customHeight="1" x14ac:dyDescent="0.2">
      <c r="B80" s="55"/>
      <c r="D80" s="31"/>
      <c r="E80" s="32"/>
      <c r="F80" s="31"/>
      <c r="G80" s="33"/>
      <c r="H80" s="34"/>
      <c r="I80" s="30" t="str">
        <f t="shared" si="18"/>
        <v/>
      </c>
      <c r="J80" s="30"/>
      <c r="K80" s="30" t="str">
        <f t="shared" si="20"/>
        <v/>
      </c>
      <c r="L80" s="30">
        <f>L79+(((4/12)*2*I79)/9)</f>
        <v>1225.1140740740746</v>
      </c>
      <c r="M80" s="28"/>
      <c r="N80" s="28"/>
      <c r="O80" s="30"/>
      <c r="P80" s="28"/>
      <c r="Q80" s="28"/>
      <c r="R80" s="28"/>
      <c r="S80" s="28"/>
      <c r="T80" s="28"/>
      <c r="U80" s="28">
        <f>ROUNDUP(L80*(4/36),2)</f>
        <v>136.13</v>
      </c>
      <c r="V80" s="28"/>
      <c r="W80" s="28"/>
      <c r="X80" s="28"/>
      <c r="Y80" s="28"/>
      <c r="Z80" s="35"/>
      <c r="AA80" s="35"/>
      <c r="AB80" s="30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4"/>
      <c r="I81" s="30" t="str">
        <f t="shared" si="18"/>
        <v/>
      </c>
      <c r="J81" s="30"/>
      <c r="K81" s="30" t="str">
        <f t="shared" si="20"/>
        <v/>
      </c>
      <c r="L81" s="30">
        <f>L80+(((6/12)*2*I79)/9)</f>
        <v>1339.968518518519</v>
      </c>
      <c r="M81" s="28"/>
      <c r="N81" s="28"/>
      <c r="O81" s="30"/>
      <c r="P81" s="28"/>
      <c r="Q81" s="28"/>
      <c r="R81" s="28"/>
      <c r="S81" s="28"/>
      <c r="T81" s="28"/>
      <c r="U81" s="28">
        <f>ROUNDUP(L81*(4/36),2)</f>
        <v>148.88999999999999</v>
      </c>
      <c r="V81" s="28"/>
      <c r="W81" s="28"/>
      <c r="X81" s="28"/>
      <c r="Y81" s="28"/>
      <c r="Z81" s="35"/>
      <c r="AA81" s="35"/>
      <c r="AB81" s="40"/>
      <c r="AC81" s="41"/>
      <c r="AD81" s="40"/>
    </row>
    <row r="82" spans="2:30" ht="12.75" customHeight="1" thickBot="1" x14ac:dyDescent="0.25">
      <c r="B82" s="55"/>
      <c r="D82" s="31"/>
      <c r="E82" s="32"/>
      <c r="F82" s="31"/>
      <c r="G82" s="33"/>
      <c r="H82" s="34"/>
      <c r="I82" s="30" t="str">
        <f t="shared" si="18"/>
        <v/>
      </c>
      <c r="J82" s="30"/>
      <c r="K82" s="30" t="str">
        <f t="shared" si="20"/>
        <v/>
      </c>
      <c r="L82" s="30">
        <f>L81+(((18/12)*2*I79)/9)</f>
        <v>1684.5318518518525</v>
      </c>
      <c r="M82" s="28">
        <f>L82</f>
        <v>1684.5318518518525</v>
      </c>
      <c r="N82" s="28"/>
      <c r="O82" s="30"/>
      <c r="P82" s="28"/>
      <c r="Q82" s="28"/>
      <c r="R82" s="28"/>
      <c r="S82" s="28"/>
      <c r="T82" s="28"/>
      <c r="U82" s="28"/>
      <c r="V82" s="28"/>
      <c r="W82" s="28"/>
      <c r="X82" s="28"/>
      <c r="Y82" s="35"/>
      <c r="Z82" s="35"/>
      <c r="AA82" s="30"/>
      <c r="AB82" s="40"/>
      <c r="AC82" s="41"/>
      <c r="AD82" s="40"/>
    </row>
    <row r="83" spans="2:30" ht="12.75" customHeight="1" thickBot="1" x14ac:dyDescent="0.25">
      <c r="B83" s="55"/>
      <c r="D83" s="96" t="s">
        <v>61</v>
      </c>
      <c r="E83" s="97"/>
      <c r="F83" s="97"/>
      <c r="G83" s="97"/>
      <c r="H83" s="97"/>
      <c r="I83" s="97"/>
      <c r="J83" s="97"/>
      <c r="K83" s="97"/>
      <c r="L83" s="98"/>
      <c r="M83" s="60">
        <f>SUM(M46:M82)</f>
        <v>4095.2096333333338</v>
      </c>
      <c r="N83" s="60">
        <f>SUM(N46:N82)</f>
        <v>2316.710133333333</v>
      </c>
      <c r="O83" s="60">
        <f>SUM(O46:O82)</f>
        <v>2316.710133333333</v>
      </c>
      <c r="P83" s="60">
        <f>SUM(P46:P82)</f>
        <v>6950.1304000000009</v>
      </c>
      <c r="Q83" s="60">
        <f>SUM(Q46:Q82)</f>
        <v>3330.3099999999995</v>
      </c>
      <c r="R83" s="60"/>
      <c r="S83" s="60"/>
      <c r="T83" s="60"/>
      <c r="U83" s="60">
        <f>SUM(U46:U82)</f>
        <v>692.55000000000007</v>
      </c>
      <c r="V83" s="60"/>
      <c r="W83" s="60">
        <f>SUM(W46:W82)</f>
        <v>153.47</v>
      </c>
      <c r="X83" s="60">
        <f>SUM(X46:X82)</f>
        <v>0</v>
      </c>
      <c r="Y83" s="60"/>
      <c r="Z83" s="60">
        <f>SUM(Z46:Z82)</f>
        <v>77.53</v>
      </c>
      <c r="AA83" s="60">
        <f>SUM(AA46:AA82)</f>
        <v>155.02000000000001</v>
      </c>
      <c r="AB83" s="60"/>
      <c r="AC83" s="60"/>
      <c r="AD83" s="60"/>
    </row>
    <row r="84" spans="2:30" ht="12.75" customHeight="1" x14ac:dyDescent="0.2">
      <c r="B84" s="55"/>
      <c r="D84" s="99" t="s">
        <v>59</v>
      </c>
      <c r="E84" s="100"/>
      <c r="F84" s="101"/>
      <c r="G84" s="33"/>
      <c r="H84" s="34"/>
      <c r="I84" s="30"/>
      <c r="J84" s="30"/>
      <c r="K84" s="30"/>
      <c r="L84" s="30"/>
      <c r="M84" s="28"/>
      <c r="N84" s="28"/>
      <c r="O84" s="28"/>
      <c r="P84" s="30"/>
      <c r="Q84" s="28"/>
      <c r="R84" s="28"/>
      <c r="S84" s="28"/>
      <c r="T84" s="28"/>
      <c r="U84" s="28"/>
      <c r="V84" s="28"/>
      <c r="W84" s="28"/>
      <c r="X84" s="28"/>
      <c r="Y84" s="35"/>
      <c r="Z84" s="35"/>
      <c r="AA84" s="30"/>
      <c r="AB84" s="40"/>
      <c r="AC84" s="41"/>
      <c r="AD84" s="40"/>
    </row>
    <row r="85" spans="2:30" ht="12.75" customHeight="1" x14ac:dyDescent="0.2">
      <c r="B85" s="55"/>
      <c r="D85" s="84" t="s">
        <v>40</v>
      </c>
      <c r="E85" s="85"/>
      <c r="F85" s="86"/>
      <c r="G85" s="33"/>
      <c r="H85" s="34"/>
      <c r="I85" s="30"/>
      <c r="J85" s="30"/>
      <c r="K85" s="30"/>
      <c r="L85" s="30"/>
      <c r="M85" s="28"/>
      <c r="N85" s="28"/>
      <c r="O85" s="28"/>
      <c r="P85" s="30"/>
      <c r="Q85" s="28"/>
      <c r="R85" s="28"/>
      <c r="S85" s="28"/>
      <c r="T85" s="28"/>
      <c r="U85" s="28"/>
      <c r="V85" s="28"/>
      <c r="W85" s="28"/>
      <c r="X85" s="28"/>
      <c r="Y85" s="35"/>
      <c r="Z85" s="35"/>
      <c r="AA85" s="30"/>
      <c r="AB85" s="40"/>
      <c r="AC85" s="41"/>
      <c r="AD85" s="40"/>
    </row>
    <row r="86" spans="2:30" ht="12.75" customHeight="1" thickBot="1" x14ac:dyDescent="0.25">
      <c r="B86" s="56"/>
      <c r="D86" s="31">
        <v>16200</v>
      </c>
      <c r="E86" s="32" t="s">
        <v>1</v>
      </c>
      <c r="F86" s="31">
        <v>17255</v>
      </c>
      <c r="G86" s="33">
        <v>11</v>
      </c>
      <c r="H86" s="34" t="s">
        <v>44</v>
      </c>
      <c r="I86" s="30">
        <f t="shared" ref="I86" si="21">IF(D86&lt;&gt;"",F86-D86,"")</f>
        <v>1055</v>
      </c>
      <c r="J86" s="30">
        <v>24</v>
      </c>
      <c r="K86" s="30"/>
      <c r="L86" s="30">
        <v>587.01</v>
      </c>
      <c r="M86" s="28"/>
      <c r="N86" s="28">
        <f>L86*(1/3)</f>
        <v>195.67</v>
      </c>
      <c r="O86" s="28">
        <f>N86</f>
        <v>195.67</v>
      </c>
      <c r="P86" s="28">
        <f>L86</f>
        <v>587.01</v>
      </c>
      <c r="Q86" s="28">
        <f t="shared" ref="Q86" si="22">ROUNDUP($L86*(17.25/36),2)</f>
        <v>281.27999999999997</v>
      </c>
      <c r="R86" s="40"/>
      <c r="S86" s="40"/>
      <c r="T86" s="40"/>
      <c r="U86" s="40"/>
      <c r="V86" s="40"/>
      <c r="W86" s="40"/>
      <c r="X86" s="40"/>
      <c r="Y86" s="41"/>
      <c r="Z86" s="41"/>
      <c r="AA86" s="40"/>
      <c r="AB86" s="40"/>
      <c r="AC86" s="41"/>
      <c r="AD86" s="40"/>
    </row>
    <row r="87" spans="2:30" ht="12.75" customHeight="1" thickBot="1" x14ac:dyDescent="0.25">
      <c r="D87" s="96" t="s">
        <v>62</v>
      </c>
      <c r="E87" s="97"/>
      <c r="F87" s="97"/>
      <c r="G87" s="97"/>
      <c r="H87" s="97"/>
      <c r="I87" s="97"/>
      <c r="J87" s="97"/>
      <c r="K87" s="97"/>
      <c r="L87" s="98"/>
      <c r="M87" s="44"/>
      <c r="N87" s="60">
        <f>SUM(N84:N86)</f>
        <v>195.67</v>
      </c>
      <c r="O87" s="60">
        <f>SUM(O84:O86)</f>
        <v>195.67</v>
      </c>
      <c r="P87" s="60">
        <f>SUM(P84:P86)</f>
        <v>587.01</v>
      </c>
      <c r="Q87" s="60">
        <f>SUM(Q84:Q86)</f>
        <v>281.27999999999997</v>
      </c>
      <c r="R87" s="44" t="str">
        <f>IF(R10="","",IF(R27="","",IF(SUM(R28:R86)&lt;&gt;0,SUM(R28:R86),"")))</f>
        <v/>
      </c>
      <c r="S87" s="60"/>
      <c r="T87" s="44" t="str">
        <f>IF(T10="","",IF(T27="","",IF(SUM(T28:T86)&lt;&gt;0,SUM(T28:T86),"")))</f>
        <v/>
      </c>
      <c r="U87" s="60"/>
      <c r="V87" s="44" t="str">
        <f>IF(V10="","",IF(V27="","",IF(SUM(V28:V86)&lt;&gt;0,SUM(V28:V86),"")))</f>
        <v/>
      </c>
      <c r="W87" s="44"/>
      <c r="X87" s="44"/>
      <c r="Y87" s="44"/>
      <c r="Z87" s="44"/>
      <c r="AA87" s="44"/>
      <c r="AB87" s="44"/>
      <c r="AC87" s="44"/>
      <c r="AD87" s="44"/>
    </row>
    <row r="88" spans="2:30" ht="12.75" customHeight="1" x14ac:dyDescent="0.2">
      <c r="B88" s="6" t="s">
        <v>19</v>
      </c>
      <c r="D88" s="105" t="s">
        <v>5</v>
      </c>
      <c r="E88" s="106"/>
      <c r="F88" s="106"/>
      <c r="G88" s="106"/>
      <c r="H88" s="106"/>
      <c r="I88" s="106"/>
      <c r="J88" s="106"/>
      <c r="K88" s="106"/>
      <c r="L88" s="107"/>
      <c r="M88" s="45">
        <f>ROUNDUP(M40+M45+M83+M87,0)</f>
        <v>4096</v>
      </c>
      <c r="N88" s="45">
        <f t="shared" ref="N88:AD88" si="23">ROUNDUP(N40+N45+N83+N87,0)</f>
        <v>2513</v>
      </c>
      <c r="O88" s="45">
        <f t="shared" si="23"/>
        <v>2513</v>
      </c>
      <c r="P88" s="45">
        <f t="shared" si="23"/>
        <v>7538</v>
      </c>
      <c r="Q88" s="45">
        <f t="shared" si="23"/>
        <v>3612</v>
      </c>
      <c r="R88" s="45"/>
      <c r="S88" s="45">
        <f t="shared" si="23"/>
        <v>98802</v>
      </c>
      <c r="T88" s="45"/>
      <c r="U88" s="45">
        <f t="shared" si="23"/>
        <v>693</v>
      </c>
      <c r="V88" s="45"/>
      <c r="W88" s="45">
        <f t="shared" si="23"/>
        <v>5588</v>
      </c>
      <c r="X88" s="45">
        <f t="shared" si="23"/>
        <v>8399</v>
      </c>
      <c r="Y88" s="45"/>
      <c r="Z88" s="45">
        <f t="shared" si="23"/>
        <v>78</v>
      </c>
      <c r="AA88" s="45">
        <f t="shared" si="23"/>
        <v>156</v>
      </c>
      <c r="AB88" s="45"/>
      <c r="AC88" s="45">
        <f t="shared" si="23"/>
        <v>4117</v>
      </c>
      <c r="AD88" s="45">
        <f t="shared" si="23"/>
        <v>4803</v>
      </c>
    </row>
    <row r="89" spans="2:30" ht="12.75" customHeight="1" thickBot="1" x14ac:dyDescent="0.25"/>
    <row r="90" spans="2:30" ht="12.75" customHeight="1" thickBot="1" x14ac:dyDescent="0.25">
      <c r="B90" s="52" t="s">
        <v>17</v>
      </c>
      <c r="D90" s="74">
        <f>D9+1</f>
        <v>2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</row>
    <row r="91" spans="2:30" ht="12.75" customHeight="1" thickBot="1" x14ac:dyDescent="0.25">
      <c r="B91" s="53"/>
      <c r="D91" s="12"/>
      <c r="E91" s="12"/>
      <c r="F91" s="12"/>
      <c r="G91" s="12"/>
      <c r="H91" s="12"/>
      <c r="I91" s="13"/>
      <c r="J91" s="13"/>
      <c r="K91" s="13"/>
      <c r="L91" s="14" t="s">
        <v>15</v>
      </c>
      <c r="M91" s="51"/>
      <c r="N91" s="58" t="s">
        <v>75</v>
      </c>
      <c r="O91" s="58"/>
      <c r="P91" s="58" t="s">
        <v>76</v>
      </c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1"/>
      <c r="AC91" s="58"/>
      <c r="AD91" s="58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16</v>
      </c>
      <c r="M92" s="16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16"/>
      <c r="AB92" s="16"/>
      <c r="AC92" s="59"/>
      <c r="AD92" s="59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108" t="s">
        <v>18</v>
      </c>
      <c r="D95" s="75" t="s">
        <v>68</v>
      </c>
      <c r="E95" s="76"/>
      <c r="F95" s="77"/>
      <c r="G95" s="87" t="s">
        <v>66</v>
      </c>
      <c r="H95" s="88"/>
      <c r="I95" s="93" t="s">
        <v>0</v>
      </c>
      <c r="J95" s="93" t="s">
        <v>67</v>
      </c>
      <c r="K95" s="93" t="s">
        <v>74</v>
      </c>
      <c r="L95" s="93" t="s">
        <v>3</v>
      </c>
      <c r="M95" s="20" t="str">
        <f t="shared" ref="M95:AD95" si="24">IF(OR(TRIM(M91)=0,TRIM(M91)=""),"",IF(IFERROR(TRIM(INDEX(QryItemNamed,MATCH(TRIM(M91),ITEM,0),2)),"")="Y","SPECIAL",LEFT(IFERROR(TRIM(INDEX(ITEM,MATCH(TRIM(M91),ITEM,0))),""),3)))</f>
        <v/>
      </c>
      <c r="N95" s="20" t="str">
        <f t="shared" si="24"/>
        <v>452</v>
      </c>
      <c r="O95" s="20" t="str">
        <f t="shared" si="24"/>
        <v/>
      </c>
      <c r="P95" s="20" t="str">
        <f t="shared" si="24"/>
        <v>452</v>
      </c>
      <c r="Q95" s="20" t="str">
        <f t="shared" si="24"/>
        <v/>
      </c>
      <c r="R95" s="20" t="str">
        <f t="shared" si="24"/>
        <v/>
      </c>
      <c r="S95" s="20" t="str">
        <f t="shared" si="24"/>
        <v/>
      </c>
      <c r="T95" s="20" t="str">
        <f t="shared" si="24"/>
        <v/>
      </c>
      <c r="U95" s="20" t="str">
        <f t="shared" si="24"/>
        <v/>
      </c>
      <c r="V95" s="20" t="str">
        <f t="shared" si="24"/>
        <v/>
      </c>
      <c r="W95" s="20" t="str">
        <f t="shared" si="24"/>
        <v/>
      </c>
      <c r="X95" s="20" t="str">
        <f t="shared" si="24"/>
        <v/>
      </c>
      <c r="Y95" s="20" t="str">
        <f t="shared" si="24"/>
        <v/>
      </c>
      <c r="Z95" s="20" t="str">
        <f t="shared" si="24"/>
        <v/>
      </c>
      <c r="AA95" s="20" t="str">
        <f t="shared" si="24"/>
        <v/>
      </c>
      <c r="AB95" s="20" t="str">
        <f t="shared" si="24"/>
        <v/>
      </c>
      <c r="AC95" s="20" t="str">
        <f t="shared" si="24"/>
        <v/>
      </c>
      <c r="AD95" s="20" t="str">
        <f t="shared" si="24"/>
        <v/>
      </c>
    </row>
    <row r="96" spans="2:30" ht="12.75" customHeight="1" x14ac:dyDescent="0.2">
      <c r="B96" s="109"/>
      <c r="D96" s="78"/>
      <c r="E96" s="79"/>
      <c r="F96" s="80"/>
      <c r="G96" s="89"/>
      <c r="H96" s="90"/>
      <c r="I96" s="94"/>
      <c r="J96" s="94"/>
      <c r="K96" s="94"/>
      <c r="L96" s="94"/>
      <c r="M96" s="81" t="str">
        <f t="shared" ref="M96:AD96" si="25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81" t="str">
        <f t="shared" si="25"/>
        <v>6" NON-REINFORCED CONCRETE PAVEMENT, CLASS QC1</v>
      </c>
      <c r="O96" s="81" t="str">
        <f t="shared" si="25"/>
        <v/>
      </c>
      <c r="P96" s="81" t="str">
        <f t="shared" si="25"/>
        <v>8" NON-REINFORCED CONCRETE PAVEMENT, CLASS QC1</v>
      </c>
      <c r="Q96" s="81" t="str">
        <f t="shared" si="25"/>
        <v/>
      </c>
      <c r="R96" s="81" t="str">
        <f t="shared" si="25"/>
        <v/>
      </c>
      <c r="S96" s="81" t="str">
        <f t="shared" si="25"/>
        <v/>
      </c>
      <c r="T96" s="81" t="str">
        <f t="shared" si="25"/>
        <v/>
      </c>
      <c r="U96" s="81" t="str">
        <f t="shared" si="25"/>
        <v/>
      </c>
      <c r="V96" s="81" t="str">
        <f t="shared" si="25"/>
        <v/>
      </c>
      <c r="W96" s="81" t="str">
        <f t="shared" si="25"/>
        <v/>
      </c>
      <c r="X96" s="81" t="str">
        <f t="shared" si="25"/>
        <v/>
      </c>
      <c r="Y96" s="81" t="str">
        <f t="shared" si="25"/>
        <v/>
      </c>
      <c r="Z96" s="81" t="str">
        <f t="shared" si="25"/>
        <v/>
      </c>
      <c r="AA96" s="81" t="str">
        <f t="shared" si="25"/>
        <v/>
      </c>
      <c r="AB96" s="81" t="str">
        <f t="shared" si="25"/>
        <v/>
      </c>
      <c r="AC96" s="81" t="str">
        <f t="shared" si="25"/>
        <v/>
      </c>
      <c r="AD96" s="81" t="str">
        <f t="shared" si="25"/>
        <v/>
      </c>
    </row>
    <row r="97" spans="2:30" ht="12.75" customHeight="1" x14ac:dyDescent="0.2">
      <c r="B97" s="109"/>
      <c r="D97" s="78"/>
      <c r="E97" s="79"/>
      <c r="F97" s="80"/>
      <c r="G97" s="89"/>
      <c r="H97" s="90"/>
      <c r="I97" s="94"/>
      <c r="J97" s="94"/>
      <c r="K97" s="94"/>
      <c r="L97" s="94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</row>
    <row r="98" spans="2:30" ht="12.75" customHeight="1" x14ac:dyDescent="0.2">
      <c r="B98" s="109"/>
      <c r="D98" s="78"/>
      <c r="E98" s="79"/>
      <c r="F98" s="80"/>
      <c r="G98" s="89"/>
      <c r="H98" s="90"/>
      <c r="I98" s="94"/>
      <c r="J98" s="94"/>
      <c r="K98" s="94"/>
      <c r="L98" s="94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2:30" ht="12.75" customHeight="1" x14ac:dyDescent="0.2">
      <c r="B99" s="109"/>
      <c r="D99" s="78"/>
      <c r="E99" s="79"/>
      <c r="F99" s="80"/>
      <c r="G99" s="89"/>
      <c r="H99" s="90"/>
      <c r="I99" s="94"/>
      <c r="J99" s="94"/>
      <c r="K99" s="94"/>
      <c r="L99" s="94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</row>
    <row r="100" spans="2:30" ht="12.75" customHeight="1" x14ac:dyDescent="0.2">
      <c r="B100" s="109"/>
      <c r="D100" s="78"/>
      <c r="E100" s="79"/>
      <c r="F100" s="80"/>
      <c r="G100" s="89"/>
      <c r="H100" s="90"/>
      <c r="I100" s="94"/>
      <c r="J100" s="94"/>
      <c r="K100" s="94"/>
      <c r="L100" s="94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  <row r="101" spans="2:30" ht="12.75" customHeight="1" x14ac:dyDescent="0.2">
      <c r="B101" s="109"/>
      <c r="D101" s="78"/>
      <c r="E101" s="79"/>
      <c r="F101" s="80"/>
      <c r="G101" s="89"/>
      <c r="H101" s="90"/>
      <c r="I101" s="94"/>
      <c r="J101" s="94"/>
      <c r="K101" s="94"/>
      <c r="L101" s="94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</row>
    <row r="102" spans="2:30" ht="12.75" customHeight="1" x14ac:dyDescent="0.2">
      <c r="B102" s="109"/>
      <c r="D102" s="78"/>
      <c r="E102" s="79"/>
      <c r="F102" s="80"/>
      <c r="G102" s="89"/>
      <c r="H102" s="90"/>
      <c r="I102" s="94"/>
      <c r="J102" s="94"/>
      <c r="K102" s="94"/>
      <c r="L102" s="94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</row>
    <row r="103" spans="2:30" ht="12.75" customHeight="1" x14ac:dyDescent="0.2">
      <c r="B103" s="109"/>
      <c r="D103" s="78"/>
      <c r="E103" s="79"/>
      <c r="F103" s="80"/>
      <c r="G103" s="89"/>
      <c r="H103" s="90"/>
      <c r="I103" s="94"/>
      <c r="J103" s="94"/>
      <c r="K103" s="94"/>
      <c r="L103" s="94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</row>
    <row r="104" spans="2:30" ht="12.75" customHeight="1" x14ac:dyDescent="0.2">
      <c r="B104" s="109"/>
      <c r="D104" s="78"/>
      <c r="E104" s="79"/>
      <c r="F104" s="80"/>
      <c r="G104" s="89"/>
      <c r="H104" s="90"/>
      <c r="I104" s="94"/>
      <c r="J104" s="94"/>
      <c r="K104" s="94"/>
      <c r="L104" s="94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</row>
    <row r="105" spans="2:30" ht="12.75" customHeight="1" x14ac:dyDescent="0.2">
      <c r="B105" s="109"/>
      <c r="D105" s="78"/>
      <c r="E105" s="79"/>
      <c r="F105" s="80"/>
      <c r="G105" s="89"/>
      <c r="H105" s="90"/>
      <c r="I105" s="94"/>
      <c r="J105" s="94"/>
      <c r="K105" s="94"/>
      <c r="L105" s="94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</row>
    <row r="106" spans="2:30" ht="12.75" customHeight="1" x14ac:dyDescent="0.2">
      <c r="B106" s="109"/>
      <c r="D106" s="78"/>
      <c r="E106" s="79"/>
      <c r="F106" s="80"/>
      <c r="G106" s="89"/>
      <c r="H106" s="90"/>
      <c r="I106" s="94"/>
      <c r="J106" s="94"/>
      <c r="K106" s="94"/>
      <c r="L106" s="94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2:30" ht="12.75" customHeight="1" x14ac:dyDescent="0.2">
      <c r="B107" s="109"/>
      <c r="D107" s="78"/>
      <c r="E107" s="79"/>
      <c r="F107" s="80"/>
      <c r="G107" s="89"/>
      <c r="H107" s="90"/>
      <c r="I107" s="94"/>
      <c r="J107" s="94"/>
      <c r="K107" s="94"/>
      <c r="L107" s="94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2:30" ht="12.75" customHeight="1" thickBot="1" x14ac:dyDescent="0.25">
      <c r="B108" s="110"/>
      <c r="D108" s="117"/>
      <c r="E108" s="117"/>
      <c r="F108" s="117"/>
      <c r="G108" s="91"/>
      <c r="H108" s="92"/>
      <c r="I108" s="95"/>
      <c r="J108" s="95"/>
      <c r="K108" s="95"/>
      <c r="L108" s="23" t="s">
        <v>28</v>
      </c>
      <c r="M108" s="23" t="str">
        <f t="shared" ref="M108:AD108" si="26">IF(OR(TRIM(M91)=0,TRIM(M91)=""),"",IF(IFERROR(TRIM(INDEX(QryItemNamed,MATCH(TRIM(M91),ITEM,0),3)),"")="LS","",IFERROR(TRIM(INDEX(QryItemNamed,MATCH(TRIM(M91),ITEM,0),3)),"")))</f>
        <v/>
      </c>
      <c r="N108" s="23" t="str">
        <f t="shared" si="26"/>
        <v>SY</v>
      </c>
      <c r="O108" s="23" t="str">
        <f t="shared" si="26"/>
        <v/>
      </c>
      <c r="P108" s="23" t="str">
        <f t="shared" si="26"/>
        <v>SY</v>
      </c>
      <c r="Q108" s="23" t="str">
        <f t="shared" si="26"/>
        <v/>
      </c>
      <c r="R108" s="23" t="str">
        <f t="shared" si="26"/>
        <v/>
      </c>
      <c r="S108" s="23" t="str">
        <f t="shared" si="26"/>
        <v/>
      </c>
      <c r="T108" s="23" t="str">
        <f t="shared" si="26"/>
        <v/>
      </c>
      <c r="U108" s="23" t="str">
        <f t="shared" si="26"/>
        <v/>
      </c>
      <c r="V108" s="23" t="str">
        <f t="shared" si="26"/>
        <v/>
      </c>
      <c r="W108" s="23" t="str">
        <f t="shared" si="26"/>
        <v/>
      </c>
      <c r="X108" s="23" t="str">
        <f t="shared" si="26"/>
        <v/>
      </c>
      <c r="Y108" s="23" t="str">
        <f t="shared" si="26"/>
        <v/>
      </c>
      <c r="Z108" s="23" t="str">
        <f t="shared" si="26"/>
        <v/>
      </c>
      <c r="AA108" s="23" t="str">
        <f t="shared" si="26"/>
        <v/>
      </c>
      <c r="AB108" s="23" t="str">
        <f t="shared" si="26"/>
        <v/>
      </c>
      <c r="AC108" s="23" t="str">
        <f t="shared" si="26"/>
        <v/>
      </c>
      <c r="AD108" s="23" t="str">
        <f t="shared" si="26"/>
        <v/>
      </c>
    </row>
    <row r="109" spans="2:30" ht="12.75" customHeight="1" x14ac:dyDescent="0.2">
      <c r="B109" s="54"/>
      <c r="D109" s="71" t="s">
        <v>55</v>
      </c>
      <c r="E109" s="72"/>
      <c r="F109" s="73"/>
      <c r="G109" s="113"/>
      <c r="H109" s="114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  <c r="AD109" s="28"/>
    </row>
    <row r="110" spans="2:30" ht="12.75" customHeight="1" x14ac:dyDescent="0.2">
      <c r="B110" s="55"/>
      <c r="D110" s="84" t="s">
        <v>65</v>
      </c>
      <c r="E110" s="85"/>
      <c r="F110" s="86"/>
      <c r="G110" s="67"/>
      <c r="H110" s="6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30"/>
    </row>
    <row r="111" spans="2:30" ht="12.75" customHeight="1" x14ac:dyDescent="0.2">
      <c r="B111" s="55"/>
      <c r="D111" s="61">
        <v>2017.94</v>
      </c>
      <c r="E111" s="62"/>
      <c r="F111" s="63"/>
      <c r="G111" s="67" t="s">
        <v>69</v>
      </c>
      <c r="H111" s="68"/>
      <c r="I111" s="30" t="s">
        <v>63</v>
      </c>
      <c r="J111" s="30">
        <v>1.55</v>
      </c>
      <c r="K111" s="30">
        <v>2</v>
      </c>
      <c r="L111" s="30">
        <f>394.5821/9</f>
        <v>43.84245555555556</v>
      </c>
      <c r="M111" s="28"/>
      <c r="N111" s="28"/>
      <c r="O111" s="28"/>
      <c r="P111" s="28">
        <f>L111</f>
        <v>43.84245555555556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0"/>
      <c r="AC111" s="29"/>
      <c r="AD111" s="30"/>
    </row>
    <row r="112" spans="2:30" ht="12.75" customHeight="1" x14ac:dyDescent="0.2">
      <c r="B112" s="55"/>
      <c r="D112" s="61">
        <v>2094.69</v>
      </c>
      <c r="E112" s="62"/>
      <c r="F112" s="63"/>
      <c r="G112" s="67" t="s">
        <v>70</v>
      </c>
      <c r="H112" s="68"/>
      <c r="I112" s="30" t="s">
        <v>71</v>
      </c>
      <c r="J112" s="30">
        <v>12.71</v>
      </c>
      <c r="K112" s="30">
        <v>2</v>
      </c>
      <c r="L112" s="30">
        <f>239.209/9</f>
        <v>26.578777777777777</v>
      </c>
      <c r="M112" s="28"/>
      <c r="N112" s="28">
        <f>L112</f>
        <v>26.578777777777777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9"/>
      <c r="AD112" s="30"/>
    </row>
    <row r="113" spans="2:30" ht="12.75" customHeight="1" x14ac:dyDescent="0.2">
      <c r="B113" s="55"/>
      <c r="D113" s="61">
        <v>2207.04</v>
      </c>
      <c r="E113" s="62"/>
      <c r="F113" s="63"/>
      <c r="G113" s="67" t="s">
        <v>70</v>
      </c>
      <c r="H113" s="68"/>
      <c r="I113" s="30" t="s">
        <v>71</v>
      </c>
      <c r="J113" s="30">
        <v>9.9600000000000009</v>
      </c>
      <c r="K113" s="30">
        <v>2</v>
      </c>
      <c r="L113" s="30">
        <f>179.8883/9</f>
        <v>19.987588888888887</v>
      </c>
      <c r="M113" s="28"/>
      <c r="N113" s="28">
        <f t="shared" ref="N113:N121" si="27">L113</f>
        <v>19.987588888888887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35"/>
      <c r="Z113" s="35"/>
      <c r="AA113" s="30"/>
      <c r="AB113" s="30"/>
      <c r="AC113" s="29"/>
      <c r="AD113" s="30"/>
    </row>
    <row r="114" spans="2:30" ht="12.75" customHeight="1" x14ac:dyDescent="0.2">
      <c r="B114" s="55"/>
      <c r="D114" s="61">
        <v>2412.54</v>
      </c>
      <c r="E114" s="62"/>
      <c r="F114" s="63"/>
      <c r="G114" s="67" t="s">
        <v>70</v>
      </c>
      <c r="H114" s="68"/>
      <c r="I114" s="30" t="s">
        <v>63</v>
      </c>
      <c r="J114" s="30">
        <v>4</v>
      </c>
      <c r="K114" s="30">
        <v>2</v>
      </c>
      <c r="L114" s="30">
        <f>409.1871/9</f>
        <v>45.46523333333333</v>
      </c>
      <c r="M114" s="28"/>
      <c r="N114" s="28">
        <f t="shared" si="27"/>
        <v>45.46523333333333</v>
      </c>
      <c r="O114" s="28"/>
      <c r="P114" s="28"/>
      <c r="Q114" s="28"/>
      <c r="R114" s="28"/>
      <c r="S114" s="28"/>
      <c r="T114" s="28"/>
      <c r="U114" s="28"/>
      <c r="V114" s="28"/>
      <c r="W114" s="30"/>
      <c r="X114" s="28"/>
      <c r="Y114" s="35"/>
      <c r="Z114" s="35"/>
      <c r="AA114" s="30"/>
      <c r="AB114" s="30"/>
      <c r="AC114" s="29"/>
      <c r="AD114" s="30"/>
    </row>
    <row r="115" spans="2:30" ht="12.75" customHeight="1" x14ac:dyDescent="0.2">
      <c r="B115" s="55"/>
      <c r="D115" s="61">
        <v>2466.85</v>
      </c>
      <c r="E115" s="62"/>
      <c r="F115" s="63"/>
      <c r="G115" s="67" t="s">
        <v>70</v>
      </c>
      <c r="H115" s="68"/>
      <c r="I115" s="30" t="s">
        <v>63</v>
      </c>
      <c r="J115" s="30">
        <v>4.41</v>
      </c>
      <c r="K115" s="30">
        <v>2</v>
      </c>
      <c r="L115" s="30">
        <f>187.1179/9</f>
        <v>20.790877777777776</v>
      </c>
      <c r="M115" s="28"/>
      <c r="N115" s="28">
        <f t="shared" si="27"/>
        <v>20.790877777777776</v>
      </c>
      <c r="O115" s="28"/>
      <c r="P115" s="28"/>
      <c r="Q115" s="28"/>
      <c r="R115" s="28"/>
      <c r="S115" s="28"/>
      <c r="T115" s="28"/>
      <c r="U115" s="28"/>
      <c r="V115" s="28"/>
      <c r="W115" s="30"/>
      <c r="X115" s="28"/>
      <c r="Y115" s="35"/>
      <c r="Z115" s="35"/>
      <c r="AA115" s="30"/>
      <c r="AB115" s="30"/>
      <c r="AC115" s="29"/>
      <c r="AD115" s="30"/>
    </row>
    <row r="116" spans="2:30" ht="12.75" customHeight="1" x14ac:dyDescent="0.2">
      <c r="B116" s="55"/>
      <c r="D116" s="61">
        <v>2562.06</v>
      </c>
      <c r="E116" s="62"/>
      <c r="F116" s="63"/>
      <c r="G116" s="67" t="s">
        <v>70</v>
      </c>
      <c r="H116" s="68"/>
      <c r="I116" s="30" t="s">
        <v>71</v>
      </c>
      <c r="J116" s="30">
        <v>5</v>
      </c>
      <c r="K116" s="30">
        <v>2</v>
      </c>
      <c r="L116" s="30">
        <f>264.9205/9</f>
        <v>29.435611111111111</v>
      </c>
      <c r="M116" s="28"/>
      <c r="N116" s="28">
        <f t="shared" si="27"/>
        <v>29.435611111111111</v>
      </c>
      <c r="O116" s="28"/>
      <c r="P116" s="28"/>
      <c r="Q116" s="28"/>
      <c r="R116" s="28"/>
      <c r="S116" s="28"/>
      <c r="T116" s="28"/>
      <c r="U116" s="28"/>
      <c r="V116" s="28"/>
      <c r="W116" s="30"/>
      <c r="X116" s="28"/>
      <c r="Y116" s="35"/>
      <c r="Z116" s="35"/>
      <c r="AA116" s="30"/>
      <c r="AB116" s="30"/>
      <c r="AC116" s="29"/>
      <c r="AD116" s="30"/>
    </row>
    <row r="117" spans="2:30" ht="12.75" customHeight="1" x14ac:dyDescent="0.2">
      <c r="B117" s="55"/>
      <c r="D117" s="61">
        <v>2629.76</v>
      </c>
      <c r="E117" s="62"/>
      <c r="F117" s="63"/>
      <c r="G117" s="67" t="s">
        <v>70</v>
      </c>
      <c r="H117" s="68"/>
      <c r="I117" s="30" t="s">
        <v>71</v>
      </c>
      <c r="J117" s="30">
        <v>9.98</v>
      </c>
      <c r="K117" s="30">
        <v>2</v>
      </c>
      <c r="L117" s="30">
        <f>193.2612/9</f>
        <v>21.473466666666667</v>
      </c>
      <c r="M117" s="28"/>
      <c r="N117" s="28">
        <f t="shared" si="27"/>
        <v>21.473466666666667</v>
      </c>
      <c r="O117" s="28"/>
      <c r="P117" s="28"/>
      <c r="Q117" s="28"/>
      <c r="R117" s="28"/>
      <c r="S117" s="28"/>
      <c r="T117" s="28"/>
      <c r="U117" s="28"/>
      <c r="V117" s="28"/>
      <c r="W117" s="30"/>
      <c r="X117" s="28"/>
      <c r="Y117" s="35"/>
      <c r="Z117" s="35"/>
      <c r="AA117" s="30"/>
      <c r="AB117" s="30"/>
      <c r="AC117" s="29"/>
      <c r="AD117" s="30"/>
    </row>
    <row r="118" spans="2:30" ht="12.75" customHeight="1" x14ac:dyDescent="0.2">
      <c r="B118" s="55"/>
      <c r="D118" s="61">
        <v>2695.17</v>
      </c>
      <c r="E118" s="62"/>
      <c r="F118" s="63"/>
      <c r="G118" s="67" t="s">
        <v>70</v>
      </c>
      <c r="H118" s="68"/>
      <c r="I118" s="30" t="s">
        <v>63</v>
      </c>
      <c r="J118" s="30">
        <v>13.32</v>
      </c>
      <c r="K118" s="30">
        <v>2</v>
      </c>
      <c r="L118" s="30">
        <f>184.9844/9</f>
        <v>20.553822222222223</v>
      </c>
      <c r="M118" s="28"/>
      <c r="N118" s="28">
        <f t="shared" si="27"/>
        <v>20.553822222222223</v>
      </c>
      <c r="O118" s="28"/>
      <c r="P118" s="28"/>
      <c r="Q118" s="28"/>
      <c r="R118" s="28"/>
      <c r="S118" s="28"/>
      <c r="T118" s="28"/>
      <c r="U118" s="28"/>
      <c r="V118" s="28"/>
      <c r="W118" s="30"/>
      <c r="X118" s="28"/>
      <c r="Y118" s="35"/>
      <c r="Z118" s="35"/>
      <c r="AA118" s="30"/>
      <c r="AB118" s="30"/>
      <c r="AC118" s="29"/>
      <c r="AD118" s="30"/>
    </row>
    <row r="119" spans="2:30" ht="12.75" customHeight="1" x14ac:dyDescent="0.2">
      <c r="B119" s="55"/>
      <c r="D119" s="61">
        <v>2810.26</v>
      </c>
      <c r="E119" s="62"/>
      <c r="F119" s="63"/>
      <c r="G119" s="67" t="s">
        <v>70</v>
      </c>
      <c r="H119" s="68"/>
      <c r="I119" s="30" t="s">
        <v>63</v>
      </c>
      <c r="J119" s="30">
        <v>14.49</v>
      </c>
      <c r="K119" s="30">
        <v>2</v>
      </c>
      <c r="L119" s="30">
        <f>233.9073/9</f>
        <v>25.989699999999999</v>
      </c>
      <c r="M119" s="28"/>
      <c r="N119" s="28">
        <f t="shared" si="27"/>
        <v>25.989699999999999</v>
      </c>
      <c r="O119" s="28"/>
      <c r="P119" s="28"/>
      <c r="Q119" s="28"/>
      <c r="R119" s="28"/>
      <c r="S119" s="28"/>
      <c r="T119" s="28"/>
      <c r="U119" s="28"/>
      <c r="V119" s="28"/>
      <c r="W119" s="30"/>
      <c r="X119" s="28"/>
      <c r="Y119" s="35"/>
      <c r="Z119" s="35"/>
      <c r="AA119" s="30"/>
      <c r="AB119" s="30"/>
      <c r="AC119" s="29"/>
      <c r="AD119" s="30"/>
    </row>
    <row r="120" spans="2:30" ht="12.75" customHeight="1" x14ac:dyDescent="0.2">
      <c r="B120" s="55"/>
      <c r="D120" s="61">
        <v>2931.16</v>
      </c>
      <c r="E120" s="62"/>
      <c r="F120" s="63"/>
      <c r="G120" s="67" t="s">
        <v>70</v>
      </c>
      <c r="H120" s="68"/>
      <c r="I120" s="30" t="s">
        <v>63</v>
      </c>
      <c r="J120" s="30">
        <v>15.6</v>
      </c>
      <c r="K120" s="30">
        <v>2</v>
      </c>
      <c r="L120" s="30">
        <f>363.4094/9</f>
        <v>40.378822222222226</v>
      </c>
      <c r="M120" s="28"/>
      <c r="N120" s="28">
        <f t="shared" si="27"/>
        <v>40.378822222222226</v>
      </c>
      <c r="O120" s="28"/>
      <c r="P120" s="28"/>
      <c r="Q120" s="28"/>
      <c r="R120" s="28"/>
      <c r="S120" s="28"/>
      <c r="T120" s="28"/>
      <c r="U120" s="28"/>
      <c r="V120" s="28"/>
      <c r="W120" s="30"/>
      <c r="X120" s="28"/>
      <c r="Y120" s="35"/>
      <c r="Z120" s="35"/>
      <c r="AA120" s="30"/>
      <c r="AB120" s="30"/>
      <c r="AC120" s="29"/>
      <c r="AD120" s="30"/>
    </row>
    <row r="121" spans="2:30" ht="12.75" customHeight="1" x14ac:dyDescent="0.2">
      <c r="B121" s="55"/>
      <c r="D121" s="61">
        <v>2957.9</v>
      </c>
      <c r="E121" s="62"/>
      <c r="F121" s="63"/>
      <c r="G121" s="67" t="s">
        <v>70</v>
      </c>
      <c r="H121" s="68"/>
      <c r="I121" s="30" t="s">
        <v>71</v>
      </c>
      <c r="J121" s="30">
        <v>13.83</v>
      </c>
      <c r="K121" s="30">
        <v>2</v>
      </c>
      <c r="L121" s="30">
        <f>172.4587/9</f>
        <v>19.162077777777778</v>
      </c>
      <c r="M121" s="28"/>
      <c r="N121" s="28">
        <f t="shared" si="27"/>
        <v>19.162077777777778</v>
      </c>
      <c r="O121" s="28"/>
      <c r="P121" s="28"/>
      <c r="Q121" s="28"/>
      <c r="R121" s="28"/>
      <c r="S121" s="28"/>
      <c r="T121" s="28"/>
      <c r="U121" s="28"/>
      <c r="V121" s="28"/>
      <c r="W121" s="30"/>
      <c r="X121" s="28"/>
      <c r="Y121" s="35"/>
      <c r="Z121" s="35"/>
      <c r="AA121" s="30"/>
      <c r="AB121" s="30"/>
      <c r="AC121" s="29"/>
      <c r="AD121" s="30"/>
    </row>
    <row r="122" spans="2:30" ht="12.75" customHeight="1" x14ac:dyDescent="0.2">
      <c r="B122" s="55"/>
      <c r="D122" s="61">
        <v>3063.82</v>
      </c>
      <c r="E122" s="62"/>
      <c r="F122" s="63"/>
      <c r="G122" s="67" t="s">
        <v>69</v>
      </c>
      <c r="H122" s="68"/>
      <c r="I122" s="30" t="s">
        <v>63</v>
      </c>
      <c r="J122" s="30">
        <v>8.1300000000000008</v>
      </c>
      <c r="K122" s="30">
        <v>2</v>
      </c>
      <c r="L122" s="30">
        <f>516.5506/9</f>
        <v>57.394511111111115</v>
      </c>
      <c r="M122" s="28"/>
      <c r="N122" s="30"/>
      <c r="O122" s="30"/>
      <c r="P122" s="28">
        <f t="shared" ref="P122:P131" si="28">L122</f>
        <v>57.394511111111115</v>
      </c>
      <c r="Q122" s="28"/>
      <c r="R122" s="28"/>
      <c r="S122" s="28"/>
      <c r="T122" s="28"/>
      <c r="U122" s="28"/>
      <c r="V122" s="28"/>
      <c r="W122" s="30"/>
      <c r="X122" s="28"/>
      <c r="Y122" s="35"/>
      <c r="Z122" s="35"/>
      <c r="AA122" s="30"/>
      <c r="AB122" s="30"/>
      <c r="AC122" s="29"/>
      <c r="AD122" s="30"/>
    </row>
    <row r="123" spans="2:30" ht="12.75" customHeight="1" x14ac:dyDescent="0.2">
      <c r="B123" s="55"/>
      <c r="D123" s="61">
        <v>3300.21</v>
      </c>
      <c r="E123" s="62"/>
      <c r="F123" s="63"/>
      <c r="G123" s="67" t="s">
        <v>69</v>
      </c>
      <c r="H123" s="68"/>
      <c r="I123" s="30" t="s">
        <v>63</v>
      </c>
      <c r="J123" s="30">
        <v>4.18</v>
      </c>
      <c r="K123" s="30">
        <v>2</v>
      </c>
      <c r="L123" s="30">
        <f>573.7749/9</f>
        <v>63.752766666666666</v>
      </c>
      <c r="M123" s="28"/>
      <c r="N123" s="30"/>
      <c r="O123" s="30"/>
      <c r="P123" s="28">
        <f t="shared" si="28"/>
        <v>63.752766666666666</v>
      </c>
      <c r="Q123" s="28"/>
      <c r="R123" s="28"/>
      <c r="S123" s="28"/>
      <c r="T123" s="28"/>
      <c r="U123" s="28"/>
      <c r="V123" s="28"/>
      <c r="W123" s="30"/>
      <c r="X123" s="28"/>
      <c r="Y123" s="35"/>
      <c r="Z123" s="35"/>
      <c r="AA123" s="30"/>
      <c r="AB123" s="30"/>
      <c r="AC123" s="29"/>
      <c r="AD123" s="30"/>
    </row>
    <row r="124" spans="2:30" ht="12.75" customHeight="1" x14ac:dyDescent="0.2">
      <c r="B124" s="55"/>
      <c r="D124" s="61">
        <v>6061.46</v>
      </c>
      <c r="E124" s="62"/>
      <c r="F124" s="63"/>
      <c r="G124" s="67" t="s">
        <v>69</v>
      </c>
      <c r="H124" s="68"/>
      <c r="I124" s="30" t="s">
        <v>71</v>
      </c>
      <c r="J124" s="30">
        <v>11.3</v>
      </c>
      <c r="K124" s="30">
        <v>2</v>
      </c>
      <c r="L124" s="30">
        <f>510.8525/9</f>
        <v>56.761388888888888</v>
      </c>
      <c r="M124" s="28"/>
      <c r="N124" s="30"/>
      <c r="O124" s="30"/>
      <c r="P124" s="28">
        <f t="shared" si="28"/>
        <v>56.761388888888888</v>
      </c>
      <c r="Q124" s="28"/>
      <c r="R124" s="28"/>
      <c r="S124" s="28"/>
      <c r="T124" s="28"/>
      <c r="U124" s="28"/>
      <c r="V124" s="28"/>
      <c r="W124" s="30"/>
      <c r="X124" s="28"/>
      <c r="Y124" s="35"/>
      <c r="Z124" s="35"/>
      <c r="AA124" s="30"/>
      <c r="AB124" s="30"/>
      <c r="AC124" s="29"/>
      <c r="AD124" s="30"/>
    </row>
    <row r="125" spans="2:30" ht="12.75" customHeight="1" x14ac:dyDescent="0.2">
      <c r="B125" s="55"/>
      <c r="D125" s="61">
        <v>6312.57</v>
      </c>
      <c r="E125" s="62"/>
      <c r="F125" s="63"/>
      <c r="G125" s="67" t="s">
        <v>69</v>
      </c>
      <c r="H125" s="68"/>
      <c r="I125" s="30" t="s">
        <v>71</v>
      </c>
      <c r="J125" s="30">
        <v>8.64</v>
      </c>
      <c r="K125" s="30">
        <v>2</v>
      </c>
      <c r="L125" s="30">
        <f>536.178/9</f>
        <v>59.575333333333333</v>
      </c>
      <c r="M125" s="28"/>
      <c r="N125" s="30"/>
      <c r="O125" s="30"/>
      <c r="P125" s="28">
        <f t="shared" si="28"/>
        <v>59.575333333333333</v>
      </c>
      <c r="Q125" s="28"/>
      <c r="R125" s="28"/>
      <c r="S125" s="28"/>
      <c r="T125" s="28"/>
      <c r="U125" s="28"/>
      <c r="V125" s="28"/>
      <c r="W125" s="30"/>
      <c r="X125" s="28"/>
      <c r="Y125" s="35"/>
      <c r="Z125" s="35"/>
      <c r="AA125" s="30"/>
      <c r="AB125" s="30"/>
      <c r="AC125" s="29"/>
      <c r="AD125" s="30"/>
    </row>
    <row r="126" spans="2:30" ht="12.75" customHeight="1" x14ac:dyDescent="0.2">
      <c r="B126" s="55"/>
      <c r="D126" s="61">
        <v>7675.27</v>
      </c>
      <c r="E126" s="62"/>
      <c r="F126" s="63"/>
      <c r="G126" s="67" t="s">
        <v>69</v>
      </c>
      <c r="H126" s="68"/>
      <c r="I126" s="30" t="s">
        <v>63</v>
      </c>
      <c r="J126" s="30">
        <v>4.24</v>
      </c>
      <c r="K126" s="30" t="s">
        <v>72</v>
      </c>
      <c r="L126" s="30">
        <f>720.4196/9</f>
        <v>80.046622222222211</v>
      </c>
      <c r="M126" s="28"/>
      <c r="N126" s="30"/>
      <c r="O126" s="30"/>
      <c r="P126" s="28">
        <f t="shared" si="28"/>
        <v>80.046622222222211</v>
      </c>
      <c r="Q126" s="28"/>
      <c r="R126" s="28"/>
      <c r="S126" s="28"/>
      <c r="T126" s="28"/>
      <c r="U126" s="28"/>
      <c r="V126" s="28"/>
      <c r="W126" s="30"/>
      <c r="X126" s="28"/>
      <c r="Y126" s="35"/>
      <c r="Z126" s="35"/>
      <c r="AA126" s="30"/>
      <c r="AB126" s="30"/>
      <c r="AC126" s="29"/>
      <c r="AD126" s="30"/>
    </row>
    <row r="127" spans="2:30" ht="12.75" customHeight="1" x14ac:dyDescent="0.2">
      <c r="B127" s="55"/>
      <c r="D127" s="61">
        <v>7867.49</v>
      </c>
      <c r="E127" s="62"/>
      <c r="F127" s="63"/>
      <c r="G127" s="67" t="s">
        <v>69</v>
      </c>
      <c r="H127" s="68"/>
      <c r="I127" s="30" t="s">
        <v>63</v>
      </c>
      <c r="J127" s="30">
        <v>3.24</v>
      </c>
      <c r="K127" s="30" t="s">
        <v>72</v>
      </c>
      <c r="L127" s="30">
        <f>660.9554/9</f>
        <v>73.439488888888889</v>
      </c>
      <c r="M127" s="28"/>
      <c r="N127" s="30"/>
      <c r="O127" s="30"/>
      <c r="P127" s="28">
        <f t="shared" si="28"/>
        <v>73.439488888888889</v>
      </c>
      <c r="Q127" s="28"/>
      <c r="R127" s="28"/>
      <c r="S127" s="28"/>
      <c r="T127" s="28"/>
      <c r="U127" s="28"/>
      <c r="V127" s="28"/>
      <c r="W127" s="30"/>
      <c r="X127" s="28"/>
      <c r="Y127" s="35"/>
      <c r="Z127" s="35"/>
      <c r="AA127" s="30"/>
      <c r="AB127" s="30"/>
      <c r="AC127" s="29"/>
      <c r="AD127" s="30"/>
    </row>
    <row r="128" spans="2:30" ht="12.75" customHeight="1" x14ac:dyDescent="0.2">
      <c r="B128" s="55"/>
      <c r="D128" s="61">
        <v>7955.49</v>
      </c>
      <c r="E128" s="62"/>
      <c r="F128" s="63"/>
      <c r="G128" s="67" t="s">
        <v>69</v>
      </c>
      <c r="H128" s="68"/>
      <c r="I128" s="30" t="s">
        <v>63</v>
      </c>
      <c r="J128" s="30">
        <v>4.8600000000000003</v>
      </c>
      <c r="K128" s="30" t="s">
        <v>72</v>
      </c>
      <c r="L128" s="30">
        <f>502.3278/9</f>
        <v>55.8142</v>
      </c>
      <c r="M128" s="28"/>
      <c r="N128" s="30"/>
      <c r="O128" s="30"/>
      <c r="P128" s="28">
        <f t="shared" si="28"/>
        <v>55.8142</v>
      </c>
      <c r="Q128" s="28"/>
      <c r="R128" s="28"/>
      <c r="S128" s="28"/>
      <c r="T128" s="28"/>
      <c r="U128" s="28"/>
      <c r="V128" s="28"/>
      <c r="W128" s="30"/>
      <c r="X128" s="28"/>
      <c r="Y128" s="35"/>
      <c r="Z128" s="35"/>
      <c r="AA128" s="30"/>
      <c r="AB128" s="30"/>
      <c r="AC128" s="29"/>
      <c r="AD128" s="30"/>
    </row>
    <row r="129" spans="2:30" ht="12.75" customHeight="1" x14ac:dyDescent="0.2">
      <c r="B129" s="55"/>
      <c r="D129" s="61">
        <v>8044.94</v>
      </c>
      <c r="E129" s="62"/>
      <c r="F129" s="63"/>
      <c r="G129" s="67" t="s">
        <v>69</v>
      </c>
      <c r="H129" s="68"/>
      <c r="I129" s="30" t="s">
        <v>63</v>
      </c>
      <c r="J129" s="30">
        <v>3</v>
      </c>
      <c r="K129" s="30" t="s">
        <v>72</v>
      </c>
      <c r="L129" s="30">
        <f>498.9097/9</f>
        <v>55.43441111111111</v>
      </c>
      <c r="M129" s="28"/>
      <c r="N129" s="30"/>
      <c r="O129" s="30"/>
      <c r="P129" s="28">
        <f t="shared" si="28"/>
        <v>55.43441111111111</v>
      </c>
      <c r="Q129" s="28"/>
      <c r="R129" s="28"/>
      <c r="S129" s="28"/>
      <c r="T129" s="28"/>
      <c r="U129" s="28"/>
      <c r="V129" s="28"/>
      <c r="W129" s="30"/>
      <c r="X129" s="28"/>
      <c r="Y129" s="35"/>
      <c r="Z129" s="35"/>
      <c r="AA129" s="30"/>
      <c r="AB129" s="30"/>
      <c r="AC129" s="29"/>
      <c r="AD129" s="30"/>
    </row>
    <row r="130" spans="2:30" ht="12.75" customHeight="1" x14ac:dyDescent="0.2">
      <c r="B130" s="55"/>
      <c r="D130" s="61">
        <v>8169.58</v>
      </c>
      <c r="E130" s="62"/>
      <c r="F130" s="63"/>
      <c r="G130" s="67" t="s">
        <v>69</v>
      </c>
      <c r="H130" s="68"/>
      <c r="I130" s="30" t="s">
        <v>63</v>
      </c>
      <c r="J130" s="30">
        <v>0.1</v>
      </c>
      <c r="K130" s="30" t="s">
        <v>72</v>
      </c>
      <c r="L130" s="30">
        <f>914.0921/9</f>
        <v>101.56578888888889</v>
      </c>
      <c r="M130" s="28"/>
      <c r="N130" s="30"/>
      <c r="O130" s="30"/>
      <c r="P130" s="28">
        <f t="shared" si="28"/>
        <v>101.56578888888889</v>
      </c>
      <c r="Q130" s="28"/>
      <c r="R130" s="28"/>
      <c r="S130" s="28"/>
      <c r="T130" s="28"/>
      <c r="U130" s="28"/>
      <c r="V130" s="28"/>
      <c r="W130" s="30"/>
      <c r="X130" s="28"/>
      <c r="Y130" s="35"/>
      <c r="Z130" s="35"/>
      <c r="AA130" s="30"/>
      <c r="AB130" s="30"/>
      <c r="AC130" s="29"/>
      <c r="AD130" s="30"/>
    </row>
    <row r="131" spans="2:30" ht="12.75" customHeight="1" x14ac:dyDescent="0.2">
      <c r="B131" s="55"/>
      <c r="D131" s="61">
        <v>8472.5499999999993</v>
      </c>
      <c r="E131" s="62"/>
      <c r="F131" s="63"/>
      <c r="G131" s="67" t="s">
        <v>69</v>
      </c>
      <c r="H131" s="68"/>
      <c r="I131" s="30" t="s">
        <v>63</v>
      </c>
      <c r="J131" s="30">
        <v>-6.3</v>
      </c>
      <c r="K131" s="30" t="s">
        <v>72</v>
      </c>
      <c r="L131" s="30">
        <f>956.1508/9</f>
        <v>106.23897777777778</v>
      </c>
      <c r="M131" s="28"/>
      <c r="N131" s="30"/>
      <c r="O131" s="30"/>
      <c r="P131" s="28">
        <f t="shared" si="28"/>
        <v>106.23897777777778</v>
      </c>
      <c r="Q131" s="28"/>
      <c r="R131" s="28"/>
      <c r="S131" s="28"/>
      <c r="T131" s="28"/>
      <c r="U131" s="28"/>
      <c r="V131" s="28"/>
      <c r="W131" s="30"/>
      <c r="X131" s="28"/>
      <c r="Y131" s="35"/>
      <c r="Z131" s="35"/>
      <c r="AA131" s="30"/>
      <c r="AB131" s="30"/>
      <c r="AC131" s="29"/>
      <c r="AD131" s="30"/>
    </row>
    <row r="132" spans="2:30" ht="12.75" customHeight="1" x14ac:dyDescent="0.2">
      <c r="B132" s="55"/>
      <c r="D132" s="61">
        <v>8726.91</v>
      </c>
      <c r="E132" s="62"/>
      <c r="F132" s="63"/>
      <c r="G132" s="67" t="s">
        <v>73</v>
      </c>
      <c r="H132" s="68"/>
      <c r="I132" s="30" t="s">
        <v>63</v>
      </c>
      <c r="J132" s="30">
        <v>9.8800000000000008</v>
      </c>
      <c r="K132" s="30">
        <v>2</v>
      </c>
      <c r="L132" s="30">
        <f>180.0345/9</f>
        <v>20.003833333333333</v>
      </c>
      <c r="M132" s="28"/>
      <c r="N132" s="28">
        <f t="shared" ref="N132:N134" si="29">L132</f>
        <v>20.003833333333333</v>
      </c>
      <c r="O132" s="28"/>
      <c r="P132" s="28"/>
      <c r="Q132" s="28"/>
      <c r="R132" s="28"/>
      <c r="S132" s="28"/>
      <c r="T132" s="28"/>
      <c r="U132" s="28"/>
      <c r="V132" s="28"/>
      <c r="W132" s="30"/>
      <c r="X132" s="28"/>
      <c r="Y132" s="35"/>
      <c r="Z132" s="35"/>
      <c r="AA132" s="30"/>
      <c r="AB132" s="30"/>
      <c r="AC132" s="29"/>
      <c r="AD132" s="30"/>
    </row>
    <row r="133" spans="2:30" ht="12.75" customHeight="1" x14ac:dyDescent="0.2">
      <c r="B133" s="55"/>
      <c r="D133" s="61">
        <v>8886.6200000000008</v>
      </c>
      <c r="E133" s="62"/>
      <c r="F133" s="63"/>
      <c r="G133" s="67" t="s">
        <v>73</v>
      </c>
      <c r="H133" s="68"/>
      <c r="I133" s="30" t="s">
        <v>63</v>
      </c>
      <c r="J133" s="30">
        <v>9.7799999999999994</v>
      </c>
      <c r="K133" s="30">
        <v>2</v>
      </c>
      <c r="L133" s="30">
        <f>180.3943/9</f>
        <v>20.043811111111111</v>
      </c>
      <c r="M133" s="28"/>
      <c r="N133" s="28">
        <f t="shared" si="29"/>
        <v>20.043811111111111</v>
      </c>
      <c r="O133" s="28"/>
      <c r="P133" s="28"/>
      <c r="Q133" s="28"/>
      <c r="R133" s="28"/>
      <c r="S133" s="28"/>
      <c r="T133" s="28"/>
      <c r="U133" s="28"/>
      <c r="V133" s="28"/>
      <c r="W133" s="30"/>
      <c r="X133" s="28"/>
      <c r="Y133" s="35"/>
      <c r="Z133" s="35"/>
      <c r="AA133" s="30"/>
      <c r="AB133" s="30"/>
      <c r="AC133" s="29"/>
      <c r="AD133" s="30"/>
    </row>
    <row r="134" spans="2:30" ht="12.75" customHeight="1" x14ac:dyDescent="0.2">
      <c r="B134" s="55"/>
      <c r="D134" s="61">
        <v>9150.14</v>
      </c>
      <c r="E134" s="62"/>
      <c r="F134" s="63"/>
      <c r="G134" s="67" t="s">
        <v>73</v>
      </c>
      <c r="H134" s="68"/>
      <c r="I134" s="30" t="s">
        <v>63</v>
      </c>
      <c r="J134" s="30">
        <v>9.7100000000000009</v>
      </c>
      <c r="K134" s="30">
        <v>2</v>
      </c>
      <c r="L134" s="30">
        <f>189.8612/9</f>
        <v>21.095688888888887</v>
      </c>
      <c r="M134" s="28"/>
      <c r="N134" s="28">
        <f t="shared" si="29"/>
        <v>21.095688888888887</v>
      </c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35"/>
      <c r="Z134" s="35"/>
      <c r="AA134" s="30"/>
      <c r="AB134" s="30"/>
      <c r="AC134" s="29"/>
      <c r="AD134" s="30"/>
    </row>
    <row r="135" spans="2:30" ht="12.75" customHeight="1" x14ac:dyDescent="0.2">
      <c r="B135" s="55"/>
      <c r="D135" s="61">
        <v>9343.99</v>
      </c>
      <c r="E135" s="62"/>
      <c r="F135" s="63"/>
      <c r="G135" s="67" t="s">
        <v>69</v>
      </c>
      <c r="H135" s="68"/>
      <c r="I135" s="30" t="s">
        <v>71</v>
      </c>
      <c r="J135" s="30">
        <v>12.16</v>
      </c>
      <c r="K135" s="30">
        <v>2</v>
      </c>
      <c r="L135" s="30">
        <f>377.0299/9</f>
        <v>41.892211111111109</v>
      </c>
      <c r="M135" s="28"/>
      <c r="N135" s="28"/>
      <c r="O135" s="30"/>
      <c r="P135" s="28">
        <f>L135</f>
        <v>41.892211111111109</v>
      </c>
      <c r="Q135" s="28"/>
      <c r="R135" s="28"/>
      <c r="S135" s="28"/>
      <c r="T135" s="28"/>
      <c r="U135" s="28"/>
      <c r="V135" s="28"/>
      <c r="W135" s="30"/>
      <c r="X135" s="28"/>
      <c r="Y135" s="35"/>
      <c r="Z135" s="35"/>
      <c r="AA135" s="30"/>
      <c r="AB135" s="30"/>
      <c r="AC135" s="29"/>
      <c r="AD135" s="30"/>
    </row>
    <row r="136" spans="2:30" ht="12.75" customHeight="1" x14ac:dyDescent="0.2">
      <c r="B136" s="55"/>
      <c r="D136" s="61">
        <v>10120.620000000001</v>
      </c>
      <c r="E136" s="62"/>
      <c r="F136" s="63"/>
      <c r="G136" s="67" t="s">
        <v>69</v>
      </c>
      <c r="H136" s="68"/>
      <c r="I136" s="30" t="s">
        <v>63</v>
      </c>
      <c r="J136" s="30">
        <v>9.98</v>
      </c>
      <c r="K136" s="30">
        <v>2</v>
      </c>
      <c r="L136" s="30">
        <f>601.8868/9</f>
        <v>66.876311111111107</v>
      </c>
      <c r="M136" s="28"/>
      <c r="N136" s="28"/>
      <c r="O136" s="30"/>
      <c r="P136" s="28">
        <f>L136</f>
        <v>66.876311111111107</v>
      </c>
      <c r="Q136" s="28"/>
      <c r="R136" s="28"/>
      <c r="S136" s="28"/>
      <c r="T136" s="28"/>
      <c r="U136" s="28"/>
      <c r="V136" s="28"/>
      <c r="W136" s="30"/>
      <c r="X136" s="28"/>
      <c r="Y136" s="35"/>
      <c r="Z136" s="35"/>
      <c r="AA136" s="30"/>
      <c r="AB136" s="30"/>
      <c r="AC136" s="29"/>
      <c r="AD136" s="30"/>
    </row>
    <row r="137" spans="2:30" ht="12.75" customHeight="1" thickBot="1" x14ac:dyDescent="0.25">
      <c r="B137" s="55"/>
      <c r="D137" s="61"/>
      <c r="E137" s="62"/>
      <c r="F137" s="63"/>
      <c r="G137" s="67"/>
      <c r="H137" s="68"/>
      <c r="I137" s="30" t="str">
        <f t="shared" ref="I137:I167" si="30">IF(D137&lt;&gt;"",F137-D137,"")</f>
        <v/>
      </c>
      <c r="J137" s="30"/>
      <c r="K137" s="30" t="str">
        <f t="shared" ref="K137:K167" si="31">IF(D137&lt;&gt;"",I137*J137/9,"")</f>
        <v/>
      </c>
      <c r="L137" s="30"/>
      <c r="M137" s="28"/>
      <c r="N137" s="28"/>
      <c r="O137" s="30"/>
      <c r="P137" s="28"/>
      <c r="Q137" s="28"/>
      <c r="R137" s="28"/>
      <c r="S137" s="28"/>
      <c r="T137" s="28"/>
      <c r="U137" s="28"/>
      <c r="V137" s="28"/>
      <c r="W137" s="30"/>
      <c r="X137" s="28"/>
      <c r="Y137" s="35"/>
      <c r="Z137" s="35"/>
      <c r="AA137" s="30"/>
      <c r="AB137" s="30"/>
      <c r="AC137" s="29"/>
      <c r="AD137" s="30"/>
    </row>
    <row r="138" spans="2:30" ht="12.75" hidden="1" customHeight="1" x14ac:dyDescent="0.2">
      <c r="B138" s="55"/>
      <c r="D138" s="61"/>
      <c r="E138" s="62"/>
      <c r="F138" s="63"/>
      <c r="G138" s="67"/>
      <c r="H138" s="68"/>
      <c r="I138" s="30" t="str">
        <f t="shared" si="30"/>
        <v/>
      </c>
      <c r="J138" s="30"/>
      <c r="K138" s="30" t="str">
        <f t="shared" si="31"/>
        <v/>
      </c>
      <c r="L138" s="30"/>
      <c r="M138" s="28"/>
      <c r="N138" s="28"/>
      <c r="O138" s="30"/>
      <c r="P138" s="28"/>
      <c r="Q138" s="28"/>
      <c r="R138" s="28"/>
      <c r="S138" s="28"/>
      <c r="T138" s="28"/>
      <c r="U138" s="28"/>
      <c r="V138" s="28"/>
      <c r="W138" s="28"/>
      <c r="X138" s="28"/>
      <c r="Y138" s="35"/>
      <c r="Z138" s="35"/>
      <c r="AA138" s="30"/>
      <c r="AB138" s="30"/>
      <c r="AC138" s="29"/>
      <c r="AD138" s="30"/>
    </row>
    <row r="139" spans="2:30" ht="12.75" hidden="1" customHeight="1" x14ac:dyDescent="0.2">
      <c r="B139" s="55"/>
      <c r="D139" s="61"/>
      <c r="E139" s="62"/>
      <c r="F139" s="63"/>
      <c r="G139" s="67"/>
      <c r="H139" s="68"/>
      <c r="I139" s="30" t="str">
        <f t="shared" si="30"/>
        <v/>
      </c>
      <c r="J139" s="30"/>
      <c r="K139" s="30" t="str">
        <f t="shared" si="31"/>
        <v/>
      </c>
      <c r="L139" s="30"/>
      <c r="M139" s="28"/>
      <c r="N139" s="28"/>
      <c r="O139" s="30"/>
      <c r="P139" s="28"/>
      <c r="Q139" s="28"/>
      <c r="R139" s="28"/>
      <c r="S139" s="28"/>
      <c r="T139" s="28"/>
      <c r="U139" s="28"/>
      <c r="V139" s="28"/>
      <c r="W139" s="28"/>
      <c r="X139" s="28"/>
      <c r="Y139" s="35"/>
      <c r="Z139" s="35"/>
      <c r="AA139" s="30"/>
      <c r="AB139" s="30"/>
      <c r="AC139" s="29"/>
      <c r="AD139" s="30"/>
    </row>
    <row r="140" spans="2:30" ht="12.75" hidden="1" customHeight="1" x14ac:dyDescent="0.2">
      <c r="B140" s="55"/>
      <c r="D140" s="61"/>
      <c r="E140" s="62"/>
      <c r="F140" s="63"/>
      <c r="G140" s="67"/>
      <c r="H140" s="68"/>
      <c r="I140" s="30" t="str">
        <f t="shared" si="30"/>
        <v/>
      </c>
      <c r="J140" s="30"/>
      <c r="K140" s="30" t="str">
        <f t="shared" si="31"/>
        <v/>
      </c>
      <c r="L140" s="30"/>
      <c r="M140" s="28"/>
      <c r="N140" s="28"/>
      <c r="O140" s="30"/>
      <c r="P140" s="28"/>
      <c r="Q140" s="28"/>
      <c r="R140" s="28"/>
      <c r="S140" s="28"/>
      <c r="T140" s="28"/>
      <c r="U140" s="28"/>
      <c r="V140" s="28"/>
      <c r="W140" s="28"/>
      <c r="X140" s="28"/>
      <c r="Y140" s="35"/>
      <c r="Z140" s="35"/>
      <c r="AA140" s="30"/>
      <c r="AB140" s="30"/>
      <c r="AC140" s="29"/>
      <c r="AD140" s="30"/>
    </row>
    <row r="141" spans="2:30" ht="12.75" hidden="1" customHeight="1" x14ac:dyDescent="0.2">
      <c r="B141" s="55"/>
      <c r="D141" s="61"/>
      <c r="E141" s="62"/>
      <c r="F141" s="63"/>
      <c r="G141" s="67"/>
      <c r="H141" s="68"/>
      <c r="I141" s="30" t="str">
        <f t="shared" si="30"/>
        <v/>
      </c>
      <c r="J141" s="30"/>
      <c r="K141" s="30" t="str">
        <f t="shared" si="31"/>
        <v/>
      </c>
      <c r="L141" s="30"/>
      <c r="M141" s="28"/>
      <c r="N141" s="28"/>
      <c r="O141" s="30"/>
      <c r="P141" s="28"/>
      <c r="Q141" s="28"/>
      <c r="R141" s="28"/>
      <c r="S141" s="28"/>
      <c r="T141" s="28"/>
      <c r="U141" s="28"/>
      <c r="V141" s="28"/>
      <c r="W141" s="28"/>
      <c r="X141" s="28"/>
      <c r="Y141" s="35"/>
      <c r="Z141" s="35"/>
      <c r="AA141" s="30"/>
      <c r="AB141" s="30"/>
      <c r="AC141" s="29"/>
      <c r="AD141" s="30"/>
    </row>
    <row r="142" spans="2:30" ht="12.75" hidden="1" customHeight="1" x14ac:dyDescent="0.2">
      <c r="B142" s="55"/>
      <c r="D142" s="61"/>
      <c r="E142" s="62"/>
      <c r="F142" s="63"/>
      <c r="G142" s="67"/>
      <c r="H142" s="68"/>
      <c r="I142" s="30" t="str">
        <f t="shared" si="30"/>
        <v/>
      </c>
      <c r="J142" s="30"/>
      <c r="K142" s="30" t="str">
        <f t="shared" si="31"/>
        <v/>
      </c>
      <c r="L142" s="30"/>
      <c r="M142" s="28"/>
      <c r="N142" s="28"/>
      <c r="O142" s="30"/>
      <c r="P142" s="28"/>
      <c r="Q142" s="28"/>
      <c r="R142" s="28"/>
      <c r="S142" s="28"/>
      <c r="T142" s="28"/>
      <c r="U142" s="28"/>
      <c r="V142" s="28"/>
      <c r="W142" s="28"/>
      <c r="X142" s="28"/>
      <c r="Y142" s="35"/>
      <c r="Z142" s="35"/>
      <c r="AA142" s="30"/>
      <c r="AB142" s="30"/>
      <c r="AC142" s="29"/>
      <c r="AD142" s="30"/>
    </row>
    <row r="143" spans="2:30" ht="12.75" hidden="1" customHeight="1" x14ac:dyDescent="0.2">
      <c r="B143" s="55"/>
      <c r="D143" s="61"/>
      <c r="E143" s="62"/>
      <c r="F143" s="63"/>
      <c r="G143" s="67"/>
      <c r="H143" s="68"/>
      <c r="I143" s="30" t="str">
        <f t="shared" si="30"/>
        <v/>
      </c>
      <c r="J143" s="30"/>
      <c r="K143" s="30" t="str">
        <f t="shared" si="31"/>
        <v/>
      </c>
      <c r="L143" s="30"/>
      <c r="M143" s="28"/>
      <c r="N143" s="28"/>
      <c r="O143" s="30"/>
      <c r="P143" s="28"/>
      <c r="Q143" s="28"/>
      <c r="R143" s="28"/>
      <c r="S143" s="28"/>
      <c r="T143" s="28"/>
      <c r="U143" s="28"/>
      <c r="V143" s="28"/>
      <c r="W143" s="28"/>
      <c r="X143" s="28"/>
      <c r="Y143" s="35"/>
      <c r="Z143" s="35"/>
      <c r="AA143" s="30"/>
      <c r="AB143" s="30"/>
      <c r="AC143" s="29"/>
      <c r="AD143" s="30"/>
    </row>
    <row r="144" spans="2:30" ht="12.75" hidden="1" customHeight="1" x14ac:dyDescent="0.2">
      <c r="B144" s="55"/>
      <c r="D144" s="61"/>
      <c r="E144" s="62"/>
      <c r="F144" s="63"/>
      <c r="G144" s="67"/>
      <c r="H144" s="68"/>
      <c r="I144" s="30" t="str">
        <f t="shared" si="30"/>
        <v/>
      </c>
      <c r="J144" s="30"/>
      <c r="K144" s="30" t="str">
        <f t="shared" si="31"/>
        <v/>
      </c>
      <c r="L144" s="30"/>
      <c r="M144" s="28"/>
      <c r="N144" s="28"/>
      <c r="O144" s="30"/>
      <c r="P144" s="28"/>
      <c r="Q144" s="28"/>
      <c r="R144" s="28"/>
      <c r="S144" s="28"/>
      <c r="T144" s="28"/>
      <c r="U144" s="28"/>
      <c r="V144" s="28"/>
      <c r="W144" s="28"/>
      <c r="X144" s="30"/>
      <c r="Y144" s="35"/>
      <c r="Z144" s="35"/>
      <c r="AA144" s="30"/>
      <c r="AB144" s="30"/>
      <c r="AC144" s="35"/>
      <c r="AD144" s="30"/>
    </row>
    <row r="145" spans="2:30" ht="12.75" hidden="1" customHeight="1" x14ac:dyDescent="0.2">
      <c r="B145" s="55"/>
      <c r="D145" s="61"/>
      <c r="E145" s="62"/>
      <c r="F145" s="63"/>
      <c r="G145" s="67"/>
      <c r="H145" s="68"/>
      <c r="I145" s="30" t="str">
        <f t="shared" si="30"/>
        <v/>
      </c>
      <c r="J145" s="30"/>
      <c r="K145" s="30" t="str">
        <f t="shared" si="31"/>
        <v/>
      </c>
      <c r="L145" s="30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0"/>
      <c r="Y145" s="28"/>
      <c r="Z145" s="28"/>
      <c r="AA145" s="28"/>
      <c r="AB145" s="30"/>
      <c r="AC145" s="29"/>
      <c r="AD145" s="30"/>
    </row>
    <row r="146" spans="2:30" ht="12.75" hidden="1" customHeight="1" x14ac:dyDescent="0.2">
      <c r="B146" s="55"/>
      <c r="D146" s="61"/>
      <c r="E146" s="62"/>
      <c r="F146" s="63"/>
      <c r="G146" s="67"/>
      <c r="H146" s="68"/>
      <c r="I146" s="30" t="str">
        <f t="shared" si="30"/>
        <v/>
      </c>
      <c r="J146" s="30"/>
      <c r="K146" s="30" t="str">
        <f t="shared" si="31"/>
        <v/>
      </c>
      <c r="L146" s="30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0"/>
      <c r="Y146" s="28"/>
      <c r="Z146" s="28"/>
      <c r="AA146" s="28"/>
      <c r="AB146" s="30"/>
      <c r="AC146" s="29"/>
      <c r="AD146" s="30"/>
    </row>
    <row r="147" spans="2:30" ht="12.75" hidden="1" customHeight="1" x14ac:dyDescent="0.2">
      <c r="B147" s="55"/>
      <c r="D147" s="61"/>
      <c r="E147" s="62"/>
      <c r="F147" s="63"/>
      <c r="G147" s="67"/>
      <c r="H147" s="68"/>
      <c r="I147" s="30" t="str">
        <f t="shared" si="30"/>
        <v/>
      </c>
      <c r="J147" s="30"/>
      <c r="K147" s="30" t="str">
        <f t="shared" si="31"/>
        <v/>
      </c>
      <c r="L147" s="30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0"/>
      <c r="Y147" s="28"/>
      <c r="Z147" s="28"/>
      <c r="AA147" s="28"/>
      <c r="AB147" s="30"/>
      <c r="AC147" s="29"/>
      <c r="AD147" s="30"/>
    </row>
    <row r="148" spans="2:30" ht="12.75" hidden="1" customHeight="1" x14ac:dyDescent="0.2">
      <c r="B148" s="55"/>
      <c r="D148" s="61"/>
      <c r="E148" s="62"/>
      <c r="F148" s="63"/>
      <c r="G148" s="67"/>
      <c r="H148" s="68"/>
      <c r="I148" s="30" t="str">
        <f t="shared" si="30"/>
        <v/>
      </c>
      <c r="J148" s="30"/>
      <c r="K148" s="30" t="str">
        <f t="shared" si="31"/>
        <v/>
      </c>
      <c r="L148" s="30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0"/>
      <c r="Y148" s="28"/>
      <c r="Z148" s="28"/>
      <c r="AA148" s="28"/>
      <c r="AB148" s="30"/>
      <c r="AC148" s="29"/>
      <c r="AD148" s="30"/>
    </row>
    <row r="149" spans="2:30" ht="12.75" hidden="1" customHeight="1" x14ac:dyDescent="0.2">
      <c r="B149" s="55"/>
      <c r="D149" s="61"/>
      <c r="E149" s="62"/>
      <c r="F149" s="63"/>
      <c r="G149" s="67"/>
      <c r="H149" s="68"/>
      <c r="I149" s="30" t="str">
        <f t="shared" si="30"/>
        <v/>
      </c>
      <c r="J149" s="30"/>
      <c r="K149" s="30" t="str">
        <f t="shared" si="31"/>
        <v/>
      </c>
      <c r="L149" s="30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0"/>
      <c r="Y149" s="28"/>
      <c r="Z149" s="28"/>
      <c r="AA149" s="28"/>
      <c r="AB149" s="30"/>
      <c r="AC149" s="29"/>
      <c r="AD149" s="30"/>
    </row>
    <row r="150" spans="2:30" ht="12.75" hidden="1" customHeight="1" x14ac:dyDescent="0.2">
      <c r="B150" s="55"/>
      <c r="D150" s="61"/>
      <c r="E150" s="62"/>
      <c r="F150" s="63"/>
      <c r="G150" s="67"/>
      <c r="H150" s="68"/>
      <c r="I150" s="30" t="str">
        <f t="shared" si="30"/>
        <v/>
      </c>
      <c r="J150" s="30"/>
      <c r="K150" s="30" t="str">
        <f t="shared" si="31"/>
        <v/>
      </c>
      <c r="L150" s="3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30"/>
      <c r="AC150" s="29"/>
      <c r="AD150" s="30"/>
    </row>
    <row r="151" spans="2:30" ht="12.75" hidden="1" customHeight="1" x14ac:dyDescent="0.2">
      <c r="B151" s="55"/>
      <c r="D151" s="61"/>
      <c r="E151" s="62"/>
      <c r="F151" s="63"/>
      <c r="G151" s="67"/>
      <c r="H151" s="68"/>
      <c r="I151" s="30" t="str">
        <f t="shared" si="30"/>
        <v/>
      </c>
      <c r="J151" s="30"/>
      <c r="K151" s="30" t="str">
        <f t="shared" si="31"/>
        <v/>
      </c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30"/>
      <c r="AC151" s="29"/>
      <c r="AD151" s="30"/>
    </row>
    <row r="152" spans="2:30" ht="12.75" hidden="1" customHeight="1" x14ac:dyDescent="0.2">
      <c r="B152" s="55"/>
      <c r="D152" s="61"/>
      <c r="E152" s="62"/>
      <c r="F152" s="63"/>
      <c r="G152" s="67"/>
      <c r="H152" s="68"/>
      <c r="I152" s="30" t="str">
        <f t="shared" si="30"/>
        <v/>
      </c>
      <c r="J152" s="30"/>
      <c r="K152" s="30" t="str">
        <f t="shared" si="31"/>
        <v/>
      </c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30"/>
      <c r="AC152" s="29"/>
      <c r="AD152" s="30"/>
    </row>
    <row r="153" spans="2:30" ht="12.75" hidden="1" customHeight="1" x14ac:dyDescent="0.2">
      <c r="B153" s="55"/>
      <c r="D153" s="61"/>
      <c r="E153" s="62"/>
      <c r="F153" s="63"/>
      <c r="G153" s="67"/>
      <c r="H153" s="68"/>
      <c r="I153" s="30" t="str">
        <f t="shared" si="30"/>
        <v/>
      </c>
      <c r="J153" s="30"/>
      <c r="K153" s="30" t="str">
        <f t="shared" si="31"/>
        <v/>
      </c>
      <c r="L153" s="30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30"/>
      <c r="AC153" s="29"/>
      <c r="AD153" s="30"/>
    </row>
    <row r="154" spans="2:30" ht="12.75" hidden="1" customHeight="1" x14ac:dyDescent="0.2">
      <c r="B154" s="55"/>
      <c r="D154" s="61"/>
      <c r="E154" s="62"/>
      <c r="F154" s="63"/>
      <c r="G154" s="67"/>
      <c r="H154" s="68"/>
      <c r="I154" s="30" t="str">
        <f t="shared" si="30"/>
        <v/>
      </c>
      <c r="J154" s="30"/>
      <c r="K154" s="30" t="str">
        <f t="shared" si="31"/>
        <v/>
      </c>
      <c r="L154" s="3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30"/>
      <c r="AC154" s="29"/>
      <c r="AD154" s="30"/>
    </row>
    <row r="155" spans="2:30" ht="12.75" hidden="1" customHeight="1" x14ac:dyDescent="0.2">
      <c r="B155" s="55"/>
      <c r="D155" s="61"/>
      <c r="E155" s="62"/>
      <c r="F155" s="63"/>
      <c r="G155" s="67"/>
      <c r="H155" s="68"/>
      <c r="I155" s="30" t="str">
        <f t="shared" si="30"/>
        <v/>
      </c>
      <c r="J155" s="30"/>
      <c r="K155" s="30" t="str">
        <f t="shared" si="31"/>
        <v/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5"/>
      <c r="Z155" s="28"/>
      <c r="AA155" s="28"/>
      <c r="AB155" s="30"/>
      <c r="AC155" s="29"/>
      <c r="AD155" s="30"/>
    </row>
    <row r="156" spans="2:30" ht="12.75" hidden="1" customHeight="1" x14ac:dyDescent="0.2">
      <c r="B156" s="55"/>
      <c r="D156" s="61"/>
      <c r="E156" s="62"/>
      <c r="F156" s="63"/>
      <c r="G156" s="67"/>
      <c r="H156" s="68"/>
      <c r="I156" s="30" t="str">
        <f t="shared" si="30"/>
        <v/>
      </c>
      <c r="J156" s="30"/>
      <c r="K156" s="30" t="str">
        <f t="shared" si="31"/>
        <v/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5"/>
      <c r="Z156" s="28"/>
      <c r="AA156" s="28"/>
      <c r="AB156" s="30"/>
      <c r="AC156" s="29"/>
      <c r="AD156" s="30"/>
    </row>
    <row r="157" spans="2:30" ht="12.75" hidden="1" customHeight="1" x14ac:dyDescent="0.2">
      <c r="B157" s="55"/>
      <c r="D157" s="61"/>
      <c r="E157" s="62"/>
      <c r="F157" s="63"/>
      <c r="G157" s="67"/>
      <c r="H157" s="68"/>
      <c r="I157" s="30" t="str">
        <f t="shared" si="30"/>
        <v/>
      </c>
      <c r="J157" s="30"/>
      <c r="K157" s="30" t="str">
        <f t="shared" si="31"/>
        <v/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5"/>
      <c r="Z157" s="28"/>
      <c r="AA157" s="28"/>
      <c r="AB157" s="30"/>
      <c r="AC157" s="29"/>
      <c r="AD157" s="30"/>
    </row>
    <row r="158" spans="2:30" ht="12.75" hidden="1" customHeight="1" x14ac:dyDescent="0.2">
      <c r="B158" s="55"/>
      <c r="D158" s="61"/>
      <c r="E158" s="62"/>
      <c r="F158" s="63"/>
      <c r="G158" s="67"/>
      <c r="H158" s="68"/>
      <c r="I158" s="30" t="str">
        <f t="shared" si="30"/>
        <v/>
      </c>
      <c r="J158" s="30"/>
      <c r="K158" s="30" t="str">
        <f t="shared" si="31"/>
        <v/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5"/>
      <c r="Z158" s="28"/>
      <c r="AA158" s="28"/>
      <c r="AB158" s="30"/>
      <c r="AC158" s="29"/>
      <c r="AD158" s="30"/>
    </row>
    <row r="159" spans="2:30" ht="12.75" hidden="1" customHeight="1" x14ac:dyDescent="0.2">
      <c r="B159" s="55"/>
      <c r="D159" s="61"/>
      <c r="E159" s="62"/>
      <c r="F159" s="63"/>
      <c r="G159" s="67"/>
      <c r="H159" s="68"/>
      <c r="I159" s="30" t="str">
        <f t="shared" si="30"/>
        <v/>
      </c>
      <c r="J159" s="30"/>
      <c r="K159" s="30" t="str">
        <f t="shared" si="31"/>
        <v/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5"/>
      <c r="Z159" s="28"/>
      <c r="AA159" s="28"/>
      <c r="AB159" s="30"/>
      <c r="AC159" s="29"/>
      <c r="AD159" s="30"/>
    </row>
    <row r="160" spans="2:30" ht="12.75" hidden="1" customHeight="1" x14ac:dyDescent="0.2">
      <c r="B160" s="55"/>
      <c r="D160" s="61"/>
      <c r="E160" s="62"/>
      <c r="F160" s="63"/>
      <c r="G160" s="67"/>
      <c r="H160" s="68"/>
      <c r="I160" s="30" t="str">
        <f t="shared" si="30"/>
        <v/>
      </c>
      <c r="J160" s="30"/>
      <c r="K160" s="30" t="str">
        <f t="shared" si="31"/>
        <v/>
      </c>
      <c r="L160" s="30"/>
      <c r="M160" s="28"/>
      <c r="N160" s="28"/>
      <c r="O160" s="30"/>
      <c r="P160" s="28"/>
      <c r="Q160" s="28"/>
      <c r="R160" s="28"/>
      <c r="S160" s="28"/>
      <c r="T160" s="28"/>
      <c r="U160" s="28"/>
      <c r="V160" s="28"/>
      <c r="W160" s="28"/>
      <c r="X160" s="28"/>
      <c r="Y160" s="35"/>
      <c r="Z160" s="35"/>
      <c r="AA160" s="30"/>
      <c r="AB160" s="30"/>
      <c r="AC160" s="29"/>
      <c r="AD160" s="30"/>
    </row>
    <row r="161" spans="2:30" ht="12.75" hidden="1" customHeight="1" x14ac:dyDescent="0.2">
      <c r="B161" s="55"/>
      <c r="D161" s="61"/>
      <c r="E161" s="62"/>
      <c r="F161" s="63"/>
      <c r="G161" s="67"/>
      <c r="H161" s="68"/>
      <c r="I161" s="30" t="str">
        <f t="shared" si="30"/>
        <v/>
      </c>
      <c r="J161" s="30"/>
      <c r="K161" s="30" t="str">
        <f t="shared" si="31"/>
        <v/>
      </c>
      <c r="L161" s="30"/>
      <c r="M161" s="28"/>
      <c r="N161" s="28"/>
      <c r="O161" s="30"/>
      <c r="P161" s="28"/>
      <c r="Q161" s="28"/>
      <c r="R161" s="28"/>
      <c r="S161" s="28"/>
      <c r="T161" s="28"/>
      <c r="U161" s="28"/>
      <c r="V161" s="28"/>
      <c r="W161" s="28"/>
      <c r="X161" s="28"/>
      <c r="Y161" s="35"/>
      <c r="Z161" s="35"/>
      <c r="AA161" s="30"/>
      <c r="AB161" s="30"/>
      <c r="AC161" s="29"/>
      <c r="AD161" s="30"/>
    </row>
    <row r="162" spans="2:30" ht="12.75" hidden="1" customHeight="1" x14ac:dyDescent="0.2">
      <c r="B162" s="55"/>
      <c r="D162" s="61"/>
      <c r="E162" s="62"/>
      <c r="F162" s="63"/>
      <c r="G162" s="67"/>
      <c r="H162" s="68"/>
      <c r="I162" s="30" t="str">
        <f t="shared" si="30"/>
        <v/>
      </c>
      <c r="J162" s="30"/>
      <c r="K162" s="30" t="str">
        <f t="shared" si="31"/>
        <v/>
      </c>
      <c r="L162" s="30"/>
      <c r="M162" s="28"/>
      <c r="N162" s="28"/>
      <c r="O162" s="30"/>
      <c r="P162" s="28"/>
      <c r="Q162" s="28"/>
      <c r="R162" s="28"/>
      <c r="S162" s="28"/>
      <c r="T162" s="28"/>
      <c r="U162" s="28"/>
      <c r="V162" s="28"/>
      <c r="W162" s="28"/>
      <c r="X162" s="28"/>
      <c r="Y162" s="35"/>
      <c r="Z162" s="35"/>
      <c r="AA162" s="30"/>
      <c r="AB162" s="30"/>
      <c r="AC162" s="29"/>
      <c r="AD162" s="30"/>
    </row>
    <row r="163" spans="2:30" ht="12.75" hidden="1" customHeight="1" x14ac:dyDescent="0.2">
      <c r="B163" s="55"/>
      <c r="D163" s="61"/>
      <c r="E163" s="62"/>
      <c r="F163" s="63"/>
      <c r="G163" s="67"/>
      <c r="H163" s="68"/>
      <c r="I163" s="30" t="str">
        <f t="shared" si="30"/>
        <v/>
      </c>
      <c r="J163" s="30"/>
      <c r="K163" s="30" t="str">
        <f t="shared" si="31"/>
        <v/>
      </c>
      <c r="L163" s="30"/>
      <c r="M163" s="28"/>
      <c r="N163" s="28"/>
      <c r="O163" s="30"/>
      <c r="P163" s="28"/>
      <c r="Q163" s="28"/>
      <c r="R163" s="28"/>
      <c r="S163" s="28"/>
      <c r="T163" s="28"/>
      <c r="U163" s="28"/>
      <c r="V163" s="28"/>
      <c r="W163" s="28"/>
      <c r="X163" s="28"/>
      <c r="Y163" s="35"/>
      <c r="Z163" s="35"/>
      <c r="AA163" s="30"/>
      <c r="AB163" s="30"/>
      <c r="AC163" s="29"/>
      <c r="AD163" s="30"/>
    </row>
    <row r="164" spans="2:30" ht="12.75" hidden="1" customHeight="1" x14ac:dyDescent="0.2">
      <c r="B164" s="55"/>
      <c r="D164" s="61"/>
      <c r="E164" s="62"/>
      <c r="F164" s="63"/>
      <c r="G164" s="67"/>
      <c r="H164" s="68"/>
      <c r="I164" s="40" t="str">
        <f t="shared" si="30"/>
        <v/>
      </c>
      <c r="J164" s="40"/>
      <c r="K164" s="40" t="str">
        <f t="shared" si="31"/>
        <v/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1"/>
      <c r="Z164" s="41"/>
      <c r="AA164" s="40"/>
      <c r="AB164" s="40"/>
      <c r="AC164" s="41"/>
      <c r="AD164" s="40"/>
    </row>
    <row r="165" spans="2:30" ht="12.75" hidden="1" customHeight="1" x14ac:dyDescent="0.2">
      <c r="B165" s="55"/>
      <c r="D165" s="61"/>
      <c r="E165" s="62"/>
      <c r="F165" s="63"/>
      <c r="G165" s="67"/>
      <c r="H165" s="68"/>
      <c r="I165" s="40" t="str">
        <f t="shared" si="30"/>
        <v/>
      </c>
      <c r="J165" s="40"/>
      <c r="K165" s="40" t="str">
        <f t="shared" si="31"/>
        <v/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1"/>
      <c r="Z165" s="41"/>
      <c r="AA165" s="40"/>
      <c r="AB165" s="40"/>
      <c r="AC165" s="41"/>
      <c r="AD165" s="40"/>
    </row>
    <row r="166" spans="2:30" ht="12.75" hidden="1" customHeight="1" x14ac:dyDescent="0.2">
      <c r="B166" s="55"/>
      <c r="D166" s="61"/>
      <c r="E166" s="62"/>
      <c r="F166" s="63"/>
      <c r="G166" s="67"/>
      <c r="H166" s="68"/>
      <c r="I166" s="40" t="str">
        <f t="shared" si="30"/>
        <v/>
      </c>
      <c r="J166" s="40"/>
      <c r="K166" s="40" t="str">
        <f t="shared" si="31"/>
        <v/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1"/>
      <c r="Z166" s="41"/>
      <c r="AA166" s="40"/>
      <c r="AB166" s="40"/>
      <c r="AC166" s="41"/>
      <c r="AD166" s="40"/>
    </row>
    <row r="167" spans="2:30" ht="12.75" hidden="1" customHeight="1" thickBot="1" x14ac:dyDescent="0.25">
      <c r="B167" s="56"/>
      <c r="D167" s="64"/>
      <c r="E167" s="65"/>
      <c r="F167" s="66"/>
      <c r="G167" s="69"/>
      <c r="H167" s="70"/>
      <c r="I167" s="38" t="str">
        <f t="shared" si="30"/>
        <v/>
      </c>
      <c r="J167" s="40"/>
      <c r="K167" s="40" t="str">
        <f t="shared" si="31"/>
        <v/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1"/>
      <c r="Z167" s="41"/>
      <c r="AA167" s="40"/>
      <c r="AB167" s="40"/>
      <c r="AC167" s="41"/>
      <c r="AD167" s="40"/>
    </row>
    <row r="168" spans="2:30" ht="12.75" customHeight="1" thickBot="1" x14ac:dyDescent="0.25">
      <c r="D168" s="118" t="s">
        <v>4</v>
      </c>
      <c r="E168" s="119"/>
      <c r="F168" s="119"/>
      <c r="G168" s="119"/>
      <c r="H168" s="119"/>
      <c r="I168" s="119"/>
      <c r="J168" s="119"/>
      <c r="K168" s="119"/>
      <c r="L168" s="120"/>
      <c r="M168" s="44" t="str">
        <f>IF(M91="","",IF(M108="","",IF(SUM(M109:M167)&lt;&gt;0,SUM(M109:M167),"")))</f>
        <v/>
      </c>
      <c r="N168" s="44">
        <f t="shared" ref="N168:AD168" si="32">IF(N91="","",IF(N108="","",IF(SUM(N109:N167)&lt;&gt;0,SUM(N109:N167),"")))</f>
        <v>330.95931111111111</v>
      </c>
      <c r="O168" s="44" t="str">
        <f t="shared" si="32"/>
        <v/>
      </c>
      <c r="P168" s="44">
        <f t="shared" si="32"/>
        <v>862.63446666666664</v>
      </c>
      <c r="Q168" s="44" t="str">
        <f t="shared" si="32"/>
        <v/>
      </c>
      <c r="R168" s="44" t="str">
        <f t="shared" si="32"/>
        <v/>
      </c>
      <c r="S168" s="44" t="str">
        <f t="shared" si="32"/>
        <v/>
      </c>
      <c r="T168" s="44" t="str">
        <f t="shared" si="32"/>
        <v/>
      </c>
      <c r="U168" s="44" t="str">
        <f t="shared" si="32"/>
        <v/>
      </c>
      <c r="V168" s="44" t="str">
        <f t="shared" si="32"/>
        <v/>
      </c>
      <c r="W168" s="44" t="str">
        <f t="shared" si="32"/>
        <v/>
      </c>
      <c r="X168" s="44" t="str">
        <f t="shared" si="32"/>
        <v/>
      </c>
      <c r="Y168" s="44" t="str">
        <f t="shared" si="32"/>
        <v/>
      </c>
      <c r="Z168" s="44" t="str">
        <f t="shared" si="32"/>
        <v/>
      </c>
      <c r="AA168" s="44" t="str">
        <f t="shared" si="32"/>
        <v/>
      </c>
      <c r="AB168" s="44" t="str">
        <f t="shared" si="32"/>
        <v/>
      </c>
      <c r="AC168" s="44" t="str">
        <f t="shared" si="32"/>
        <v/>
      </c>
      <c r="AD168" s="44" t="str">
        <f t="shared" si="32"/>
        <v/>
      </c>
    </row>
    <row r="169" spans="2:30" ht="12.75" customHeight="1" x14ac:dyDescent="0.2">
      <c r="B169" s="6" t="s">
        <v>19</v>
      </c>
      <c r="D169" s="105" t="s">
        <v>5</v>
      </c>
      <c r="E169" s="106"/>
      <c r="F169" s="106"/>
      <c r="G169" s="106"/>
      <c r="H169" s="106"/>
      <c r="I169" s="106"/>
      <c r="J169" s="106"/>
      <c r="K169" s="106"/>
      <c r="L169" s="107"/>
      <c r="M169" s="45" t="str">
        <f>IF(M91="","",IF(M108="",IF(SUM(COUNTIF(M109:M167,"LS")+COUNTIF(M109:M167,"LUMP"))&gt;0,"LS",""),IF(M168&lt;&gt;"",ROUNDUP(M168,0),"")))</f>
        <v/>
      </c>
      <c r="N169" s="45">
        <f t="shared" ref="N169:AD169" si="33">IF(N91="","",IF(N108="",IF(SUM(COUNTIF(N109:N167,"LS")+COUNTIF(N109:N167,"LUMP"))&gt;0,"LS",""),IF(N168&lt;&gt;"",ROUNDUP(N168,0),"")))</f>
        <v>331</v>
      </c>
      <c r="O169" s="45" t="str">
        <f t="shared" si="33"/>
        <v/>
      </c>
      <c r="P169" s="45">
        <f t="shared" si="33"/>
        <v>863</v>
      </c>
      <c r="Q169" s="45" t="str">
        <f t="shared" si="33"/>
        <v/>
      </c>
      <c r="R169" s="45" t="str">
        <f t="shared" si="33"/>
        <v/>
      </c>
      <c r="S169" s="45" t="str">
        <f t="shared" si="33"/>
        <v/>
      </c>
      <c r="T169" s="45" t="str">
        <f t="shared" si="33"/>
        <v/>
      </c>
      <c r="U169" s="45" t="str">
        <f t="shared" si="33"/>
        <v/>
      </c>
      <c r="V169" s="45" t="str">
        <f t="shared" si="33"/>
        <v/>
      </c>
      <c r="W169" s="45" t="str">
        <f t="shared" si="33"/>
        <v/>
      </c>
      <c r="X169" s="45" t="str">
        <f t="shared" si="33"/>
        <v/>
      </c>
      <c r="Y169" s="45" t="str">
        <f t="shared" si="33"/>
        <v/>
      </c>
      <c r="Z169" s="45" t="str">
        <f t="shared" si="33"/>
        <v/>
      </c>
      <c r="AA169" s="45" t="str">
        <f t="shared" si="33"/>
        <v/>
      </c>
      <c r="AB169" s="45" t="str">
        <f t="shared" si="33"/>
        <v/>
      </c>
      <c r="AC169" s="45" t="str">
        <f t="shared" si="33"/>
        <v/>
      </c>
      <c r="AD169" s="45" t="str">
        <f t="shared" si="33"/>
        <v/>
      </c>
    </row>
    <row r="170" spans="2:30" ht="12.75" customHeight="1" thickBot="1" x14ac:dyDescent="0.25"/>
    <row r="171" spans="2:30" ht="12.75" customHeight="1" thickBot="1" x14ac:dyDescent="0.25">
      <c r="B171" s="52" t="s">
        <v>17</v>
      </c>
      <c r="D171" s="74">
        <f>D90+1</f>
        <v>3</v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15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16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108" t="s">
        <v>18</v>
      </c>
      <c r="D176" s="75" t="s">
        <v>2</v>
      </c>
      <c r="E176" s="76"/>
      <c r="F176" s="77"/>
      <c r="G176" s="111" t="s">
        <v>9</v>
      </c>
      <c r="H176" s="93" t="s">
        <v>0</v>
      </c>
      <c r="I176" s="93" t="s">
        <v>10</v>
      </c>
      <c r="J176" s="93" t="s">
        <v>30</v>
      </c>
      <c r="K176" s="93" t="s">
        <v>29</v>
      </c>
      <c r="L176" s="93" t="s">
        <v>3</v>
      </c>
      <c r="M176" s="20" t="str">
        <f t="shared" ref="M176:AD176" si="34">IF(OR(TRIM(M172)=0,TRIM(M172)=""),"",IF(IFERROR(TRIM(INDEX(QryItemNamed,MATCH(TRIM(M172),ITEM,0),2)),"")="Y","SPECIAL",LEFT(IFERROR(TRIM(INDEX(ITEM,MATCH(TRIM(M172),ITEM,0))),""),3)))</f>
        <v/>
      </c>
      <c r="N176" s="20" t="str">
        <f t="shared" si="34"/>
        <v/>
      </c>
      <c r="O176" s="20" t="str">
        <f t="shared" si="34"/>
        <v/>
      </c>
      <c r="P176" s="20" t="str">
        <f t="shared" si="34"/>
        <v/>
      </c>
      <c r="Q176" s="20" t="str">
        <f t="shared" si="34"/>
        <v/>
      </c>
      <c r="R176" s="20" t="str">
        <f t="shared" si="34"/>
        <v/>
      </c>
      <c r="S176" s="20" t="str">
        <f t="shared" si="34"/>
        <v/>
      </c>
      <c r="T176" s="20" t="str">
        <f t="shared" si="34"/>
        <v/>
      </c>
      <c r="U176" s="20" t="str">
        <f t="shared" si="34"/>
        <v/>
      </c>
      <c r="V176" s="20" t="str">
        <f t="shared" si="34"/>
        <v/>
      </c>
      <c r="W176" s="20" t="str">
        <f t="shared" si="34"/>
        <v/>
      </c>
      <c r="X176" s="20" t="str">
        <f t="shared" si="34"/>
        <v/>
      </c>
      <c r="Y176" s="20" t="str">
        <f t="shared" si="34"/>
        <v/>
      </c>
      <c r="Z176" s="20" t="str">
        <f t="shared" si="34"/>
        <v/>
      </c>
      <c r="AA176" s="20" t="str">
        <f t="shared" si="34"/>
        <v/>
      </c>
      <c r="AB176" s="20" t="str">
        <f t="shared" si="34"/>
        <v/>
      </c>
      <c r="AC176" s="20" t="str">
        <f t="shared" si="34"/>
        <v/>
      </c>
      <c r="AD176" s="20" t="str">
        <f t="shared" si="34"/>
        <v/>
      </c>
    </row>
    <row r="177" spans="2:30" ht="12.75" customHeight="1" x14ac:dyDescent="0.2">
      <c r="B177" s="109"/>
      <c r="D177" s="78"/>
      <c r="E177" s="79"/>
      <c r="F177" s="80"/>
      <c r="G177" s="112"/>
      <c r="H177" s="94"/>
      <c r="I177" s="94"/>
      <c r="J177" s="94"/>
      <c r="K177" s="94"/>
      <c r="L177" s="94"/>
      <c r="M177" s="81" t="str">
        <f t="shared" ref="M177:AD177" si="35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81" t="str">
        <f t="shared" si="35"/>
        <v/>
      </c>
      <c r="O177" s="81" t="str">
        <f t="shared" si="35"/>
        <v/>
      </c>
      <c r="P177" s="81" t="str">
        <f t="shared" si="35"/>
        <v/>
      </c>
      <c r="Q177" s="81" t="str">
        <f t="shared" si="35"/>
        <v/>
      </c>
      <c r="R177" s="81" t="str">
        <f t="shared" si="35"/>
        <v/>
      </c>
      <c r="S177" s="81" t="str">
        <f t="shared" si="35"/>
        <v/>
      </c>
      <c r="T177" s="81" t="str">
        <f t="shared" si="35"/>
        <v/>
      </c>
      <c r="U177" s="81" t="str">
        <f t="shared" si="35"/>
        <v/>
      </c>
      <c r="V177" s="81" t="str">
        <f t="shared" si="35"/>
        <v/>
      </c>
      <c r="W177" s="81" t="str">
        <f t="shared" si="35"/>
        <v/>
      </c>
      <c r="X177" s="81" t="str">
        <f t="shared" si="35"/>
        <v/>
      </c>
      <c r="Y177" s="81" t="str">
        <f t="shared" si="35"/>
        <v/>
      </c>
      <c r="Z177" s="81" t="str">
        <f t="shared" si="35"/>
        <v/>
      </c>
      <c r="AA177" s="81" t="str">
        <f t="shared" si="35"/>
        <v/>
      </c>
      <c r="AB177" s="81" t="str">
        <f t="shared" si="35"/>
        <v/>
      </c>
      <c r="AC177" s="81" t="str">
        <f t="shared" si="35"/>
        <v/>
      </c>
      <c r="AD177" s="81" t="str">
        <f t="shared" si="35"/>
        <v/>
      </c>
    </row>
    <row r="178" spans="2:30" ht="12.75" customHeight="1" x14ac:dyDescent="0.2">
      <c r="B178" s="109"/>
      <c r="D178" s="78"/>
      <c r="E178" s="79"/>
      <c r="F178" s="80"/>
      <c r="G178" s="112"/>
      <c r="H178" s="94"/>
      <c r="I178" s="94"/>
      <c r="J178" s="94"/>
      <c r="K178" s="94"/>
      <c r="L178" s="94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</row>
    <row r="179" spans="2:30" ht="12.75" customHeight="1" x14ac:dyDescent="0.2">
      <c r="B179" s="109"/>
      <c r="D179" s="78"/>
      <c r="E179" s="79"/>
      <c r="F179" s="80"/>
      <c r="G179" s="112"/>
      <c r="H179" s="94"/>
      <c r="I179" s="94"/>
      <c r="J179" s="94"/>
      <c r="K179" s="94"/>
      <c r="L179" s="94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</row>
    <row r="180" spans="2:30" ht="12.75" customHeight="1" x14ac:dyDescent="0.2">
      <c r="B180" s="109"/>
      <c r="D180" s="78"/>
      <c r="E180" s="79"/>
      <c r="F180" s="80"/>
      <c r="G180" s="112"/>
      <c r="H180" s="94"/>
      <c r="I180" s="94"/>
      <c r="J180" s="94"/>
      <c r="K180" s="94"/>
      <c r="L180" s="94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</row>
    <row r="181" spans="2:30" ht="12.75" customHeight="1" x14ac:dyDescent="0.2">
      <c r="B181" s="109"/>
      <c r="D181" s="78"/>
      <c r="E181" s="79"/>
      <c r="F181" s="80"/>
      <c r="G181" s="112"/>
      <c r="H181" s="94"/>
      <c r="I181" s="94"/>
      <c r="J181" s="94"/>
      <c r="K181" s="94"/>
      <c r="L181" s="94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</row>
    <row r="182" spans="2:30" ht="12.75" customHeight="1" x14ac:dyDescent="0.2">
      <c r="B182" s="109"/>
      <c r="D182" s="78"/>
      <c r="E182" s="79"/>
      <c r="F182" s="80"/>
      <c r="G182" s="112"/>
      <c r="H182" s="94"/>
      <c r="I182" s="94"/>
      <c r="J182" s="94"/>
      <c r="K182" s="94"/>
      <c r="L182" s="94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</row>
    <row r="183" spans="2:30" ht="12.75" customHeight="1" x14ac:dyDescent="0.2">
      <c r="B183" s="109"/>
      <c r="D183" s="78"/>
      <c r="E183" s="79"/>
      <c r="F183" s="80"/>
      <c r="G183" s="112"/>
      <c r="H183" s="94"/>
      <c r="I183" s="94"/>
      <c r="J183" s="94"/>
      <c r="K183" s="94"/>
      <c r="L183" s="94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</row>
    <row r="184" spans="2:30" ht="12.75" customHeight="1" x14ac:dyDescent="0.2">
      <c r="B184" s="109"/>
      <c r="D184" s="78"/>
      <c r="E184" s="79"/>
      <c r="F184" s="80"/>
      <c r="G184" s="112"/>
      <c r="H184" s="94"/>
      <c r="I184" s="94"/>
      <c r="J184" s="94"/>
      <c r="K184" s="94"/>
      <c r="L184" s="94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</row>
    <row r="185" spans="2:30" ht="12.75" customHeight="1" x14ac:dyDescent="0.2">
      <c r="B185" s="109"/>
      <c r="D185" s="78"/>
      <c r="E185" s="79"/>
      <c r="F185" s="80"/>
      <c r="G185" s="112"/>
      <c r="H185" s="94"/>
      <c r="I185" s="94"/>
      <c r="J185" s="94"/>
      <c r="K185" s="94"/>
      <c r="L185" s="94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</row>
    <row r="186" spans="2:30" ht="12.75" customHeight="1" x14ac:dyDescent="0.2">
      <c r="B186" s="109"/>
      <c r="D186" s="78"/>
      <c r="E186" s="79"/>
      <c r="F186" s="80"/>
      <c r="G186" s="112"/>
      <c r="H186" s="94"/>
      <c r="I186" s="94"/>
      <c r="J186" s="94"/>
      <c r="K186" s="94"/>
      <c r="L186" s="94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</row>
    <row r="187" spans="2:30" ht="12.75" customHeight="1" x14ac:dyDescent="0.2">
      <c r="B187" s="109"/>
      <c r="D187" s="78"/>
      <c r="E187" s="79"/>
      <c r="F187" s="80"/>
      <c r="G187" s="112"/>
      <c r="H187" s="94"/>
      <c r="I187" s="94"/>
      <c r="J187" s="94"/>
      <c r="K187" s="94"/>
      <c r="L187" s="94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</row>
    <row r="188" spans="2:30" ht="12.75" customHeight="1" x14ac:dyDescent="0.2">
      <c r="B188" s="109"/>
      <c r="D188" s="78"/>
      <c r="E188" s="79"/>
      <c r="F188" s="80"/>
      <c r="G188" s="112"/>
      <c r="H188" s="94"/>
      <c r="I188" s="94"/>
      <c r="J188" s="94"/>
      <c r="K188" s="94"/>
      <c r="L188" s="94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2:30" ht="12.75" customHeight="1" thickBot="1" x14ac:dyDescent="0.25">
      <c r="B189" s="110"/>
      <c r="D189" s="117"/>
      <c r="E189" s="117"/>
      <c r="F189" s="117"/>
      <c r="G189" s="21"/>
      <c r="H189" s="22"/>
      <c r="I189" s="23" t="s">
        <v>6</v>
      </c>
      <c r="J189" s="23" t="s">
        <v>6</v>
      </c>
      <c r="K189" s="23" t="s">
        <v>28</v>
      </c>
      <c r="L189" s="23" t="s">
        <v>28</v>
      </c>
      <c r="M189" s="23" t="str">
        <f t="shared" ref="M189:AD189" si="36">IF(OR(TRIM(M172)=0,TRIM(M172)=""),"",IF(IFERROR(TRIM(INDEX(QryItemNamed,MATCH(TRIM(M172),ITEM,0),3)),"")="LS","",IFERROR(TRIM(INDEX(QryItemNamed,MATCH(TRIM(M172),ITEM,0),3)),"")))</f>
        <v/>
      </c>
      <c r="N189" s="23" t="str">
        <f t="shared" si="36"/>
        <v/>
      </c>
      <c r="O189" s="23" t="str">
        <f t="shared" si="36"/>
        <v/>
      </c>
      <c r="P189" s="23" t="str">
        <f t="shared" si="36"/>
        <v/>
      </c>
      <c r="Q189" s="23" t="str">
        <f t="shared" si="36"/>
        <v/>
      </c>
      <c r="R189" s="23" t="str">
        <f t="shared" si="36"/>
        <v/>
      </c>
      <c r="S189" s="23" t="str">
        <f t="shared" si="36"/>
        <v/>
      </c>
      <c r="T189" s="23" t="str">
        <f t="shared" si="36"/>
        <v/>
      </c>
      <c r="U189" s="23" t="str">
        <f t="shared" si="36"/>
        <v/>
      </c>
      <c r="V189" s="23" t="str">
        <f t="shared" si="36"/>
        <v/>
      </c>
      <c r="W189" s="23" t="str">
        <f t="shared" si="36"/>
        <v/>
      </c>
      <c r="X189" s="23" t="str">
        <f t="shared" si="36"/>
        <v/>
      </c>
      <c r="Y189" s="23" t="str">
        <f t="shared" si="36"/>
        <v/>
      </c>
      <c r="Z189" s="23" t="str">
        <f t="shared" si="36"/>
        <v/>
      </c>
      <c r="AA189" s="23" t="str">
        <f t="shared" si="36"/>
        <v/>
      </c>
      <c r="AB189" s="23" t="str">
        <f t="shared" si="36"/>
        <v/>
      </c>
      <c r="AC189" s="23" t="str">
        <f t="shared" si="36"/>
        <v/>
      </c>
      <c r="AD189" s="23" t="str">
        <f t="shared" si="36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37">IF(D191&lt;&gt;"",F191-D191,"")</f>
        <v/>
      </c>
      <c r="J191" s="28"/>
      <c r="K191" s="28" t="str">
        <f t="shared" ref="K191:K248" si="38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37"/>
        <v/>
      </c>
      <c r="J192" s="30"/>
      <c r="K192" s="30" t="str">
        <f t="shared" si="38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37"/>
        <v/>
      </c>
      <c r="J193" s="30"/>
      <c r="K193" s="30" t="str">
        <f t="shared" si="38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37"/>
        <v/>
      </c>
      <c r="J194" s="30"/>
      <c r="K194" s="30" t="str">
        <f t="shared" si="38"/>
        <v/>
      </c>
      <c r="L194" s="30"/>
      <c r="M194" s="28"/>
      <c r="N194" s="28"/>
      <c r="O194" s="30"/>
      <c r="P194" s="28"/>
      <c r="Q194" s="28"/>
      <c r="R194" s="28"/>
      <c r="S194" s="28"/>
      <c r="T194" s="28"/>
      <c r="U194" s="28"/>
      <c r="V194" s="28"/>
      <c r="W194" s="28"/>
      <c r="X194" s="28"/>
      <c r="Y194" s="35"/>
      <c r="Z194" s="35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37"/>
        <v/>
      </c>
      <c r="J195" s="30"/>
      <c r="K195" s="30" t="str">
        <f t="shared" si="38"/>
        <v/>
      </c>
      <c r="L195" s="30"/>
      <c r="M195" s="28"/>
      <c r="N195" s="28"/>
      <c r="O195" s="30"/>
      <c r="P195" s="28"/>
      <c r="Q195" s="28"/>
      <c r="R195" s="28"/>
      <c r="S195" s="28"/>
      <c r="T195" s="28"/>
      <c r="U195" s="28"/>
      <c r="V195" s="28"/>
      <c r="W195" s="30"/>
      <c r="X195" s="28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37"/>
        <v/>
      </c>
      <c r="J196" s="30"/>
      <c r="K196" s="30" t="str">
        <f t="shared" si="38"/>
        <v/>
      </c>
      <c r="L196" s="30"/>
      <c r="M196" s="28"/>
      <c r="N196" s="28"/>
      <c r="O196" s="30"/>
      <c r="P196" s="28"/>
      <c r="Q196" s="28"/>
      <c r="R196" s="28"/>
      <c r="S196" s="28"/>
      <c r="T196" s="28"/>
      <c r="U196" s="28"/>
      <c r="V196" s="28"/>
      <c r="W196" s="30"/>
      <c r="X196" s="28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37"/>
        <v/>
      </c>
      <c r="J197" s="30"/>
      <c r="K197" s="30" t="str">
        <f t="shared" si="38"/>
        <v/>
      </c>
      <c r="L197" s="30"/>
      <c r="M197" s="28"/>
      <c r="N197" s="28"/>
      <c r="O197" s="30"/>
      <c r="P197" s="28"/>
      <c r="Q197" s="28"/>
      <c r="R197" s="28"/>
      <c r="S197" s="28"/>
      <c r="T197" s="28"/>
      <c r="U197" s="28"/>
      <c r="V197" s="28"/>
      <c r="W197" s="30"/>
      <c r="X197" s="28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37"/>
        <v/>
      </c>
      <c r="J198" s="30"/>
      <c r="K198" s="30" t="str">
        <f t="shared" si="38"/>
        <v/>
      </c>
      <c r="L198" s="30"/>
      <c r="M198" s="28"/>
      <c r="N198" s="28"/>
      <c r="O198" s="30"/>
      <c r="P198" s="28"/>
      <c r="Q198" s="28"/>
      <c r="R198" s="28"/>
      <c r="S198" s="28"/>
      <c r="T198" s="28"/>
      <c r="U198" s="28"/>
      <c r="V198" s="28"/>
      <c r="W198" s="30"/>
      <c r="X198" s="28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37"/>
        <v/>
      </c>
      <c r="J199" s="30"/>
      <c r="K199" s="30" t="str">
        <f t="shared" si="38"/>
        <v/>
      </c>
      <c r="L199" s="30"/>
      <c r="M199" s="28"/>
      <c r="N199" s="28"/>
      <c r="O199" s="30"/>
      <c r="P199" s="28"/>
      <c r="Q199" s="28"/>
      <c r="R199" s="28"/>
      <c r="S199" s="28"/>
      <c r="T199" s="28"/>
      <c r="U199" s="28"/>
      <c r="V199" s="28"/>
      <c r="W199" s="30"/>
      <c r="X199" s="28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37"/>
        <v/>
      </c>
      <c r="J200" s="30"/>
      <c r="K200" s="30" t="str">
        <f t="shared" si="38"/>
        <v/>
      </c>
      <c r="L200" s="30"/>
      <c r="M200" s="28"/>
      <c r="N200" s="28"/>
      <c r="O200" s="30"/>
      <c r="P200" s="28"/>
      <c r="Q200" s="28"/>
      <c r="R200" s="28"/>
      <c r="S200" s="28"/>
      <c r="T200" s="28"/>
      <c r="U200" s="28"/>
      <c r="V200" s="28"/>
      <c r="W200" s="30"/>
      <c r="X200" s="28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37"/>
        <v/>
      </c>
      <c r="J201" s="30"/>
      <c r="K201" s="30" t="str">
        <f t="shared" si="38"/>
        <v/>
      </c>
      <c r="L201" s="30"/>
      <c r="M201" s="28"/>
      <c r="N201" s="28"/>
      <c r="O201" s="30"/>
      <c r="P201" s="28"/>
      <c r="Q201" s="28"/>
      <c r="R201" s="28"/>
      <c r="S201" s="28"/>
      <c r="T201" s="28"/>
      <c r="U201" s="28"/>
      <c r="V201" s="28"/>
      <c r="W201" s="30"/>
      <c r="X201" s="28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37"/>
        <v/>
      </c>
      <c r="J202" s="30"/>
      <c r="K202" s="30" t="str">
        <f t="shared" si="38"/>
        <v/>
      </c>
      <c r="L202" s="30"/>
      <c r="M202" s="28"/>
      <c r="N202" s="28"/>
      <c r="O202" s="30"/>
      <c r="P202" s="28"/>
      <c r="Q202" s="28"/>
      <c r="R202" s="28"/>
      <c r="S202" s="28"/>
      <c r="T202" s="28"/>
      <c r="U202" s="28"/>
      <c r="V202" s="28"/>
      <c r="W202" s="30"/>
      <c r="X202" s="28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37"/>
        <v/>
      </c>
      <c r="J203" s="30"/>
      <c r="K203" s="30" t="str">
        <f t="shared" si="38"/>
        <v/>
      </c>
      <c r="L203" s="30"/>
      <c r="M203" s="28"/>
      <c r="N203" s="28"/>
      <c r="O203" s="30"/>
      <c r="P203" s="28"/>
      <c r="Q203" s="28"/>
      <c r="R203" s="28"/>
      <c r="S203" s="28"/>
      <c r="T203" s="28"/>
      <c r="U203" s="28"/>
      <c r="V203" s="28"/>
      <c r="W203" s="30"/>
      <c r="X203" s="28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37"/>
        <v/>
      </c>
      <c r="J204" s="30"/>
      <c r="K204" s="30" t="str">
        <f t="shared" si="38"/>
        <v/>
      </c>
      <c r="L204" s="30"/>
      <c r="M204" s="28"/>
      <c r="N204" s="28"/>
      <c r="O204" s="30"/>
      <c r="P204" s="28"/>
      <c r="Q204" s="28"/>
      <c r="R204" s="28"/>
      <c r="S204" s="28"/>
      <c r="T204" s="28"/>
      <c r="U204" s="28"/>
      <c r="V204" s="28"/>
      <c r="W204" s="30"/>
      <c r="X204" s="28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37"/>
        <v/>
      </c>
      <c r="J205" s="30"/>
      <c r="K205" s="30" t="str">
        <f t="shared" si="38"/>
        <v/>
      </c>
      <c r="L205" s="30"/>
      <c r="M205" s="28"/>
      <c r="N205" s="28"/>
      <c r="O205" s="30"/>
      <c r="P205" s="28"/>
      <c r="Q205" s="28"/>
      <c r="R205" s="28"/>
      <c r="S205" s="28"/>
      <c r="T205" s="28"/>
      <c r="U205" s="28"/>
      <c r="V205" s="28"/>
      <c r="W205" s="30"/>
      <c r="X205" s="28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37"/>
        <v/>
      </c>
      <c r="J206" s="30"/>
      <c r="K206" s="30" t="str">
        <f t="shared" si="38"/>
        <v/>
      </c>
      <c r="L206" s="30"/>
      <c r="M206" s="28"/>
      <c r="N206" s="28"/>
      <c r="O206" s="30"/>
      <c r="P206" s="28"/>
      <c r="Q206" s="28"/>
      <c r="R206" s="28"/>
      <c r="S206" s="28"/>
      <c r="T206" s="28"/>
      <c r="U206" s="28"/>
      <c r="V206" s="28"/>
      <c r="W206" s="30"/>
      <c r="X206" s="28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37"/>
        <v/>
      </c>
      <c r="J207" s="30"/>
      <c r="K207" s="30" t="str">
        <f t="shared" si="38"/>
        <v/>
      </c>
      <c r="L207" s="30"/>
      <c r="M207" s="28"/>
      <c r="N207" s="28"/>
      <c r="O207" s="30"/>
      <c r="P207" s="28"/>
      <c r="Q207" s="28"/>
      <c r="R207" s="28"/>
      <c r="S207" s="28"/>
      <c r="T207" s="28"/>
      <c r="U207" s="28"/>
      <c r="V207" s="28"/>
      <c r="W207" s="30"/>
      <c r="X207" s="28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37"/>
        <v/>
      </c>
      <c r="J208" s="30"/>
      <c r="K208" s="30" t="str">
        <f t="shared" si="38"/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28"/>
      <c r="V208" s="28"/>
      <c r="W208" s="30"/>
      <c r="X208" s="28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37"/>
        <v/>
      </c>
      <c r="J209" s="30"/>
      <c r="K209" s="30" t="str">
        <f t="shared" si="38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28"/>
      <c r="V209" s="28"/>
      <c r="W209" s="30"/>
      <c r="X209" s="28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37"/>
        <v/>
      </c>
      <c r="J210" s="30"/>
      <c r="K210" s="30" t="str">
        <f t="shared" si="38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28"/>
      <c r="V210" s="28"/>
      <c r="W210" s="30"/>
      <c r="X210" s="28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37"/>
        <v/>
      </c>
      <c r="J211" s="30"/>
      <c r="K211" s="30" t="str">
        <f t="shared" si="38"/>
        <v/>
      </c>
      <c r="L211" s="30"/>
      <c r="M211" s="28"/>
      <c r="N211" s="28"/>
      <c r="O211" s="30"/>
      <c r="P211" s="28"/>
      <c r="Q211" s="28"/>
      <c r="R211" s="28"/>
      <c r="S211" s="28"/>
      <c r="T211" s="28"/>
      <c r="U211" s="28"/>
      <c r="V211" s="28"/>
      <c r="W211" s="30"/>
      <c r="X211" s="28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37"/>
        <v/>
      </c>
      <c r="J212" s="30"/>
      <c r="K212" s="30" t="str">
        <f t="shared" si="38"/>
        <v/>
      </c>
      <c r="L212" s="30"/>
      <c r="M212" s="28"/>
      <c r="N212" s="28"/>
      <c r="O212" s="30"/>
      <c r="P212" s="28"/>
      <c r="Q212" s="28"/>
      <c r="R212" s="28"/>
      <c r="S212" s="28"/>
      <c r="T212" s="28"/>
      <c r="U212" s="28"/>
      <c r="V212" s="28"/>
      <c r="W212" s="30"/>
      <c r="X212" s="28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37"/>
        <v/>
      </c>
      <c r="J213" s="30"/>
      <c r="K213" s="30" t="str">
        <f t="shared" si="38"/>
        <v/>
      </c>
      <c r="L213" s="30"/>
      <c r="M213" s="28"/>
      <c r="N213" s="28"/>
      <c r="O213" s="30"/>
      <c r="P213" s="28"/>
      <c r="Q213" s="28"/>
      <c r="R213" s="28"/>
      <c r="S213" s="28"/>
      <c r="T213" s="28"/>
      <c r="U213" s="28"/>
      <c r="V213" s="28"/>
      <c r="W213" s="30"/>
      <c r="X213" s="28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37"/>
        <v/>
      </c>
      <c r="J214" s="30"/>
      <c r="K214" s="30" t="str">
        <f t="shared" si="38"/>
        <v/>
      </c>
      <c r="L214" s="30"/>
      <c r="M214" s="28"/>
      <c r="N214" s="28"/>
      <c r="O214" s="30"/>
      <c r="P214" s="28"/>
      <c r="Q214" s="28"/>
      <c r="R214" s="28"/>
      <c r="S214" s="28"/>
      <c r="T214" s="28"/>
      <c r="U214" s="28"/>
      <c r="V214" s="28"/>
      <c r="W214" s="30"/>
      <c r="X214" s="28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37"/>
        <v/>
      </c>
      <c r="J215" s="30"/>
      <c r="K215" s="30" t="str">
        <f t="shared" si="38"/>
        <v/>
      </c>
      <c r="L215" s="30"/>
      <c r="M215" s="28"/>
      <c r="N215" s="28"/>
      <c r="O215" s="30"/>
      <c r="P215" s="28"/>
      <c r="Q215" s="28"/>
      <c r="R215" s="28"/>
      <c r="S215" s="28"/>
      <c r="T215" s="28"/>
      <c r="U215" s="28"/>
      <c r="V215" s="28"/>
      <c r="W215" s="28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37"/>
        <v/>
      </c>
      <c r="J216" s="30"/>
      <c r="K216" s="30" t="str">
        <f t="shared" si="38"/>
        <v/>
      </c>
      <c r="L216" s="30"/>
      <c r="M216" s="28"/>
      <c r="N216" s="28"/>
      <c r="O216" s="30"/>
      <c r="P216" s="28"/>
      <c r="Q216" s="28"/>
      <c r="R216" s="28"/>
      <c r="S216" s="28"/>
      <c r="T216" s="28"/>
      <c r="U216" s="28"/>
      <c r="V216" s="28"/>
      <c r="W216" s="30"/>
      <c r="X216" s="28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37"/>
        <v/>
      </c>
      <c r="J217" s="30"/>
      <c r="K217" s="30" t="str">
        <f t="shared" si="38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28"/>
      <c r="V217" s="28"/>
      <c r="W217" s="30"/>
      <c r="X217" s="28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37"/>
        <v/>
      </c>
      <c r="J218" s="30"/>
      <c r="K218" s="30" t="str">
        <f t="shared" si="38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28"/>
      <c r="V218" s="28"/>
      <c r="W218" s="30"/>
      <c r="X218" s="28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37"/>
        <v/>
      </c>
      <c r="J219" s="30"/>
      <c r="K219" s="30" t="str">
        <f t="shared" si="38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8"/>
      <c r="W219" s="28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37"/>
        <v/>
      </c>
      <c r="J220" s="30"/>
      <c r="K220" s="30" t="str">
        <f t="shared" si="38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37"/>
        <v/>
      </c>
      <c r="J221" s="30"/>
      <c r="K221" s="30" t="str">
        <f t="shared" si="38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37"/>
        <v/>
      </c>
      <c r="J222" s="30"/>
      <c r="K222" s="30" t="str">
        <f t="shared" si="38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37"/>
        <v/>
      </c>
      <c r="J223" s="30"/>
      <c r="K223" s="30" t="str">
        <f t="shared" si="38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37"/>
        <v/>
      </c>
      <c r="J224" s="30"/>
      <c r="K224" s="30" t="str">
        <f t="shared" si="38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8"/>
      <c r="W224" s="28"/>
      <c r="X224" s="28"/>
      <c r="Y224" s="35"/>
      <c r="Z224" s="35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37"/>
        <v/>
      </c>
      <c r="J225" s="30"/>
      <c r="K225" s="30" t="str">
        <f t="shared" si="38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28"/>
      <c r="W225" s="28"/>
      <c r="X225" s="30"/>
      <c r="Y225" s="35"/>
      <c r="Z225" s="35"/>
      <c r="AA225" s="30"/>
      <c r="AB225" s="30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37"/>
        <v/>
      </c>
      <c r="J226" s="30"/>
      <c r="K226" s="30" t="str">
        <f t="shared" si="38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30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37"/>
        <v/>
      </c>
      <c r="J227" s="30"/>
      <c r="K227" s="30" t="str">
        <f t="shared" si="38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0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37"/>
        <v/>
      </c>
      <c r="J228" s="30"/>
      <c r="K228" s="30" t="str">
        <f t="shared" si="38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0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37"/>
        <v/>
      </c>
      <c r="J229" s="30"/>
      <c r="K229" s="30" t="str">
        <f t="shared" si="38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0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37"/>
        <v/>
      </c>
      <c r="J230" s="30"/>
      <c r="K230" s="30" t="str">
        <f t="shared" si="38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0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37"/>
        <v/>
      </c>
      <c r="J231" s="30"/>
      <c r="K231" s="30" t="str">
        <f t="shared" si="38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37"/>
        <v/>
      </c>
      <c r="J232" s="30"/>
      <c r="K232" s="30" t="str">
        <f t="shared" si="38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37"/>
        <v/>
      </c>
      <c r="J233" s="30"/>
      <c r="K233" s="30" t="str">
        <f t="shared" si="38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37"/>
        <v/>
      </c>
      <c r="J234" s="30"/>
      <c r="K234" s="30" t="str">
        <f t="shared" si="38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37"/>
        <v/>
      </c>
      <c r="J235" s="30"/>
      <c r="K235" s="30" t="str">
        <f t="shared" si="38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37"/>
        <v/>
      </c>
      <c r="J236" s="30"/>
      <c r="K236" s="30" t="str">
        <f t="shared" si="38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5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37"/>
        <v/>
      </c>
      <c r="J237" s="30"/>
      <c r="K237" s="30" t="str">
        <f t="shared" si="38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37"/>
        <v/>
      </c>
      <c r="J238" s="30"/>
      <c r="K238" s="30" t="str">
        <f t="shared" si="38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37"/>
        <v/>
      </c>
      <c r="J239" s="30"/>
      <c r="K239" s="30" t="str">
        <f t="shared" si="38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5"/>
      <c r="Z239" s="28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37"/>
        <v/>
      </c>
      <c r="J240" s="30"/>
      <c r="K240" s="30" t="str">
        <f t="shared" si="38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5"/>
      <c r="Z240" s="28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37"/>
        <v/>
      </c>
      <c r="J241" s="30"/>
      <c r="K241" s="30" t="str">
        <f t="shared" si="38"/>
        <v/>
      </c>
      <c r="L241" s="30"/>
      <c r="M241" s="28"/>
      <c r="N241" s="28"/>
      <c r="O241" s="30"/>
      <c r="P241" s="28"/>
      <c r="Q241" s="28"/>
      <c r="R241" s="28"/>
      <c r="S241" s="28"/>
      <c r="T241" s="28"/>
      <c r="U241" s="28"/>
      <c r="V241" s="28"/>
      <c r="W241" s="28"/>
      <c r="X241" s="28"/>
      <c r="Y241" s="35"/>
      <c r="Z241" s="35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37"/>
        <v/>
      </c>
      <c r="J242" s="30"/>
      <c r="K242" s="30" t="str">
        <f t="shared" si="38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37"/>
        <v/>
      </c>
      <c r="J243" s="30"/>
      <c r="K243" s="30" t="str">
        <f t="shared" si="38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8"/>
      <c r="W243" s="28"/>
      <c r="X243" s="28"/>
      <c r="Y243" s="35"/>
      <c r="Z243" s="35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37"/>
        <v/>
      </c>
      <c r="J244" s="30"/>
      <c r="K244" s="30" t="str">
        <f t="shared" si="38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8"/>
      <c r="W244" s="28"/>
      <c r="X244" s="28"/>
      <c r="Y244" s="35"/>
      <c r="Z244" s="35"/>
      <c r="AA244" s="30"/>
      <c r="AB244" s="30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37"/>
        <v/>
      </c>
      <c r="J245" s="40"/>
      <c r="K245" s="40" t="str">
        <f t="shared" si="38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41"/>
      <c r="AA245" s="40"/>
      <c r="AB245" s="40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37"/>
        <v/>
      </c>
      <c r="J246" s="40"/>
      <c r="K246" s="40" t="str">
        <f t="shared" si="38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37"/>
        <v/>
      </c>
      <c r="J247" s="40"/>
      <c r="K247" s="40" t="str">
        <f t="shared" si="38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41"/>
      <c r="AA247" s="40"/>
      <c r="AB247" s="40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37"/>
        <v/>
      </c>
      <c r="J248" s="40"/>
      <c r="K248" s="40" t="str">
        <f t="shared" si="38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41"/>
      <c r="AA248" s="40"/>
      <c r="AB248" s="40"/>
      <c r="AC248" s="41"/>
      <c r="AD248" s="40"/>
    </row>
    <row r="249" spans="2:30" ht="12.75" customHeight="1" thickBot="1" x14ac:dyDescent="0.25">
      <c r="D249" s="118" t="s">
        <v>4</v>
      </c>
      <c r="E249" s="119"/>
      <c r="F249" s="119"/>
      <c r="G249" s="119"/>
      <c r="H249" s="119"/>
      <c r="I249" s="119"/>
      <c r="J249" s="119"/>
      <c r="K249" s="119"/>
      <c r="L249" s="120"/>
      <c r="M249" s="44" t="str">
        <f>IF(M172="","",IF(M189="","",IF(SUM(M190:M248)&lt;&gt;0,SUM(M190:M248),"")))</f>
        <v/>
      </c>
      <c r="N249" s="44" t="str">
        <f t="shared" ref="N249" si="39">IF(N172="","",IF(N189="","",IF(SUM(N190:N248)&lt;&gt;0,SUM(N190:N248),"")))</f>
        <v/>
      </c>
      <c r="O249" s="44" t="str">
        <f t="shared" ref="O249" si="40">IF(O172="","",IF(O189="","",IF(SUM(O190:O248)&lt;&gt;0,SUM(O190:O248),"")))</f>
        <v/>
      </c>
      <c r="P249" s="44" t="str">
        <f t="shared" ref="P249" si="41">IF(P172="","",IF(P189="","",IF(SUM(P190:P248)&lt;&gt;0,SUM(P190:P248),"")))</f>
        <v/>
      </c>
      <c r="Q249" s="44" t="str">
        <f t="shared" ref="Q249" si="42">IF(Q172="","",IF(Q189="","",IF(SUM(Q190:Q248)&lt;&gt;0,SUM(Q190:Q248),"")))</f>
        <v/>
      </c>
      <c r="R249" s="44" t="str">
        <f t="shared" ref="R249" si="43">IF(R172="","",IF(R189="","",IF(SUM(R190:R248)&lt;&gt;0,SUM(R190:R248),"")))</f>
        <v/>
      </c>
      <c r="S249" s="44" t="str">
        <f t="shared" ref="S249" si="44">IF(S172="","",IF(S189="","",IF(SUM(S190:S248)&lt;&gt;0,SUM(S190:S248),"")))</f>
        <v/>
      </c>
      <c r="T249" s="44" t="str">
        <f t="shared" ref="T249" si="45">IF(T172="","",IF(T189="","",IF(SUM(T190:T248)&lt;&gt;0,SUM(T190:T248),"")))</f>
        <v/>
      </c>
      <c r="U249" s="44" t="str">
        <f t="shared" ref="U249" si="46">IF(U172="","",IF(U189="","",IF(SUM(U190:U248)&lt;&gt;0,SUM(U190:U248),"")))</f>
        <v/>
      </c>
      <c r="V249" s="44" t="str">
        <f t="shared" ref="V249" si="47">IF(V172="","",IF(V189="","",IF(SUM(V190:V248)&lt;&gt;0,SUM(V190:V248),"")))</f>
        <v/>
      </c>
      <c r="W249" s="44" t="str">
        <f t="shared" ref="W249" si="48">IF(W172="","",IF(W189="","",IF(SUM(W190:W248)&lt;&gt;0,SUM(W190:W248),"")))</f>
        <v/>
      </c>
      <c r="X249" s="44" t="str">
        <f t="shared" ref="X249" si="49">IF(X172="","",IF(X189="","",IF(SUM(X190:X248)&lt;&gt;0,SUM(X190:X248),"")))</f>
        <v/>
      </c>
      <c r="Y249" s="44" t="str">
        <f t="shared" ref="Y249" si="50">IF(Y172="","",IF(Y189="","",IF(SUM(Y190:Y248)&lt;&gt;0,SUM(Y190:Y248),"")))</f>
        <v/>
      </c>
      <c r="Z249" s="44" t="str">
        <f t="shared" ref="Z249" si="51">IF(Z172="","",IF(Z189="","",IF(SUM(Z190:Z248)&lt;&gt;0,SUM(Z190:Z248),"")))</f>
        <v/>
      </c>
      <c r="AA249" s="44" t="str">
        <f t="shared" ref="AA249" si="52">IF(AA172="","",IF(AA189="","",IF(SUM(AA190:AA248)&lt;&gt;0,SUM(AA190:AA248),"")))</f>
        <v/>
      </c>
      <c r="AB249" s="44" t="str">
        <f t="shared" ref="AB249" si="53">IF(AB172="","",IF(AB189="","",IF(SUM(AB190:AB248)&lt;&gt;0,SUM(AB190:AB248),"")))</f>
        <v/>
      </c>
      <c r="AC249" s="44" t="str">
        <f t="shared" ref="AC249" si="54">IF(AC172="","",IF(AC189="","",IF(SUM(AC190:AC248)&lt;&gt;0,SUM(AC190:AC248),"")))</f>
        <v/>
      </c>
      <c r="AD249" s="44" t="str">
        <f t="shared" ref="AD249" si="55">IF(AD172="","",IF(AD189="","",IF(SUM(AD190:AD248)&lt;&gt;0,SUM(AD190:AD248),"")))</f>
        <v/>
      </c>
    </row>
    <row r="250" spans="2:30" ht="12.75" customHeight="1" x14ac:dyDescent="0.2">
      <c r="B250" s="6" t="s">
        <v>19</v>
      </c>
      <c r="D250" s="105" t="s">
        <v>5</v>
      </c>
      <c r="E250" s="106"/>
      <c r="F250" s="106"/>
      <c r="G250" s="106"/>
      <c r="H250" s="106"/>
      <c r="I250" s="106"/>
      <c r="J250" s="106"/>
      <c r="K250" s="106"/>
      <c r="L250" s="107"/>
      <c r="M250" s="45" t="str">
        <f>IF(M172="","",IF(M189="",IF(SUM(COUNTIF(M190:M248,"LS")+COUNTIF(M190:M248,"LUMP"))&gt;0,"LS",""),IF(M249&lt;&gt;"",ROUNDUP(M249,0),"")))</f>
        <v/>
      </c>
      <c r="N250" s="45" t="str">
        <f t="shared" ref="N250" si="56">IF(N172="","",IF(N189="",IF(SUM(COUNTIF(N190:N248,"LS")+COUNTIF(N190:N248,"LUMP"))&gt;0,"LS",""),IF(N249&lt;&gt;"",ROUNDUP(N249,0),"")))</f>
        <v/>
      </c>
      <c r="O250" s="45" t="str">
        <f t="shared" ref="O250" si="57">IF(O172="","",IF(O189="",IF(SUM(COUNTIF(O190:O248,"LS")+COUNTIF(O190:O248,"LUMP"))&gt;0,"LS",""),IF(O249&lt;&gt;"",ROUNDUP(O249,0),"")))</f>
        <v/>
      </c>
      <c r="P250" s="45" t="str">
        <f t="shared" ref="P250" si="58">IF(P172="","",IF(P189="",IF(SUM(COUNTIF(P190:P248,"LS")+COUNTIF(P190:P248,"LUMP"))&gt;0,"LS",""),IF(P249&lt;&gt;"",ROUNDUP(P249,0),"")))</f>
        <v/>
      </c>
      <c r="Q250" s="45" t="str">
        <f t="shared" ref="Q250" si="59">IF(Q172="","",IF(Q189="",IF(SUM(COUNTIF(Q190:Q248,"LS")+COUNTIF(Q190:Q248,"LUMP"))&gt;0,"LS",""),IF(Q249&lt;&gt;"",ROUNDUP(Q249,0),"")))</f>
        <v/>
      </c>
      <c r="R250" s="45" t="str">
        <f t="shared" ref="R250" si="60">IF(R172="","",IF(R189="",IF(SUM(COUNTIF(R190:R248,"LS")+COUNTIF(R190:R248,"LUMP"))&gt;0,"LS",""),IF(R249&lt;&gt;"",ROUNDUP(R249,0),"")))</f>
        <v/>
      </c>
      <c r="S250" s="45" t="str">
        <f t="shared" ref="S250" si="61">IF(S172="","",IF(S189="",IF(SUM(COUNTIF(S190:S248,"LS")+COUNTIF(S190:S248,"LUMP"))&gt;0,"LS",""),IF(S249&lt;&gt;"",ROUNDUP(S249,0),"")))</f>
        <v/>
      </c>
      <c r="T250" s="45" t="str">
        <f t="shared" ref="T250" si="62">IF(T172="","",IF(T189="",IF(SUM(COUNTIF(T190:T248,"LS")+COUNTIF(T190:T248,"LUMP"))&gt;0,"LS",""),IF(T249&lt;&gt;"",ROUNDUP(T249,0),"")))</f>
        <v/>
      </c>
      <c r="U250" s="45" t="str">
        <f t="shared" ref="U250" si="63">IF(U172="","",IF(U189="",IF(SUM(COUNTIF(U190:U248,"LS")+COUNTIF(U190:U248,"LUMP"))&gt;0,"LS",""),IF(U249&lt;&gt;"",ROUNDUP(U249,0),"")))</f>
        <v/>
      </c>
      <c r="V250" s="45" t="str">
        <f t="shared" ref="V250" si="64">IF(V172="","",IF(V189="",IF(SUM(COUNTIF(V190:V248,"LS")+COUNTIF(V190:V248,"LUMP"))&gt;0,"LS",""),IF(V249&lt;&gt;"",ROUNDUP(V249,0),"")))</f>
        <v/>
      </c>
      <c r="W250" s="45" t="str">
        <f t="shared" ref="W250" si="65">IF(W172="","",IF(W189="",IF(SUM(COUNTIF(W190:W248,"LS")+COUNTIF(W190:W248,"LUMP"))&gt;0,"LS",""),IF(W249&lt;&gt;"",ROUNDUP(W249,0),"")))</f>
        <v/>
      </c>
      <c r="X250" s="45" t="str">
        <f t="shared" ref="X250" si="66">IF(X172="","",IF(X189="",IF(SUM(COUNTIF(X190:X248,"LS")+COUNTIF(X190:X248,"LUMP"))&gt;0,"LS",""),IF(X249&lt;&gt;"",ROUNDUP(X249,0),"")))</f>
        <v/>
      </c>
      <c r="Y250" s="45" t="str">
        <f t="shared" ref="Y250" si="67">IF(Y172="","",IF(Y189="",IF(SUM(COUNTIF(Y190:Y248,"LS")+COUNTIF(Y190:Y248,"LUMP"))&gt;0,"LS",""),IF(Y249&lt;&gt;"",ROUNDUP(Y249,0),"")))</f>
        <v/>
      </c>
      <c r="Z250" s="45" t="str">
        <f t="shared" ref="Z250" si="68">IF(Z172="","",IF(Z189="",IF(SUM(COUNTIF(Z190:Z248,"LS")+COUNTIF(Z190:Z248,"LUMP"))&gt;0,"LS",""),IF(Z249&lt;&gt;"",ROUNDUP(Z249,0),"")))</f>
        <v/>
      </c>
      <c r="AA250" s="45" t="str">
        <f t="shared" ref="AA250" si="69">IF(AA172="","",IF(AA189="",IF(SUM(COUNTIF(AA190:AA248,"LS")+COUNTIF(AA190:AA248,"LUMP"))&gt;0,"LS",""),IF(AA249&lt;&gt;"",ROUNDUP(AA249,0),"")))</f>
        <v/>
      </c>
      <c r="AB250" s="45" t="str">
        <f t="shared" ref="AB250" si="70">IF(AB172="","",IF(AB189="",IF(SUM(COUNTIF(AB190:AB248,"LS")+COUNTIF(AB190:AB248,"LUMP"))&gt;0,"LS",""),IF(AB249&lt;&gt;"",ROUNDUP(AB249,0),"")))</f>
        <v/>
      </c>
      <c r="AC250" s="45" t="str">
        <f t="shared" ref="AC250" si="71">IF(AC172="","",IF(AC189="",IF(SUM(COUNTIF(AC190:AC248,"LS")+COUNTIF(AC190:AC248,"LUMP"))&gt;0,"LS",""),IF(AC249&lt;&gt;"",ROUNDUP(AC249,0),"")))</f>
        <v/>
      </c>
      <c r="AD250" s="45" t="str">
        <f t="shared" ref="AD250" si="72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17</v>
      </c>
      <c r="D252" s="74">
        <f>D171+1</f>
        <v>4</v>
      </c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15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16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108" t="s">
        <v>18</v>
      </c>
      <c r="D257" s="75" t="s">
        <v>2</v>
      </c>
      <c r="E257" s="76"/>
      <c r="F257" s="77"/>
      <c r="G257" s="111" t="s">
        <v>9</v>
      </c>
      <c r="H257" s="93" t="s">
        <v>0</v>
      </c>
      <c r="I257" s="93" t="s">
        <v>10</v>
      </c>
      <c r="J257" s="93" t="s">
        <v>30</v>
      </c>
      <c r="K257" s="93" t="s">
        <v>29</v>
      </c>
      <c r="L257" s="93" t="s">
        <v>3</v>
      </c>
      <c r="M257" s="20" t="str">
        <f t="shared" ref="M257:AD257" si="73">IF(OR(TRIM(M253)=0,TRIM(M253)=""),"",IF(IFERROR(TRIM(INDEX(QryItemNamed,MATCH(TRIM(M253),ITEM,0),2)),"")="Y","SPECIAL",LEFT(IFERROR(TRIM(INDEX(ITEM,MATCH(TRIM(M253),ITEM,0))),""),3)))</f>
        <v/>
      </c>
      <c r="N257" s="20" t="str">
        <f t="shared" si="73"/>
        <v/>
      </c>
      <c r="O257" s="20" t="str">
        <f t="shared" si="73"/>
        <v/>
      </c>
      <c r="P257" s="20" t="str">
        <f t="shared" si="73"/>
        <v/>
      </c>
      <c r="Q257" s="20" t="str">
        <f t="shared" si="73"/>
        <v/>
      </c>
      <c r="R257" s="20" t="str">
        <f t="shared" si="73"/>
        <v/>
      </c>
      <c r="S257" s="20" t="str">
        <f t="shared" si="73"/>
        <v/>
      </c>
      <c r="T257" s="20" t="str">
        <f t="shared" si="73"/>
        <v/>
      </c>
      <c r="U257" s="20" t="str">
        <f t="shared" si="73"/>
        <v/>
      </c>
      <c r="V257" s="20" t="str">
        <f t="shared" si="73"/>
        <v/>
      </c>
      <c r="W257" s="20" t="str">
        <f t="shared" si="73"/>
        <v/>
      </c>
      <c r="X257" s="20" t="str">
        <f t="shared" si="73"/>
        <v/>
      </c>
      <c r="Y257" s="20" t="str">
        <f t="shared" si="73"/>
        <v/>
      </c>
      <c r="Z257" s="20" t="str">
        <f t="shared" si="73"/>
        <v/>
      </c>
      <c r="AA257" s="20" t="str">
        <f t="shared" si="73"/>
        <v/>
      </c>
      <c r="AB257" s="20" t="str">
        <f t="shared" si="73"/>
        <v/>
      </c>
      <c r="AC257" s="20" t="str">
        <f t="shared" si="73"/>
        <v/>
      </c>
      <c r="AD257" s="20" t="str">
        <f t="shared" si="73"/>
        <v/>
      </c>
    </row>
    <row r="258" spans="2:30" ht="12.75" customHeight="1" x14ac:dyDescent="0.2">
      <c r="B258" s="109"/>
      <c r="D258" s="78"/>
      <c r="E258" s="79"/>
      <c r="F258" s="80"/>
      <c r="G258" s="112"/>
      <c r="H258" s="94"/>
      <c r="I258" s="94"/>
      <c r="J258" s="94"/>
      <c r="K258" s="94"/>
      <c r="L258" s="94"/>
      <c r="M258" s="81" t="str">
        <f t="shared" ref="M258:AD258" si="74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81" t="str">
        <f t="shared" si="74"/>
        <v/>
      </c>
      <c r="O258" s="81" t="str">
        <f t="shared" si="74"/>
        <v/>
      </c>
      <c r="P258" s="81" t="str">
        <f t="shared" si="74"/>
        <v/>
      </c>
      <c r="Q258" s="81" t="str">
        <f t="shared" si="74"/>
        <v/>
      </c>
      <c r="R258" s="81" t="str">
        <f t="shared" si="74"/>
        <v/>
      </c>
      <c r="S258" s="81" t="str">
        <f t="shared" si="74"/>
        <v/>
      </c>
      <c r="T258" s="81" t="str">
        <f t="shared" si="74"/>
        <v/>
      </c>
      <c r="U258" s="81" t="str">
        <f t="shared" si="74"/>
        <v/>
      </c>
      <c r="V258" s="81" t="str">
        <f t="shared" si="74"/>
        <v/>
      </c>
      <c r="W258" s="81" t="str">
        <f t="shared" si="74"/>
        <v/>
      </c>
      <c r="X258" s="81" t="str">
        <f t="shared" si="74"/>
        <v/>
      </c>
      <c r="Y258" s="81" t="str">
        <f t="shared" si="74"/>
        <v/>
      </c>
      <c r="Z258" s="81" t="str">
        <f t="shared" si="74"/>
        <v/>
      </c>
      <c r="AA258" s="81" t="str">
        <f t="shared" si="74"/>
        <v/>
      </c>
      <c r="AB258" s="81" t="str">
        <f t="shared" si="74"/>
        <v/>
      </c>
      <c r="AC258" s="81" t="str">
        <f t="shared" si="74"/>
        <v/>
      </c>
      <c r="AD258" s="81" t="str">
        <f t="shared" si="74"/>
        <v/>
      </c>
    </row>
    <row r="259" spans="2:30" ht="12.75" customHeight="1" x14ac:dyDescent="0.2">
      <c r="B259" s="109"/>
      <c r="D259" s="78"/>
      <c r="E259" s="79"/>
      <c r="F259" s="80"/>
      <c r="G259" s="112"/>
      <c r="H259" s="94"/>
      <c r="I259" s="94"/>
      <c r="J259" s="94"/>
      <c r="K259" s="94"/>
      <c r="L259" s="94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</row>
    <row r="260" spans="2:30" ht="12.75" customHeight="1" x14ac:dyDescent="0.2">
      <c r="B260" s="109"/>
      <c r="D260" s="78"/>
      <c r="E260" s="79"/>
      <c r="F260" s="80"/>
      <c r="G260" s="112"/>
      <c r="H260" s="94"/>
      <c r="I260" s="94"/>
      <c r="J260" s="94"/>
      <c r="K260" s="94"/>
      <c r="L260" s="94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</row>
    <row r="261" spans="2:30" ht="12.75" customHeight="1" x14ac:dyDescent="0.2">
      <c r="B261" s="109"/>
      <c r="D261" s="78"/>
      <c r="E261" s="79"/>
      <c r="F261" s="80"/>
      <c r="G261" s="112"/>
      <c r="H261" s="94"/>
      <c r="I261" s="94"/>
      <c r="J261" s="94"/>
      <c r="K261" s="94"/>
      <c r="L261" s="94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</row>
    <row r="262" spans="2:30" ht="12.75" customHeight="1" x14ac:dyDescent="0.2">
      <c r="B262" s="109"/>
      <c r="D262" s="78"/>
      <c r="E262" s="79"/>
      <c r="F262" s="80"/>
      <c r="G262" s="112"/>
      <c r="H262" s="94"/>
      <c r="I262" s="94"/>
      <c r="J262" s="94"/>
      <c r="K262" s="94"/>
      <c r="L262" s="94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</row>
    <row r="263" spans="2:30" ht="12.75" customHeight="1" x14ac:dyDescent="0.2">
      <c r="B263" s="109"/>
      <c r="D263" s="78"/>
      <c r="E263" s="79"/>
      <c r="F263" s="80"/>
      <c r="G263" s="112"/>
      <c r="H263" s="94"/>
      <c r="I263" s="94"/>
      <c r="J263" s="94"/>
      <c r="K263" s="94"/>
      <c r="L263" s="94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</row>
    <row r="264" spans="2:30" ht="12.75" customHeight="1" x14ac:dyDescent="0.2">
      <c r="B264" s="109"/>
      <c r="D264" s="78"/>
      <c r="E264" s="79"/>
      <c r="F264" s="80"/>
      <c r="G264" s="112"/>
      <c r="H264" s="94"/>
      <c r="I264" s="94"/>
      <c r="J264" s="94"/>
      <c r="K264" s="94"/>
      <c r="L264" s="94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</row>
    <row r="265" spans="2:30" ht="12.75" customHeight="1" x14ac:dyDescent="0.2">
      <c r="B265" s="109"/>
      <c r="D265" s="78"/>
      <c r="E265" s="79"/>
      <c r="F265" s="80"/>
      <c r="G265" s="112"/>
      <c r="H265" s="94"/>
      <c r="I265" s="94"/>
      <c r="J265" s="94"/>
      <c r="K265" s="94"/>
      <c r="L265" s="94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</row>
    <row r="266" spans="2:30" ht="12.75" customHeight="1" x14ac:dyDescent="0.2">
      <c r="B266" s="109"/>
      <c r="D266" s="78"/>
      <c r="E266" s="79"/>
      <c r="F266" s="80"/>
      <c r="G266" s="112"/>
      <c r="H266" s="94"/>
      <c r="I266" s="94"/>
      <c r="J266" s="94"/>
      <c r="K266" s="94"/>
      <c r="L266" s="94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</row>
    <row r="267" spans="2:30" ht="12.75" customHeight="1" x14ac:dyDescent="0.2">
      <c r="B267" s="109"/>
      <c r="D267" s="78"/>
      <c r="E267" s="79"/>
      <c r="F267" s="80"/>
      <c r="G267" s="112"/>
      <c r="H267" s="94"/>
      <c r="I267" s="94"/>
      <c r="J267" s="94"/>
      <c r="K267" s="94"/>
      <c r="L267" s="94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</row>
    <row r="268" spans="2:30" ht="12.75" customHeight="1" x14ac:dyDescent="0.2">
      <c r="B268" s="109"/>
      <c r="D268" s="78"/>
      <c r="E268" s="79"/>
      <c r="F268" s="80"/>
      <c r="G268" s="112"/>
      <c r="H268" s="94"/>
      <c r="I268" s="94"/>
      <c r="J268" s="94"/>
      <c r="K268" s="94"/>
      <c r="L268" s="94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</row>
    <row r="269" spans="2:30" ht="12.75" customHeight="1" x14ac:dyDescent="0.2">
      <c r="B269" s="109"/>
      <c r="D269" s="78"/>
      <c r="E269" s="79"/>
      <c r="F269" s="80"/>
      <c r="G269" s="112"/>
      <c r="H269" s="94"/>
      <c r="I269" s="94"/>
      <c r="J269" s="94"/>
      <c r="K269" s="94"/>
      <c r="L269" s="94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2:30" ht="12.75" customHeight="1" thickBot="1" x14ac:dyDescent="0.25">
      <c r="B270" s="110"/>
      <c r="D270" s="117"/>
      <c r="E270" s="117"/>
      <c r="F270" s="117"/>
      <c r="G270" s="21"/>
      <c r="H270" s="22"/>
      <c r="I270" s="23" t="s">
        <v>6</v>
      </c>
      <c r="J270" s="23" t="s">
        <v>6</v>
      </c>
      <c r="K270" s="23" t="s">
        <v>28</v>
      </c>
      <c r="L270" s="23" t="s">
        <v>28</v>
      </c>
      <c r="M270" s="23" t="str">
        <f t="shared" ref="M270:AD270" si="75">IF(OR(TRIM(M253)=0,TRIM(M253)=""),"",IF(IFERROR(TRIM(INDEX(QryItemNamed,MATCH(TRIM(M253),ITEM,0),3)),"")="LS","",IFERROR(TRIM(INDEX(QryItemNamed,MATCH(TRIM(M253),ITEM,0),3)),"")))</f>
        <v/>
      </c>
      <c r="N270" s="23" t="str">
        <f t="shared" si="75"/>
        <v/>
      </c>
      <c r="O270" s="23" t="str">
        <f t="shared" si="75"/>
        <v/>
      </c>
      <c r="P270" s="23" t="str">
        <f t="shared" si="75"/>
        <v/>
      </c>
      <c r="Q270" s="23" t="str">
        <f t="shared" si="75"/>
        <v/>
      </c>
      <c r="R270" s="23" t="str">
        <f t="shared" si="75"/>
        <v/>
      </c>
      <c r="S270" s="23" t="str">
        <f t="shared" si="75"/>
        <v/>
      </c>
      <c r="T270" s="23" t="str">
        <f t="shared" si="75"/>
        <v/>
      </c>
      <c r="U270" s="23" t="str">
        <f t="shared" si="75"/>
        <v/>
      </c>
      <c r="V270" s="23" t="str">
        <f t="shared" si="75"/>
        <v/>
      </c>
      <c r="W270" s="23" t="str">
        <f t="shared" si="75"/>
        <v/>
      </c>
      <c r="X270" s="23" t="str">
        <f t="shared" si="75"/>
        <v/>
      </c>
      <c r="Y270" s="23" t="str">
        <f t="shared" si="75"/>
        <v/>
      </c>
      <c r="Z270" s="23" t="str">
        <f t="shared" si="75"/>
        <v/>
      </c>
      <c r="AA270" s="23" t="str">
        <f t="shared" si="75"/>
        <v/>
      </c>
      <c r="AB270" s="23" t="str">
        <f t="shared" si="75"/>
        <v/>
      </c>
      <c r="AC270" s="23" t="str">
        <f t="shared" si="75"/>
        <v/>
      </c>
      <c r="AD270" s="23" t="str">
        <f t="shared" si="75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76">IF(D272&lt;&gt;"",F272-D272,"")</f>
        <v/>
      </c>
      <c r="J272" s="28"/>
      <c r="K272" s="28" t="str">
        <f t="shared" ref="K272:K329" si="77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76"/>
        <v/>
      </c>
      <c r="J273" s="30"/>
      <c r="K273" s="30" t="str">
        <f t="shared" si="77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76"/>
        <v/>
      </c>
      <c r="J274" s="30"/>
      <c r="K274" s="30" t="str">
        <f t="shared" si="77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76"/>
        <v/>
      </c>
      <c r="J275" s="30"/>
      <c r="K275" s="30" t="str">
        <f t="shared" si="77"/>
        <v/>
      </c>
      <c r="L275" s="30"/>
      <c r="M275" s="28"/>
      <c r="N275" s="28"/>
      <c r="O275" s="30"/>
      <c r="P275" s="28"/>
      <c r="Q275" s="28"/>
      <c r="R275" s="28"/>
      <c r="S275" s="28"/>
      <c r="T275" s="28"/>
      <c r="U275" s="28"/>
      <c r="V275" s="28"/>
      <c r="W275" s="28"/>
      <c r="X275" s="28"/>
      <c r="Y275" s="35"/>
      <c r="Z275" s="35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76"/>
        <v/>
      </c>
      <c r="J276" s="30"/>
      <c r="K276" s="30" t="str">
        <f t="shared" si="77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28"/>
      <c r="V276" s="28"/>
      <c r="W276" s="30"/>
      <c r="X276" s="28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76"/>
        <v/>
      </c>
      <c r="J277" s="30"/>
      <c r="K277" s="30" t="str">
        <f t="shared" si="77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28"/>
      <c r="V277" s="28"/>
      <c r="W277" s="30"/>
      <c r="X277" s="28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76"/>
        <v/>
      </c>
      <c r="J278" s="30"/>
      <c r="K278" s="30" t="str">
        <f t="shared" si="77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28"/>
      <c r="V278" s="28"/>
      <c r="W278" s="30"/>
      <c r="X278" s="28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76"/>
        <v/>
      </c>
      <c r="J279" s="30"/>
      <c r="K279" s="30" t="str">
        <f t="shared" si="77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28"/>
      <c r="V279" s="28"/>
      <c r="W279" s="30"/>
      <c r="X279" s="28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76"/>
        <v/>
      </c>
      <c r="J280" s="30"/>
      <c r="K280" s="30" t="str">
        <f t="shared" si="77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28"/>
      <c r="V280" s="28"/>
      <c r="W280" s="30"/>
      <c r="X280" s="28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76"/>
        <v/>
      </c>
      <c r="J281" s="30"/>
      <c r="K281" s="30" t="str">
        <f t="shared" si="77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28"/>
      <c r="V281" s="28"/>
      <c r="W281" s="30"/>
      <c r="X281" s="28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76"/>
        <v/>
      </c>
      <c r="J282" s="30"/>
      <c r="K282" s="30" t="str">
        <f t="shared" si="77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28"/>
      <c r="V282" s="28"/>
      <c r="W282" s="30"/>
      <c r="X282" s="28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76"/>
        <v/>
      </c>
      <c r="J283" s="30"/>
      <c r="K283" s="30" t="str">
        <f t="shared" si="77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28"/>
      <c r="V283" s="28"/>
      <c r="W283" s="30"/>
      <c r="X283" s="28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76"/>
        <v/>
      </c>
      <c r="J284" s="30"/>
      <c r="K284" s="30" t="str">
        <f t="shared" si="77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28"/>
      <c r="V284" s="28"/>
      <c r="W284" s="30"/>
      <c r="X284" s="28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76"/>
        <v/>
      </c>
      <c r="J285" s="30"/>
      <c r="K285" s="30" t="str">
        <f t="shared" si="77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28"/>
      <c r="V285" s="28"/>
      <c r="W285" s="30"/>
      <c r="X285" s="28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76"/>
        <v/>
      </c>
      <c r="J286" s="30"/>
      <c r="K286" s="30" t="str">
        <f t="shared" si="77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28"/>
      <c r="V286" s="28"/>
      <c r="W286" s="30"/>
      <c r="X286" s="28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76"/>
        <v/>
      </c>
      <c r="J287" s="30"/>
      <c r="K287" s="30" t="str">
        <f t="shared" si="77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28"/>
      <c r="V287" s="28"/>
      <c r="W287" s="30"/>
      <c r="X287" s="28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76"/>
        <v/>
      </c>
      <c r="J288" s="30"/>
      <c r="K288" s="30" t="str">
        <f t="shared" si="77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28"/>
      <c r="V288" s="28"/>
      <c r="W288" s="30"/>
      <c r="X288" s="28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76"/>
        <v/>
      </c>
      <c r="J289" s="30"/>
      <c r="K289" s="30" t="str">
        <f t="shared" si="77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28"/>
      <c r="V289" s="28"/>
      <c r="W289" s="30"/>
      <c r="X289" s="28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76"/>
        <v/>
      </c>
      <c r="J290" s="30"/>
      <c r="K290" s="30" t="str">
        <f t="shared" si="77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28"/>
      <c r="V290" s="28"/>
      <c r="W290" s="30"/>
      <c r="X290" s="28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76"/>
        <v/>
      </c>
      <c r="J291" s="30"/>
      <c r="K291" s="30" t="str">
        <f t="shared" si="77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28"/>
      <c r="V291" s="28"/>
      <c r="W291" s="30"/>
      <c r="X291" s="28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76"/>
        <v/>
      </c>
      <c r="J292" s="30"/>
      <c r="K292" s="30" t="str">
        <f t="shared" si="77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28"/>
      <c r="V292" s="28"/>
      <c r="W292" s="30"/>
      <c r="X292" s="28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76"/>
        <v/>
      </c>
      <c r="J293" s="30"/>
      <c r="K293" s="30" t="str">
        <f t="shared" si="77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28"/>
      <c r="V293" s="28"/>
      <c r="W293" s="30"/>
      <c r="X293" s="28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76"/>
        <v/>
      </c>
      <c r="J294" s="30"/>
      <c r="K294" s="30" t="str">
        <f t="shared" si="77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28"/>
      <c r="V294" s="28"/>
      <c r="W294" s="30"/>
      <c r="X294" s="28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76"/>
        <v/>
      </c>
      <c r="J295" s="30"/>
      <c r="K295" s="30" t="str">
        <f t="shared" si="77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28"/>
      <c r="V295" s="28"/>
      <c r="W295" s="30"/>
      <c r="X295" s="28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76"/>
        <v/>
      </c>
      <c r="J296" s="30"/>
      <c r="K296" s="30" t="str">
        <f t="shared" si="77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8"/>
      <c r="W296" s="28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76"/>
        <v/>
      </c>
      <c r="J297" s="30"/>
      <c r="K297" s="30" t="str">
        <f t="shared" si="77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28"/>
      <c r="V297" s="28"/>
      <c r="W297" s="30"/>
      <c r="X297" s="28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76"/>
        <v/>
      </c>
      <c r="J298" s="30"/>
      <c r="K298" s="30" t="str">
        <f t="shared" si="77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28"/>
      <c r="V298" s="28"/>
      <c r="W298" s="30"/>
      <c r="X298" s="28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76"/>
        <v/>
      </c>
      <c r="J299" s="30"/>
      <c r="K299" s="30" t="str">
        <f t="shared" si="77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28"/>
      <c r="V299" s="28"/>
      <c r="W299" s="30"/>
      <c r="X299" s="28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76"/>
        <v/>
      </c>
      <c r="J300" s="30"/>
      <c r="K300" s="30" t="str">
        <f t="shared" si="77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8"/>
      <c r="W300" s="28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76"/>
        <v/>
      </c>
      <c r="J301" s="30"/>
      <c r="K301" s="30" t="str">
        <f t="shared" si="77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76"/>
        <v/>
      </c>
      <c r="J302" s="30"/>
      <c r="K302" s="30" t="str">
        <f t="shared" si="77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76"/>
        <v/>
      </c>
      <c r="J303" s="30"/>
      <c r="K303" s="30" t="str">
        <f t="shared" si="77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76"/>
        <v/>
      </c>
      <c r="J304" s="30"/>
      <c r="K304" s="30" t="str">
        <f t="shared" si="77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76"/>
        <v/>
      </c>
      <c r="J305" s="30"/>
      <c r="K305" s="30" t="str">
        <f t="shared" si="77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8"/>
      <c r="W305" s="28"/>
      <c r="X305" s="28"/>
      <c r="Y305" s="35"/>
      <c r="Z305" s="35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76"/>
        <v/>
      </c>
      <c r="J306" s="30"/>
      <c r="K306" s="30" t="str">
        <f t="shared" si="77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28"/>
      <c r="W306" s="28"/>
      <c r="X306" s="30"/>
      <c r="Y306" s="35"/>
      <c r="Z306" s="35"/>
      <c r="AA306" s="30"/>
      <c r="AB306" s="30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76"/>
        <v/>
      </c>
      <c r="J307" s="30"/>
      <c r="K307" s="30" t="str">
        <f t="shared" si="77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30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76"/>
        <v/>
      </c>
      <c r="J308" s="30"/>
      <c r="K308" s="30" t="str">
        <f t="shared" si="77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0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76"/>
        <v/>
      </c>
      <c r="J309" s="30"/>
      <c r="K309" s="30" t="str">
        <f t="shared" si="77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0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76"/>
        <v/>
      </c>
      <c r="J310" s="30"/>
      <c r="K310" s="30" t="str">
        <f t="shared" si="77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0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76"/>
        <v/>
      </c>
      <c r="J311" s="30"/>
      <c r="K311" s="30" t="str">
        <f t="shared" si="77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0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76"/>
        <v/>
      </c>
      <c r="J312" s="30"/>
      <c r="K312" s="30" t="str">
        <f t="shared" si="77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76"/>
        <v/>
      </c>
      <c r="J313" s="30"/>
      <c r="K313" s="30" t="str">
        <f t="shared" si="77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76"/>
        <v/>
      </c>
      <c r="J314" s="30"/>
      <c r="K314" s="30" t="str">
        <f t="shared" si="77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76"/>
        <v/>
      </c>
      <c r="J315" s="30"/>
      <c r="K315" s="30" t="str">
        <f t="shared" si="77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76"/>
        <v/>
      </c>
      <c r="J316" s="30"/>
      <c r="K316" s="30" t="str">
        <f t="shared" si="77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76"/>
        <v/>
      </c>
      <c r="J317" s="30"/>
      <c r="K317" s="30" t="str">
        <f t="shared" si="77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5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76"/>
        <v/>
      </c>
      <c r="J318" s="30"/>
      <c r="K318" s="30" t="str">
        <f t="shared" si="77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76"/>
        <v/>
      </c>
      <c r="J319" s="30"/>
      <c r="K319" s="30" t="str">
        <f t="shared" si="77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76"/>
        <v/>
      </c>
      <c r="J320" s="30"/>
      <c r="K320" s="30" t="str">
        <f t="shared" si="77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5"/>
      <c r="Z320" s="28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76"/>
        <v/>
      </c>
      <c r="J321" s="30"/>
      <c r="K321" s="30" t="str">
        <f t="shared" si="77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5"/>
      <c r="Z321" s="28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76"/>
        <v/>
      </c>
      <c r="J322" s="30"/>
      <c r="K322" s="30" t="str">
        <f t="shared" si="77"/>
        <v/>
      </c>
      <c r="L322" s="30"/>
      <c r="M322" s="28"/>
      <c r="N322" s="28"/>
      <c r="O322" s="30"/>
      <c r="P322" s="28"/>
      <c r="Q322" s="28"/>
      <c r="R322" s="28"/>
      <c r="S322" s="28"/>
      <c r="T322" s="28"/>
      <c r="U322" s="28"/>
      <c r="V322" s="28"/>
      <c r="W322" s="28"/>
      <c r="X322" s="28"/>
      <c r="Y322" s="35"/>
      <c r="Z322" s="35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76"/>
        <v/>
      </c>
      <c r="J323" s="30"/>
      <c r="K323" s="30" t="str">
        <f t="shared" si="77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76"/>
        <v/>
      </c>
      <c r="J324" s="30"/>
      <c r="K324" s="30" t="str">
        <f t="shared" si="77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8"/>
      <c r="W324" s="28"/>
      <c r="X324" s="28"/>
      <c r="Y324" s="35"/>
      <c r="Z324" s="35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76"/>
        <v/>
      </c>
      <c r="J325" s="30"/>
      <c r="K325" s="30" t="str">
        <f t="shared" si="77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8"/>
      <c r="W325" s="28"/>
      <c r="X325" s="28"/>
      <c r="Y325" s="35"/>
      <c r="Z325" s="35"/>
      <c r="AA325" s="30"/>
      <c r="AB325" s="30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76"/>
        <v/>
      </c>
      <c r="J326" s="40"/>
      <c r="K326" s="40" t="str">
        <f t="shared" si="77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41"/>
      <c r="AA326" s="40"/>
      <c r="AB326" s="40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76"/>
        <v/>
      </c>
      <c r="J327" s="40"/>
      <c r="K327" s="40" t="str">
        <f t="shared" si="77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76"/>
        <v/>
      </c>
      <c r="J328" s="40"/>
      <c r="K328" s="40" t="str">
        <f t="shared" si="77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1"/>
      <c r="Z328" s="41"/>
      <c r="AA328" s="40"/>
      <c r="AB328" s="40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76"/>
        <v/>
      </c>
      <c r="J329" s="40"/>
      <c r="K329" s="40" t="str">
        <f t="shared" si="77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41"/>
      <c r="AA329" s="40"/>
      <c r="AB329" s="40"/>
      <c r="AC329" s="41"/>
      <c r="AD329" s="40"/>
    </row>
    <row r="330" spans="2:30" ht="12.75" customHeight="1" thickBot="1" x14ac:dyDescent="0.25">
      <c r="D330" s="118" t="s">
        <v>4</v>
      </c>
      <c r="E330" s="119"/>
      <c r="F330" s="119"/>
      <c r="G330" s="119"/>
      <c r="H330" s="119"/>
      <c r="I330" s="119"/>
      <c r="J330" s="119"/>
      <c r="K330" s="119"/>
      <c r="L330" s="120"/>
      <c r="M330" s="44" t="str">
        <f>IF(M253="","",IF(M270="","",IF(SUM(M271:M329)&lt;&gt;0,SUM(M271:M329),"")))</f>
        <v/>
      </c>
      <c r="N330" s="44" t="str">
        <f t="shared" ref="N330" si="78">IF(N253="","",IF(N270="","",IF(SUM(N271:N329)&lt;&gt;0,SUM(N271:N329),"")))</f>
        <v/>
      </c>
      <c r="O330" s="44" t="str">
        <f t="shared" ref="O330" si="79">IF(O253="","",IF(O270="","",IF(SUM(O271:O329)&lt;&gt;0,SUM(O271:O329),"")))</f>
        <v/>
      </c>
      <c r="P330" s="44" t="str">
        <f t="shared" ref="P330" si="80">IF(P253="","",IF(P270="","",IF(SUM(P271:P329)&lt;&gt;0,SUM(P271:P329),"")))</f>
        <v/>
      </c>
      <c r="Q330" s="44" t="str">
        <f t="shared" ref="Q330" si="81">IF(Q253="","",IF(Q270="","",IF(SUM(Q271:Q329)&lt;&gt;0,SUM(Q271:Q329),"")))</f>
        <v/>
      </c>
      <c r="R330" s="44" t="str">
        <f t="shared" ref="R330" si="82">IF(R253="","",IF(R270="","",IF(SUM(R271:R329)&lt;&gt;0,SUM(R271:R329),"")))</f>
        <v/>
      </c>
      <c r="S330" s="44" t="str">
        <f t="shared" ref="S330" si="83">IF(S253="","",IF(S270="","",IF(SUM(S271:S329)&lt;&gt;0,SUM(S271:S329),"")))</f>
        <v/>
      </c>
      <c r="T330" s="44" t="str">
        <f t="shared" ref="T330" si="84">IF(T253="","",IF(T270="","",IF(SUM(T271:T329)&lt;&gt;0,SUM(T271:T329),"")))</f>
        <v/>
      </c>
      <c r="U330" s="44" t="str">
        <f t="shared" ref="U330" si="85">IF(U253="","",IF(U270="","",IF(SUM(U271:U329)&lt;&gt;0,SUM(U271:U329),"")))</f>
        <v/>
      </c>
      <c r="V330" s="44" t="str">
        <f t="shared" ref="V330" si="86">IF(V253="","",IF(V270="","",IF(SUM(V271:V329)&lt;&gt;0,SUM(V271:V329),"")))</f>
        <v/>
      </c>
      <c r="W330" s="44" t="str">
        <f t="shared" ref="W330" si="87">IF(W253="","",IF(W270="","",IF(SUM(W271:W329)&lt;&gt;0,SUM(W271:W329),"")))</f>
        <v/>
      </c>
      <c r="X330" s="44" t="str">
        <f t="shared" ref="X330" si="88">IF(X253="","",IF(X270="","",IF(SUM(X271:X329)&lt;&gt;0,SUM(X271:X329),"")))</f>
        <v/>
      </c>
      <c r="Y330" s="44" t="str">
        <f t="shared" ref="Y330" si="89">IF(Y253="","",IF(Y270="","",IF(SUM(Y271:Y329)&lt;&gt;0,SUM(Y271:Y329),"")))</f>
        <v/>
      </c>
      <c r="Z330" s="44" t="str">
        <f t="shared" ref="Z330" si="90">IF(Z253="","",IF(Z270="","",IF(SUM(Z271:Z329)&lt;&gt;0,SUM(Z271:Z329),"")))</f>
        <v/>
      </c>
      <c r="AA330" s="44" t="str">
        <f t="shared" ref="AA330" si="91">IF(AA253="","",IF(AA270="","",IF(SUM(AA271:AA329)&lt;&gt;0,SUM(AA271:AA329),"")))</f>
        <v/>
      </c>
      <c r="AB330" s="44" t="str">
        <f t="shared" ref="AB330" si="92">IF(AB253="","",IF(AB270="","",IF(SUM(AB271:AB329)&lt;&gt;0,SUM(AB271:AB329),"")))</f>
        <v/>
      </c>
      <c r="AC330" s="44" t="str">
        <f t="shared" ref="AC330" si="93">IF(AC253="","",IF(AC270="","",IF(SUM(AC271:AC329)&lt;&gt;0,SUM(AC271:AC329),"")))</f>
        <v/>
      </c>
      <c r="AD330" s="44" t="str">
        <f t="shared" ref="AD330" si="94">IF(AD253="","",IF(AD270="","",IF(SUM(AD271:AD329)&lt;&gt;0,SUM(AD271:AD329),"")))</f>
        <v/>
      </c>
    </row>
    <row r="331" spans="2:30" ht="12.75" customHeight="1" x14ac:dyDescent="0.2">
      <c r="B331" s="6" t="s">
        <v>19</v>
      </c>
      <c r="D331" s="105" t="s">
        <v>5</v>
      </c>
      <c r="E331" s="106"/>
      <c r="F331" s="106"/>
      <c r="G331" s="106"/>
      <c r="H331" s="106"/>
      <c r="I331" s="106"/>
      <c r="J331" s="106"/>
      <c r="K331" s="106"/>
      <c r="L331" s="107"/>
      <c r="M331" s="45" t="str">
        <f>IF(M253="","",IF(M270="",IF(SUM(COUNTIF(M271:M329,"LS")+COUNTIF(M271:M329,"LUMP"))&gt;0,"LS",""),IF(M330&lt;&gt;"",ROUNDUP(M330,0),"")))</f>
        <v/>
      </c>
      <c r="N331" s="45" t="str">
        <f t="shared" ref="N331" si="95">IF(N253="","",IF(N270="",IF(SUM(COUNTIF(N271:N329,"LS")+COUNTIF(N271:N329,"LUMP"))&gt;0,"LS",""),IF(N330&lt;&gt;"",ROUNDUP(N330,0),"")))</f>
        <v/>
      </c>
      <c r="O331" s="45" t="str">
        <f t="shared" ref="O331" si="96">IF(O253="","",IF(O270="",IF(SUM(COUNTIF(O271:O329,"LS")+COUNTIF(O271:O329,"LUMP"))&gt;0,"LS",""),IF(O330&lt;&gt;"",ROUNDUP(O330,0),"")))</f>
        <v/>
      </c>
      <c r="P331" s="45" t="str">
        <f t="shared" ref="P331" si="97">IF(P253="","",IF(P270="",IF(SUM(COUNTIF(P271:P329,"LS")+COUNTIF(P271:P329,"LUMP"))&gt;0,"LS",""),IF(P330&lt;&gt;"",ROUNDUP(P330,0),"")))</f>
        <v/>
      </c>
      <c r="Q331" s="45" t="str">
        <f t="shared" ref="Q331" si="98">IF(Q253="","",IF(Q270="",IF(SUM(COUNTIF(Q271:Q329,"LS")+COUNTIF(Q271:Q329,"LUMP"))&gt;0,"LS",""),IF(Q330&lt;&gt;"",ROUNDUP(Q330,0),"")))</f>
        <v/>
      </c>
      <c r="R331" s="45" t="str">
        <f t="shared" ref="R331" si="99">IF(R253="","",IF(R270="",IF(SUM(COUNTIF(R271:R329,"LS")+COUNTIF(R271:R329,"LUMP"))&gt;0,"LS",""),IF(R330&lt;&gt;"",ROUNDUP(R330,0),"")))</f>
        <v/>
      </c>
      <c r="S331" s="45" t="str">
        <f t="shared" ref="S331" si="100">IF(S253="","",IF(S270="",IF(SUM(COUNTIF(S271:S329,"LS")+COUNTIF(S271:S329,"LUMP"))&gt;0,"LS",""),IF(S330&lt;&gt;"",ROUNDUP(S330,0),"")))</f>
        <v/>
      </c>
      <c r="T331" s="45" t="str">
        <f t="shared" ref="T331" si="101">IF(T253="","",IF(T270="",IF(SUM(COUNTIF(T271:T329,"LS")+COUNTIF(T271:T329,"LUMP"))&gt;0,"LS",""),IF(T330&lt;&gt;"",ROUNDUP(T330,0),"")))</f>
        <v/>
      </c>
      <c r="U331" s="45" t="str">
        <f t="shared" ref="U331" si="102">IF(U253="","",IF(U270="",IF(SUM(COUNTIF(U271:U329,"LS")+COUNTIF(U271:U329,"LUMP"))&gt;0,"LS",""),IF(U330&lt;&gt;"",ROUNDUP(U330,0),"")))</f>
        <v/>
      </c>
      <c r="V331" s="45" t="str">
        <f t="shared" ref="V331" si="103">IF(V253="","",IF(V270="",IF(SUM(COUNTIF(V271:V329,"LS")+COUNTIF(V271:V329,"LUMP"))&gt;0,"LS",""),IF(V330&lt;&gt;"",ROUNDUP(V330,0),"")))</f>
        <v/>
      </c>
      <c r="W331" s="45" t="str">
        <f t="shared" ref="W331" si="104">IF(W253="","",IF(W270="",IF(SUM(COUNTIF(W271:W329,"LS")+COUNTIF(W271:W329,"LUMP"))&gt;0,"LS",""),IF(W330&lt;&gt;"",ROUNDUP(W330,0),"")))</f>
        <v/>
      </c>
      <c r="X331" s="45" t="str">
        <f t="shared" ref="X331" si="105">IF(X253="","",IF(X270="",IF(SUM(COUNTIF(X271:X329,"LS")+COUNTIF(X271:X329,"LUMP"))&gt;0,"LS",""),IF(X330&lt;&gt;"",ROUNDUP(X330,0),"")))</f>
        <v/>
      </c>
      <c r="Y331" s="45" t="str">
        <f t="shared" ref="Y331" si="106">IF(Y253="","",IF(Y270="",IF(SUM(COUNTIF(Y271:Y329,"LS")+COUNTIF(Y271:Y329,"LUMP"))&gt;0,"LS",""),IF(Y330&lt;&gt;"",ROUNDUP(Y330,0),"")))</f>
        <v/>
      </c>
      <c r="Z331" s="45" t="str">
        <f t="shared" ref="Z331" si="107">IF(Z253="","",IF(Z270="",IF(SUM(COUNTIF(Z271:Z329,"LS")+COUNTIF(Z271:Z329,"LUMP"))&gt;0,"LS",""),IF(Z330&lt;&gt;"",ROUNDUP(Z330,0),"")))</f>
        <v/>
      </c>
      <c r="AA331" s="45" t="str">
        <f t="shared" ref="AA331" si="108">IF(AA253="","",IF(AA270="",IF(SUM(COUNTIF(AA271:AA329,"LS")+COUNTIF(AA271:AA329,"LUMP"))&gt;0,"LS",""),IF(AA330&lt;&gt;"",ROUNDUP(AA330,0),"")))</f>
        <v/>
      </c>
      <c r="AB331" s="45" t="str">
        <f t="shared" ref="AB331" si="109">IF(AB253="","",IF(AB270="",IF(SUM(COUNTIF(AB271:AB329,"LS")+COUNTIF(AB271:AB329,"LUMP"))&gt;0,"LS",""),IF(AB330&lt;&gt;"",ROUNDUP(AB330,0),"")))</f>
        <v/>
      </c>
      <c r="AC331" s="45" t="str">
        <f t="shared" ref="AC331" si="110">IF(AC253="","",IF(AC270="",IF(SUM(COUNTIF(AC271:AC329,"LS")+COUNTIF(AC271:AC329,"LUMP"))&gt;0,"LS",""),IF(AC330&lt;&gt;"",ROUNDUP(AC330,0),"")))</f>
        <v/>
      </c>
      <c r="AD331" s="45" t="str">
        <f t="shared" ref="AD331" si="111">IF(AD253="","",IF(AD270="",IF(SUM(COUNTIF(AD271:AD329,"LS")+COUNTIF(AD271:AD329,"LUMP"))&gt;0,"LS",""),IF(AD330&lt;&gt;"",ROUNDUP(AD330,0),"")))</f>
        <v/>
      </c>
    </row>
  </sheetData>
  <sheetProtection sheet="1" objects="1" scenarios="1"/>
  <mergeCells count="255">
    <mergeCell ref="D84:F84"/>
    <mergeCell ref="D85:F85"/>
    <mergeCell ref="D38:F38"/>
    <mergeCell ref="D42:F42"/>
    <mergeCell ref="D46:F46"/>
    <mergeCell ref="Y258:Y269"/>
    <mergeCell ref="Z258:Z269"/>
    <mergeCell ref="AA258:AA269"/>
    <mergeCell ref="AB258:AB269"/>
    <mergeCell ref="U258:U269"/>
    <mergeCell ref="V258:V269"/>
    <mergeCell ref="W258:W269"/>
    <mergeCell ref="X258:X269"/>
    <mergeCell ref="K176:K188"/>
    <mergeCell ref="M258:M269"/>
    <mergeCell ref="N258:N269"/>
    <mergeCell ref="O258:O269"/>
    <mergeCell ref="P258:P269"/>
    <mergeCell ref="Q258:Q269"/>
    <mergeCell ref="R258:R269"/>
    <mergeCell ref="S258:S269"/>
    <mergeCell ref="T258:T269"/>
    <mergeCell ref="L176:L188"/>
    <mergeCell ref="V177:V188"/>
    <mergeCell ref="AC258:AC269"/>
    <mergeCell ref="AD258:AD269"/>
    <mergeCell ref="Y96:Y107"/>
    <mergeCell ref="Z96:Z107"/>
    <mergeCell ref="AA96:AA107"/>
    <mergeCell ref="AB96:AB107"/>
    <mergeCell ref="AC96:AC107"/>
    <mergeCell ref="AD96:AD107"/>
    <mergeCell ref="Y177:Y188"/>
    <mergeCell ref="Z177:Z188"/>
    <mergeCell ref="AA177:AA188"/>
    <mergeCell ref="AB177:AB188"/>
    <mergeCell ref="AC177:AC188"/>
    <mergeCell ref="AD177:AD188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L257:L269"/>
    <mergeCell ref="W177:W188"/>
    <mergeCell ref="X177:X188"/>
    <mergeCell ref="M177:M188"/>
    <mergeCell ref="N177:N188"/>
    <mergeCell ref="O177:O188"/>
    <mergeCell ref="P177:P188"/>
    <mergeCell ref="Q177:Q188"/>
    <mergeCell ref="D9:AD9"/>
    <mergeCell ref="J14:J26"/>
    <mergeCell ref="H14:H26"/>
    <mergeCell ref="L14:L26"/>
    <mergeCell ref="D14:F26"/>
    <mergeCell ref="G14:G26"/>
    <mergeCell ref="K14:K26"/>
    <mergeCell ref="Q15:Q26"/>
    <mergeCell ref="R15:R26"/>
    <mergeCell ref="S15:S26"/>
    <mergeCell ref="T15:T26"/>
    <mergeCell ref="M15:M26"/>
    <mergeCell ref="N15:N26"/>
    <mergeCell ref="O15:O26"/>
    <mergeCell ref="P15:P26"/>
    <mergeCell ref="V15:V26"/>
    <mergeCell ref="M14:P14"/>
    <mergeCell ref="AC14:AD14"/>
    <mergeCell ref="Z14:AA14"/>
    <mergeCell ref="W14:X14"/>
    <mergeCell ref="B257:B270"/>
    <mergeCell ref="W15:W26"/>
    <mergeCell ref="X15:X26"/>
    <mergeCell ref="Y15:Y26"/>
    <mergeCell ref="AD15:AD26"/>
    <mergeCell ref="Z15:Z26"/>
    <mergeCell ref="AA15:AA26"/>
    <mergeCell ref="AB15:AB26"/>
    <mergeCell ref="AC15:AC26"/>
    <mergeCell ref="B14:B27"/>
    <mergeCell ref="I14:I26"/>
    <mergeCell ref="D27:F27"/>
    <mergeCell ref="D169:L169"/>
    <mergeCell ref="D108:F108"/>
    <mergeCell ref="D88:L88"/>
    <mergeCell ref="U15:U26"/>
    <mergeCell ref="D168:L168"/>
    <mergeCell ref="D87:L87"/>
    <mergeCell ref="D252:AD252"/>
    <mergeCell ref="D189:F189"/>
    <mergeCell ref="D249:L249"/>
    <mergeCell ref="D250:L250"/>
    <mergeCell ref="J176:J188"/>
    <mergeCell ref="I176:I188"/>
    <mergeCell ref="B95:B108"/>
    <mergeCell ref="B176:B189"/>
    <mergeCell ref="L95:L107"/>
    <mergeCell ref="M96:M107"/>
    <mergeCell ref="N96:N107"/>
    <mergeCell ref="O96:O107"/>
    <mergeCell ref="D171:AD171"/>
    <mergeCell ref="D176:F188"/>
    <mergeCell ref="G176:G188"/>
    <mergeCell ref="H176:H188"/>
    <mergeCell ref="R177:R188"/>
    <mergeCell ref="S177:S188"/>
    <mergeCell ref="T177:T188"/>
    <mergeCell ref="U177:U188"/>
    <mergeCell ref="D109:F109"/>
    <mergeCell ref="D110:F110"/>
    <mergeCell ref="G110:H110"/>
    <mergeCell ref="G109:H109"/>
    <mergeCell ref="G111:H111"/>
    <mergeCell ref="G112:H112"/>
    <mergeCell ref="G113:H113"/>
    <mergeCell ref="D28:F28"/>
    <mergeCell ref="D90:AD90"/>
    <mergeCell ref="D95:F107"/>
    <mergeCell ref="P96:P107"/>
    <mergeCell ref="Q96:Q107"/>
    <mergeCell ref="R96:R107"/>
    <mergeCell ref="S96:S107"/>
    <mergeCell ref="T96:T107"/>
    <mergeCell ref="U96:U107"/>
    <mergeCell ref="V96:V107"/>
    <mergeCell ref="W96:W107"/>
    <mergeCell ref="D29:F29"/>
    <mergeCell ref="X96:X107"/>
    <mergeCell ref="D58:F58"/>
    <mergeCell ref="G95:H108"/>
    <mergeCell ref="I95:I108"/>
    <mergeCell ref="J95:J108"/>
    <mergeCell ref="K95:K108"/>
    <mergeCell ref="D40:L40"/>
    <mergeCell ref="D41:F41"/>
    <mergeCell ref="D45:L45"/>
    <mergeCell ref="D83:L83"/>
    <mergeCell ref="D47:F47"/>
    <mergeCell ref="D55:F55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65:F165"/>
    <mergeCell ref="D166:F166"/>
    <mergeCell ref="D167:F167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</mergeCells>
  <phoneticPr fontId="1" type="noConversion"/>
  <printOptions horizontalCentered="1"/>
  <pageMargins left="0.25" right="0.25" top="0.75" bottom="0.75" header="0.3" footer="0.3"/>
  <pageSetup paperSize="17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Brant Gressel</cp:lastModifiedBy>
  <cp:lastPrinted>2020-02-24T21:38:56Z</cp:lastPrinted>
  <dcterms:created xsi:type="dcterms:W3CDTF">2004-11-29T18:07:26Z</dcterms:created>
  <dcterms:modified xsi:type="dcterms:W3CDTF">2020-02-27T15:49:06Z</dcterms:modified>
</cp:coreProperties>
</file>