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threadedComments/threadedComment4.xml" ContentType="application/vnd.ms-excel.threaded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threadedComments/threadedComment5.xml" ContentType="application/vnd.ms-excel.threaded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ward4\d0126372\"/>
    </mc:Choice>
  </mc:AlternateContent>
  <xr:revisionPtr revIDLastSave="0" documentId="13_ncr:1_{7EF28021-307F-43EF-8599-51C4004CEDEA}" xr6:coauthVersionLast="47" xr6:coauthVersionMax="47" xr10:uidLastSave="{00000000-0000-0000-0000-000000000000}"/>
  <bookViews>
    <workbookView xWindow="2657" yWindow="2657" windowWidth="21378" windowHeight="11268" firstSheet="8" activeTab="11" xr2:uid="{00000000-000D-0000-FFFF-FFFF00000000}"/>
  </bookViews>
  <sheets>
    <sheet name="CLE-50-0546_ SFN 1300946" sheetId="30" r:id="rId1"/>
    <sheet name="CLE-50-0546 Auto Table" sheetId="34" r:id="rId2"/>
    <sheet name="CLE-727-0263_SFN 1304747" sheetId="29" r:id="rId3"/>
    <sheet name="CLE-727-0263 Auto Table" sheetId="35" r:id="rId4"/>
    <sheet name="CLI-71-0031_SFN 1401416" sheetId="28" r:id="rId5"/>
    <sheet name="CLI-71-0031 Auto Table" sheetId="36" r:id="rId6"/>
    <sheet name="CLI-71-0407_ SFN 1401505" sheetId="27" r:id="rId7"/>
    <sheet name="CLI-71-0407 Auto Table" sheetId="37" r:id="rId8"/>
    <sheet name="CLI-73-0228_1402102" sheetId="31" r:id="rId9"/>
    <sheet name="CLI-73-0228 Auto Table" sheetId="38" r:id="rId10"/>
    <sheet name="CLI-134-1107_SFN 1402978" sheetId="32" r:id="rId11"/>
    <sheet name="CLI-134-1107 Auto Table" sheetId="39" r:id="rId12"/>
    <sheet name=" " sheetId="33" state="hidden" r:id="rId13"/>
    <sheet name="BUT-127-1198" sheetId="25" state="hidden" r:id="rId14"/>
    <sheet name="BUT-127-0728" sheetId="24" state="hidden" r:id="rId15"/>
    <sheet name="BUT-177-0469" sheetId="23" state="hidden" r:id="rId16"/>
    <sheet name="BUT-177-0529" sheetId="22" state="hidden" r:id="rId17"/>
    <sheet name="BUT-4-1580L" sheetId="20" state="hidden" r:id="rId18"/>
    <sheet name="BUT-4-1580R" sheetId="19" state="hidden" r:id="rId19"/>
    <sheet name="HAM-32-1.44" sheetId="17" state="hidden" r:id="rId20"/>
    <sheet name="WAR-48-8.63" sheetId="14" state="hidden" r:id="rId21"/>
    <sheet name="WAR-73-1818R" sheetId="18" state="hidden" r:id="rId22"/>
    <sheet name="WAR-73-1818L" sheetId="8" state="hidden" r:id="rId23"/>
    <sheet name="Sheet2" sheetId="15" state="hidden" r:id="rId24"/>
    <sheet name="Sheet3" sheetId="16" state="hidden" r:id="rId25"/>
    <sheet name="CLE-28-0175" sheetId="12" state="hidden" r:id="rId26"/>
    <sheet name="CLE-28-0227" sheetId="13" state="hidden" r:id="rId27"/>
    <sheet name="CLE-28-0259" sheetId="1" state="hidden" r:id="rId28"/>
    <sheet name="CLE-28-0282" sheetId="11" state="hidden" r:id="rId29"/>
    <sheet name="CLE-32-1214" sheetId="10" state="hidden" r:id="rId30"/>
    <sheet name="CLE-132-2473" sheetId="2" state="hidden" r:id="rId31"/>
    <sheet name="GRE-35-2297" sheetId="3" state="hidden" r:id="rId32"/>
    <sheet name="HAM-562-0227" sheetId="4" state="hidden" r:id="rId33"/>
    <sheet name="PRE-127-1718" sheetId="5" state="hidden" r:id="rId34"/>
    <sheet name="PRE-177-0486" sheetId="6" state="hidden" r:id="rId35"/>
    <sheet name="CLE-743-0466" sheetId="7" state="hidden" r:id="rId36"/>
    <sheet name="WAR-123-1740" sheetId="9" state="hidden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32" l="1"/>
  <c r="C28" i="38"/>
  <c r="I51" i="31"/>
  <c r="I19" i="31"/>
  <c r="E144" i="27"/>
  <c r="C138" i="28"/>
  <c r="C137" i="28"/>
  <c r="C135" i="28"/>
  <c r="I51" i="29"/>
  <c r="I19" i="29"/>
  <c r="I15" i="29" l="1"/>
  <c r="I17" i="31"/>
  <c r="I17" i="28"/>
  <c r="C17" i="38"/>
  <c r="C16" i="38"/>
  <c r="C15" i="38"/>
  <c r="C14" i="38"/>
  <c r="C13" i="38"/>
  <c r="C12" i="38"/>
  <c r="E126" i="31"/>
  <c r="E128" i="28"/>
  <c r="E140" i="27"/>
  <c r="C5" i="37"/>
  <c r="C124" i="27"/>
  <c r="C123" i="27"/>
  <c r="C116" i="27"/>
  <c r="C119" i="27" s="1"/>
  <c r="C102" i="27"/>
  <c r="C105" i="27" s="1"/>
  <c r="C95" i="27"/>
  <c r="C98" i="27" s="1"/>
  <c r="C138" i="27"/>
  <c r="C127" i="28"/>
  <c r="C126" i="28"/>
  <c r="E126" i="28" s="1"/>
  <c r="C118" i="28"/>
  <c r="C79" i="28"/>
  <c r="C83" i="28"/>
  <c r="C86" i="28" s="1"/>
  <c r="C89" i="27"/>
  <c r="C88" i="27"/>
  <c r="C112" i="27"/>
  <c r="C8" i="38"/>
  <c r="C130" i="31"/>
  <c r="C125" i="31"/>
  <c r="C124" i="31"/>
  <c r="E124" i="31" s="1"/>
  <c r="C109" i="31"/>
  <c r="C112" i="31" s="1"/>
  <c r="C102" i="31"/>
  <c r="C105" i="31" s="1"/>
  <c r="C98" i="31"/>
  <c r="C89" i="31"/>
  <c r="C88" i="31"/>
  <c r="C91" i="31" s="1"/>
  <c r="C82" i="31"/>
  <c r="C81" i="31"/>
  <c r="C84" i="31" s="1"/>
  <c r="C75" i="31"/>
  <c r="C74" i="31"/>
  <c r="C77" i="31" s="1"/>
  <c r="C115" i="31" s="1"/>
  <c r="C15" i="37"/>
  <c r="C14" i="37"/>
  <c r="C13" i="37"/>
  <c r="C12" i="37"/>
  <c r="C11" i="37"/>
  <c r="C10" i="37"/>
  <c r="B77" i="27"/>
  <c r="B76" i="27"/>
  <c r="C3" i="37"/>
  <c r="E117" i="28"/>
  <c r="C117" i="28"/>
  <c r="C111" i="28"/>
  <c r="C114" i="28" s="1"/>
  <c r="C104" i="28"/>
  <c r="C107" i="28" s="1"/>
  <c r="C90" i="28"/>
  <c r="C93" i="28" s="1"/>
  <c r="C100" i="28"/>
  <c r="C76" i="28"/>
  <c r="C11" i="36"/>
  <c r="C10" i="36"/>
  <c r="C9" i="36"/>
  <c r="C8" i="36"/>
  <c r="C7" i="36"/>
  <c r="C6" i="36"/>
  <c r="C8" i="35"/>
  <c r="C7" i="35"/>
  <c r="C6" i="35"/>
  <c r="C5" i="35"/>
  <c r="C4" i="35"/>
  <c r="C3" i="35"/>
  <c r="C8" i="39"/>
  <c r="C7" i="39"/>
  <c r="C6" i="39"/>
  <c r="C5" i="39"/>
  <c r="C4" i="39"/>
  <c r="C3" i="39"/>
  <c r="C10" i="39"/>
  <c r="C27" i="38"/>
  <c r="C26" i="38"/>
  <c r="C25" i="38"/>
  <c r="C24" i="38"/>
  <c r="C23" i="38"/>
  <c r="C22" i="38"/>
  <c r="C21" i="38"/>
  <c r="C20" i="38"/>
  <c r="C19" i="38"/>
  <c r="C11" i="38"/>
  <c r="C10" i="38"/>
  <c r="C9" i="38"/>
  <c r="C6" i="38"/>
  <c r="C5" i="38"/>
  <c r="C4" i="38"/>
  <c r="C3" i="38"/>
  <c r="C18" i="37"/>
  <c r="C17" i="37"/>
  <c r="C9" i="37"/>
  <c r="C8" i="37"/>
  <c r="C7" i="37"/>
  <c r="C14" i="36"/>
  <c r="C13" i="36"/>
  <c r="C5" i="36"/>
  <c r="C4" i="36"/>
  <c r="C3" i="36"/>
  <c r="C10" i="35"/>
  <c r="C10" i="34"/>
  <c r="C8" i="34"/>
  <c r="C7" i="34"/>
  <c r="C6" i="34"/>
  <c r="C5" i="34"/>
  <c r="C4" i="34"/>
  <c r="C3" i="34"/>
  <c r="C126" i="27" l="1"/>
  <c r="C130" i="27"/>
  <c r="C139" i="27" s="1"/>
  <c r="E139" i="27" s="1"/>
  <c r="E127" i="28"/>
  <c r="E118" i="28"/>
  <c r="C120" i="28" s="1"/>
  <c r="C91" i="27"/>
  <c r="C129" i="27" s="1"/>
  <c r="E129" i="27" s="1"/>
  <c r="E115" i="31"/>
  <c r="C118" i="31" s="1"/>
  <c r="E125" i="31"/>
  <c r="C116" i="31"/>
  <c r="E116" i="31" s="1"/>
  <c r="I15" i="30"/>
  <c r="I16" i="30" s="1"/>
  <c r="I19" i="30" s="1"/>
  <c r="I20" i="30" s="1"/>
  <c r="I50" i="28"/>
  <c r="I51" i="27"/>
  <c r="I52" i="27" s="1"/>
  <c r="I42" i="27"/>
  <c r="AI27" i="27"/>
  <c r="AL23" i="27" s="1"/>
  <c r="AH27" i="27" s="1"/>
  <c r="AM26" i="27" s="1"/>
  <c r="J26" i="27"/>
  <c r="J28" i="27" s="1"/>
  <c r="Q15" i="27"/>
  <c r="U15" i="27"/>
  <c r="U16" i="27" s="1"/>
  <c r="U19" i="27" s="1"/>
  <c r="U20" i="27" s="1"/>
  <c r="I15" i="27"/>
  <c r="I16" i="27" s="1"/>
  <c r="I19" i="27" s="1"/>
  <c r="I20" i="27" s="1"/>
  <c r="M15" i="27"/>
  <c r="M16" i="27" s="1"/>
  <c r="M19" i="27" s="1"/>
  <c r="M20" i="27" s="1"/>
  <c r="L11" i="27"/>
  <c r="I50" i="31"/>
  <c r="T24" i="31"/>
  <c r="T26" i="31" s="1"/>
  <c r="S24" i="31"/>
  <c r="S26" i="31" s="1"/>
  <c r="AA21" i="31"/>
  <c r="Z26" i="31" s="1"/>
  <c r="Z25" i="31" s="1"/>
  <c r="Z49" i="31"/>
  <c r="Z50" i="31" s="1"/>
  <c r="J26" i="31"/>
  <c r="J28" i="31" s="1"/>
  <c r="J27" i="31"/>
  <c r="J31" i="31"/>
  <c r="J21" i="31"/>
  <c r="F20" i="31" s="1"/>
  <c r="I15" i="31"/>
  <c r="L10" i="31" s="1"/>
  <c r="N51" i="32"/>
  <c r="N52" i="32" s="1"/>
  <c r="I51" i="32"/>
  <c r="I52" i="32" s="1"/>
  <c r="AC49" i="32"/>
  <c r="Z49" i="32"/>
  <c r="AA21" i="32"/>
  <c r="I15" i="32"/>
  <c r="BN53" i="28"/>
  <c r="I41" i="28"/>
  <c r="AT26" i="28"/>
  <c r="AW20" i="28"/>
  <c r="AU29" i="28" s="1"/>
  <c r="AY22" i="28" s="1"/>
  <c r="AU25" i="28" s="1"/>
  <c r="AV20" i="28"/>
  <c r="AT29" i="28" s="1"/>
  <c r="AW22" i="28" s="1"/>
  <c r="AS26" i="28" s="1"/>
  <c r="BA27" i="28"/>
  <c r="BA25" i="28"/>
  <c r="AU22" i="28"/>
  <c r="J27" i="28"/>
  <c r="J26" i="28"/>
  <c r="J28" i="28" s="1"/>
  <c r="J31" i="28"/>
  <c r="I15" i="28"/>
  <c r="I16" i="28" s="1"/>
  <c r="I19" i="28" s="1"/>
  <c r="I20" i="28" s="1"/>
  <c r="AK36" i="29"/>
  <c r="AK33" i="29"/>
  <c r="AH27" i="29"/>
  <c r="AJ26" i="29"/>
  <c r="AL23" i="29"/>
  <c r="AI27" i="29"/>
  <c r="AJ30" i="29"/>
  <c r="AN23" i="29" s="1"/>
  <c r="AI30" i="29"/>
  <c r="AA44" i="29"/>
  <c r="I16" i="29"/>
  <c r="I20" i="29" s="1"/>
  <c r="AA44" i="32"/>
  <c r="AA45" i="32" s="1"/>
  <c r="AA44" i="31"/>
  <c r="AA44" i="27"/>
  <c r="AA21" i="27"/>
  <c r="AA20" i="27"/>
  <c r="J21" i="27"/>
  <c r="F20" i="27" s="1"/>
  <c r="AA44" i="28"/>
  <c r="Z49" i="28" s="1"/>
  <c r="AA21" i="28"/>
  <c r="Z26" i="28" s="1"/>
  <c r="Z25" i="28" s="1"/>
  <c r="AA20" i="28"/>
  <c r="AB35" i="29"/>
  <c r="AD26" i="29"/>
  <c r="Z26" i="29"/>
  <c r="AA21" i="29"/>
  <c r="AA20" i="29"/>
  <c r="Z49" i="29"/>
  <c r="Z50" i="29" s="1"/>
  <c r="J28" i="30"/>
  <c r="C67" i="32"/>
  <c r="I57" i="32"/>
  <c r="I56" i="32"/>
  <c r="I60" i="32" s="1"/>
  <c r="I61" i="32" s="1"/>
  <c r="AB52" i="32"/>
  <c r="AB55" i="32" s="1"/>
  <c r="BF46" i="32"/>
  <c r="BF48" i="32" s="1"/>
  <c r="BF49" i="32" s="1"/>
  <c r="N23" i="32" s="1"/>
  <c r="I41" i="32"/>
  <c r="I42" i="32" s="1"/>
  <c r="BB40" i="32"/>
  <c r="I39" i="32"/>
  <c r="J31" i="32"/>
  <c r="J33" i="32" s="1"/>
  <c r="AB29" i="32"/>
  <c r="AP28" i="32"/>
  <c r="AP26" i="32"/>
  <c r="AM26" i="32"/>
  <c r="Z26" i="32"/>
  <c r="Z25" i="32" s="1"/>
  <c r="U26" i="32"/>
  <c r="T26" i="32"/>
  <c r="S26" i="32"/>
  <c r="J26" i="32"/>
  <c r="J28" i="32" s="1"/>
  <c r="BB25" i="32"/>
  <c r="BB24" i="32"/>
  <c r="BB26" i="32" s="1"/>
  <c r="BB28" i="32" s="1"/>
  <c r="BB29" i="32" s="1"/>
  <c r="N22" i="32" s="1"/>
  <c r="AN23" i="32"/>
  <c r="AJ26" i="32" s="1"/>
  <c r="AK33" i="32" s="1"/>
  <c r="AL23" i="32"/>
  <c r="AJ23" i="32"/>
  <c r="AL21" i="32"/>
  <c r="AK21" i="32"/>
  <c r="J21" i="32"/>
  <c r="F20" i="32" s="1"/>
  <c r="AA20" i="32"/>
  <c r="U19" i="32"/>
  <c r="U20" i="32" s="1"/>
  <c r="Q19" i="32"/>
  <c r="Q20" i="32" s="1"/>
  <c r="U16" i="32"/>
  <c r="Q16" i="32"/>
  <c r="M16" i="32"/>
  <c r="M19" i="32" s="1"/>
  <c r="M20" i="32" s="1"/>
  <c r="I16" i="32"/>
  <c r="I20" i="32" s="1"/>
  <c r="Q14" i="32"/>
  <c r="C67" i="31"/>
  <c r="I60" i="31"/>
  <c r="I61" i="31" s="1"/>
  <c r="I57" i="31"/>
  <c r="I56" i="31"/>
  <c r="AB52" i="31"/>
  <c r="AB55" i="31" s="1"/>
  <c r="BF46" i="31"/>
  <c r="BF48" i="31" s="1"/>
  <c r="BF49" i="31" s="1"/>
  <c r="N23" i="31" s="1"/>
  <c r="I41" i="31"/>
  <c r="BB40" i="31"/>
  <c r="I39" i="31"/>
  <c r="AB29" i="31"/>
  <c r="AP28" i="31"/>
  <c r="AP26" i="31"/>
  <c r="U26" i="31"/>
  <c r="BB25" i="31"/>
  <c r="BB24" i="31"/>
  <c r="BB26" i="31" s="1"/>
  <c r="BB28" i="31" s="1"/>
  <c r="BB29" i="31" s="1"/>
  <c r="N22" i="31" s="1"/>
  <c r="AJ23" i="31"/>
  <c r="AI27" i="31" s="1"/>
  <c r="AL21" i="31"/>
  <c r="AK21" i="31"/>
  <c r="AA20" i="31"/>
  <c r="U19" i="31"/>
  <c r="U20" i="31" s="1"/>
  <c r="Q19" i="31"/>
  <c r="Q20" i="31" s="1"/>
  <c r="U16" i="31"/>
  <c r="Q16" i="31"/>
  <c r="M16" i="31"/>
  <c r="M19" i="31" s="1"/>
  <c r="M20" i="31" s="1"/>
  <c r="I16" i="31"/>
  <c r="Q14" i="31"/>
  <c r="C67" i="27"/>
  <c r="I57" i="27"/>
  <c r="I56" i="27"/>
  <c r="AB52" i="27"/>
  <c r="AB55" i="27" s="1"/>
  <c r="BF46" i="27"/>
  <c r="BF48" i="27" s="1"/>
  <c r="BF49" i="27" s="1"/>
  <c r="N23" i="27" s="1"/>
  <c r="Z49" i="27"/>
  <c r="BB40" i="27"/>
  <c r="I39" i="27"/>
  <c r="J31" i="27"/>
  <c r="J33" i="27" s="1"/>
  <c r="AP28" i="27"/>
  <c r="AP26" i="27"/>
  <c r="U26" i="27"/>
  <c r="T26" i="27"/>
  <c r="S26" i="27"/>
  <c r="BB25" i="27"/>
  <c r="BB24" i="27"/>
  <c r="BB26" i="27" s="1"/>
  <c r="BB28" i="27" s="1"/>
  <c r="BB29" i="27" s="1"/>
  <c r="N22" i="27" s="1"/>
  <c r="AJ23" i="27"/>
  <c r="AL21" i="27"/>
  <c r="AK21" i="27"/>
  <c r="Z26" i="27"/>
  <c r="Z25" i="27" s="1"/>
  <c r="Q16" i="27"/>
  <c r="Q19" i="27" s="1"/>
  <c r="Q20" i="27" s="1"/>
  <c r="Q14" i="27"/>
  <c r="C67" i="28"/>
  <c r="I57" i="28"/>
  <c r="I56" i="28"/>
  <c r="AB52" i="28"/>
  <c r="AB55" i="28" s="1"/>
  <c r="BP46" i="28"/>
  <c r="BP48" i="28" s="1"/>
  <c r="BP49" i="28" s="1"/>
  <c r="N23" i="28" s="1"/>
  <c r="BL40" i="28"/>
  <c r="I39" i="28"/>
  <c r="J33" i="28"/>
  <c r="AB29" i="28"/>
  <c r="AD26" i="28" s="1"/>
  <c r="AP28" i="28"/>
  <c r="AP26" i="28"/>
  <c r="AM26" i="28"/>
  <c r="U26" i="28"/>
  <c r="T26" i="28"/>
  <c r="S26" i="28"/>
  <c r="BL25" i="28"/>
  <c r="BL24" i="28"/>
  <c r="BL26" i="28" s="1"/>
  <c r="BL28" i="28" s="1"/>
  <c r="BL29" i="28" s="1"/>
  <c r="N22" i="28" s="1"/>
  <c r="AN23" i="28"/>
  <c r="AJ26" i="28" s="1"/>
  <c r="AK33" i="28" s="1"/>
  <c r="AL23" i="28"/>
  <c r="AJ23" i="28"/>
  <c r="AL21" i="28"/>
  <c r="AK21" i="28"/>
  <c r="J21" i="28"/>
  <c r="F20" i="28" s="1"/>
  <c r="U16" i="28"/>
  <c r="U19" i="28" s="1"/>
  <c r="U20" i="28" s="1"/>
  <c r="Q16" i="28"/>
  <c r="Q19" i="28" s="1"/>
  <c r="Q20" i="28" s="1"/>
  <c r="M16" i="28"/>
  <c r="M19" i="28" s="1"/>
  <c r="M20" i="28" s="1"/>
  <c r="Q14" i="28"/>
  <c r="C67" i="30"/>
  <c r="I57" i="30"/>
  <c r="I56" i="30"/>
  <c r="I60" i="30" s="1"/>
  <c r="I61" i="30" s="1"/>
  <c r="AB52" i="30"/>
  <c r="AB55" i="30" s="1"/>
  <c r="I51" i="30"/>
  <c r="I52" i="30" s="1"/>
  <c r="BF46" i="30"/>
  <c r="BF48" i="30" s="1"/>
  <c r="BF49" i="30" s="1"/>
  <c r="N23" i="30" s="1"/>
  <c r="AA44" i="30"/>
  <c r="Z49" i="30" s="1"/>
  <c r="I41" i="30"/>
  <c r="I42" i="30" s="1"/>
  <c r="BB40" i="30"/>
  <c r="I39" i="30"/>
  <c r="J31" i="30"/>
  <c r="J33" i="30" s="1"/>
  <c r="AB29" i="30"/>
  <c r="AP28" i="30"/>
  <c r="AP26" i="30"/>
  <c r="AM26" i="30"/>
  <c r="U26" i="30"/>
  <c r="T26" i="30"/>
  <c r="S26" i="30"/>
  <c r="J26" i="30"/>
  <c r="BB25" i="30"/>
  <c r="BB24" i="30"/>
  <c r="BB26" i="30" s="1"/>
  <c r="BB28" i="30" s="1"/>
  <c r="BB29" i="30" s="1"/>
  <c r="N22" i="30" s="1"/>
  <c r="AN23" i="30"/>
  <c r="AJ26" i="30" s="1"/>
  <c r="AK33" i="30" s="1"/>
  <c r="AL23" i="30"/>
  <c r="AJ23" i="30"/>
  <c r="AL21" i="30"/>
  <c r="AK21" i="30"/>
  <c r="AA21" i="30"/>
  <c r="Z26" i="30" s="1"/>
  <c r="Z25" i="30" s="1"/>
  <c r="J21" i="30"/>
  <c r="F20" i="30" s="1"/>
  <c r="AA20" i="30"/>
  <c r="U16" i="30"/>
  <c r="U19" i="30" s="1"/>
  <c r="U20" i="30" s="1"/>
  <c r="Q16" i="30"/>
  <c r="M16" i="30"/>
  <c r="M19" i="30" s="1"/>
  <c r="M20" i="30" s="1"/>
  <c r="Q14" i="30"/>
  <c r="C67" i="29"/>
  <c r="I57" i="29"/>
  <c r="I56" i="29"/>
  <c r="I60" i="29" s="1"/>
  <c r="I61" i="29" s="1"/>
  <c r="AB52" i="29"/>
  <c r="I52" i="29"/>
  <c r="BF46" i="29"/>
  <c r="BF48" i="29" s="1"/>
  <c r="BF49" i="29" s="1"/>
  <c r="N23" i="29" s="1"/>
  <c r="I41" i="29"/>
  <c r="I42" i="29" s="1"/>
  <c r="BB40" i="29"/>
  <c r="I39" i="29"/>
  <c r="J31" i="29"/>
  <c r="J33" i="29" s="1"/>
  <c r="AB29" i="29"/>
  <c r="AP28" i="29"/>
  <c r="AP26" i="29"/>
  <c r="AM26" i="29"/>
  <c r="U26" i="29"/>
  <c r="T26" i="29"/>
  <c r="S26" i="29"/>
  <c r="J26" i="29"/>
  <c r="J28" i="29" s="1"/>
  <c r="BB25" i="29"/>
  <c r="BB24" i="29"/>
  <c r="BB26" i="29" s="1"/>
  <c r="BB28" i="29" s="1"/>
  <c r="BB29" i="29" s="1"/>
  <c r="N22" i="29" s="1"/>
  <c r="AJ23" i="29"/>
  <c r="AL21" i="29"/>
  <c r="AK21" i="29"/>
  <c r="Z25" i="29"/>
  <c r="J21" i="29"/>
  <c r="F20" i="29" s="1"/>
  <c r="U16" i="29"/>
  <c r="U19" i="29" s="1"/>
  <c r="U20" i="29" s="1"/>
  <c r="Q16" i="29"/>
  <c r="Q19" i="29" s="1"/>
  <c r="Q20" i="29" s="1"/>
  <c r="M16" i="29"/>
  <c r="M19" i="29" s="1"/>
  <c r="M20" i="29" s="1"/>
  <c r="Q14" i="29"/>
  <c r="C35" i="24"/>
  <c r="C33" i="24"/>
  <c r="C18" i="24"/>
  <c r="C16" i="24"/>
  <c r="O68" i="24"/>
  <c r="O69" i="24"/>
  <c r="J22" i="27" l="1"/>
  <c r="J24" i="27" s="1"/>
  <c r="E130" i="27"/>
  <c r="C132" i="27" s="1"/>
  <c r="E138" i="27"/>
  <c r="AN23" i="31"/>
  <c r="AJ26" i="31" s="1"/>
  <c r="AK33" i="31" s="1"/>
  <c r="AK36" i="31" s="1"/>
  <c r="AO36" i="31" s="1"/>
  <c r="AP37" i="31" s="1"/>
  <c r="I42" i="31" s="1"/>
  <c r="AL23" i="31"/>
  <c r="AH27" i="31" s="1"/>
  <c r="AM26" i="31" s="1"/>
  <c r="J33" i="31"/>
  <c r="AW25" i="28"/>
  <c r="AV32" i="28"/>
  <c r="AV39" i="28" s="1"/>
  <c r="AV43" i="28" s="1"/>
  <c r="AV49" i="28" s="1"/>
  <c r="AN23" i="27"/>
  <c r="I20" i="31"/>
  <c r="J22" i="31" s="1"/>
  <c r="J24" i="31" s="1"/>
  <c r="AC49" i="31"/>
  <c r="AB56" i="31" s="1"/>
  <c r="AB57" i="31" s="1"/>
  <c r="AB58" i="31" s="1"/>
  <c r="AA60" i="31" s="1"/>
  <c r="I52" i="31" s="1"/>
  <c r="T28" i="32"/>
  <c r="T29" i="32" s="1"/>
  <c r="P33" i="32" s="1"/>
  <c r="AD26" i="32"/>
  <c r="AB31" i="32" s="1"/>
  <c r="AB33" i="32" s="1"/>
  <c r="AB34" i="32" s="1"/>
  <c r="AC49" i="28"/>
  <c r="AB56" i="28" s="1"/>
  <c r="AC49" i="29"/>
  <c r="AB56" i="29" s="1"/>
  <c r="AB56" i="32"/>
  <c r="AA45" i="31"/>
  <c r="AB59" i="31"/>
  <c r="Q19" i="30"/>
  <c r="Q20" i="30" s="1"/>
  <c r="J22" i="30" s="1"/>
  <c r="J24" i="30" s="1"/>
  <c r="T28" i="27"/>
  <c r="T29" i="27" s="1"/>
  <c r="T28" i="29"/>
  <c r="T29" i="29" s="1"/>
  <c r="T28" i="31"/>
  <c r="T29" i="31" s="1"/>
  <c r="AD26" i="31"/>
  <c r="AB31" i="31" s="1"/>
  <c r="AB33" i="31" s="1"/>
  <c r="AB34" i="31" s="1"/>
  <c r="AA45" i="27"/>
  <c r="I60" i="27"/>
  <c r="I61" i="27" s="1"/>
  <c r="I60" i="28"/>
  <c r="I61" i="28" s="1"/>
  <c r="AB31" i="28"/>
  <c r="AB33" i="28" s="1"/>
  <c r="AA45" i="28"/>
  <c r="T28" i="28"/>
  <c r="T29" i="28" s="1"/>
  <c r="AA45" i="29"/>
  <c r="AA45" i="30"/>
  <c r="T28" i="30"/>
  <c r="T29" i="30" s="1"/>
  <c r="AK36" i="32"/>
  <c r="AK40" i="32"/>
  <c r="AK44" i="32" s="1"/>
  <c r="AK50" i="32" s="1"/>
  <c r="J22" i="32"/>
  <c r="J24" i="32" s="1"/>
  <c r="AD26" i="27"/>
  <c r="AB31" i="27" s="1"/>
  <c r="AB33" i="27" s="1"/>
  <c r="AB34" i="27" s="1"/>
  <c r="AB35" i="27" s="1"/>
  <c r="AC49" i="27"/>
  <c r="AB56" i="27" s="1"/>
  <c r="Z50" i="27"/>
  <c r="J22" i="28"/>
  <c r="J24" i="28" s="1"/>
  <c r="AK36" i="28"/>
  <c r="AK40" i="28"/>
  <c r="AK44" i="28" s="1"/>
  <c r="AK50" i="28" s="1"/>
  <c r="Z50" i="28"/>
  <c r="AK40" i="30"/>
  <c r="AK44" i="30" s="1"/>
  <c r="AK50" i="30" s="1"/>
  <c r="AK36" i="30"/>
  <c r="AC49" i="30"/>
  <c r="AB56" i="30" s="1"/>
  <c r="Z50" i="30"/>
  <c r="AD26" i="30"/>
  <c r="AB31" i="30" s="1"/>
  <c r="AB33" i="30" s="1"/>
  <c r="AB34" i="30" s="1"/>
  <c r="J22" i="29"/>
  <c r="J24" i="29" s="1"/>
  <c r="P33" i="29" s="1"/>
  <c r="AK40" i="29"/>
  <c r="AK44" i="29" s="1"/>
  <c r="AK50" i="29" s="1"/>
  <c r="AB55" i="29"/>
  <c r="C63" i="25"/>
  <c r="C62" i="25"/>
  <c r="C60" i="25"/>
  <c r="C44" i="24"/>
  <c r="C43" i="24"/>
  <c r="AJ26" i="27" l="1"/>
  <c r="AK33" i="27" s="1"/>
  <c r="AK40" i="31"/>
  <c r="AK44" i="31" s="1"/>
  <c r="AK50" i="31" s="1"/>
  <c r="P33" i="27"/>
  <c r="F17" i="27" s="1"/>
  <c r="AV35" i="28"/>
  <c r="AB57" i="28"/>
  <c r="AB59" i="28"/>
  <c r="AB34" i="28"/>
  <c r="I42" i="28"/>
  <c r="Z50" i="32"/>
  <c r="AB31" i="29"/>
  <c r="AB33" i="29" s="1"/>
  <c r="AB34" i="29" s="1"/>
  <c r="P33" i="31"/>
  <c r="F17" i="31" s="1"/>
  <c r="P33" i="30"/>
  <c r="AB57" i="32"/>
  <c r="AB58" i="32" s="1"/>
  <c r="AB60" i="32" s="1"/>
  <c r="F19" i="32" s="1"/>
  <c r="AB59" i="32"/>
  <c r="AB57" i="27"/>
  <c r="AB58" i="27" s="1"/>
  <c r="AB60" i="27" s="1"/>
  <c r="AB59" i="27"/>
  <c r="AB57" i="30"/>
  <c r="AB58" i="30" s="1"/>
  <c r="AB59" i="30"/>
  <c r="AB59" i="29"/>
  <c r="AB57" i="29"/>
  <c r="C41" i="24"/>
  <c r="C68" i="24"/>
  <c r="C73" i="24" s="1"/>
  <c r="C58" i="24"/>
  <c r="C50" i="24"/>
  <c r="C26" i="24"/>
  <c r="C10" i="24"/>
  <c r="C53" i="25"/>
  <c r="C46" i="25"/>
  <c r="C33" i="25"/>
  <c r="C16" i="25"/>
  <c r="C10" i="25"/>
  <c r="C26" i="25"/>
  <c r="C35" i="25" s="1"/>
  <c r="C36" i="25" s="1"/>
  <c r="D145" i="22"/>
  <c r="D113" i="22"/>
  <c r="D137" i="22"/>
  <c r="D136" i="22"/>
  <c r="D112" i="22"/>
  <c r="F183" i="22"/>
  <c r="F182" i="22"/>
  <c r="O227" i="22"/>
  <c r="O225" i="22"/>
  <c r="D171" i="22"/>
  <c r="O224" i="22"/>
  <c r="D170" i="22"/>
  <c r="AK36" i="27" l="1"/>
  <c r="AK40" i="27"/>
  <c r="AK44" i="27" s="1"/>
  <c r="AK50" i="27" s="1"/>
  <c r="F16" i="32"/>
  <c r="F21" i="32" s="1"/>
  <c r="F17" i="32"/>
  <c r="F18" i="32"/>
  <c r="AB58" i="28"/>
  <c r="I51" i="28"/>
  <c r="I52" i="28" s="1"/>
  <c r="P33" i="28" s="1"/>
  <c r="AB58" i="29"/>
  <c r="AB60" i="29"/>
  <c r="F18" i="29" s="1"/>
  <c r="F17" i="30"/>
  <c r="F16" i="30"/>
  <c r="F21" i="30" s="1"/>
  <c r="F16" i="31"/>
  <c r="F21" i="31" s="1"/>
  <c r="F18" i="31"/>
  <c r="F19" i="31"/>
  <c r="F19" i="30"/>
  <c r="F18" i="27"/>
  <c r="F16" i="27"/>
  <c r="F21" i="27" s="1"/>
  <c r="F19" i="27"/>
  <c r="F18" i="30"/>
  <c r="C19" i="24"/>
  <c r="C38" i="24" s="1"/>
  <c r="C36" i="24"/>
  <c r="C18" i="25"/>
  <c r="C19" i="25" s="1"/>
  <c r="C38" i="25" s="1"/>
  <c r="C178" i="23"/>
  <c r="C177" i="23"/>
  <c r="C232" i="23"/>
  <c r="D74" i="23"/>
  <c r="D73" i="23"/>
  <c r="D49" i="23"/>
  <c r="D50" i="23"/>
  <c r="D8" i="23"/>
  <c r="F17" i="28" l="1"/>
  <c r="F16" i="28"/>
  <c r="F21" i="28" s="1"/>
  <c r="F18" i="28"/>
  <c r="F19" i="28"/>
  <c r="F19" i="29"/>
  <c r="F17" i="29"/>
  <c r="F16" i="29"/>
  <c r="F21" i="29" s="1"/>
  <c r="D134" i="23"/>
  <c r="D133" i="23"/>
  <c r="D130" i="23"/>
  <c r="D128" i="23"/>
  <c r="D127" i="23"/>
  <c r="D126" i="23"/>
  <c r="D110" i="23"/>
  <c r="D109" i="23"/>
  <c r="D106" i="23"/>
  <c r="D104" i="23"/>
  <c r="D103" i="23"/>
  <c r="D102" i="23"/>
  <c r="D90" i="23"/>
  <c r="D91" i="23" s="1"/>
  <c r="D70" i="23"/>
  <c r="D68" i="23"/>
  <c r="D67" i="23"/>
  <c r="D66" i="23"/>
  <c r="D76" i="22"/>
  <c r="D52" i="22"/>
  <c r="D44" i="23"/>
  <c r="D112" i="23" l="1"/>
  <c r="D76" i="23"/>
  <c r="D136" i="23"/>
  <c r="D163" i="23"/>
  <c r="C182" i="23"/>
  <c r="C188" i="23"/>
  <c r="C194" i="23"/>
  <c r="C240" i="23"/>
  <c r="C241" i="23" s="1"/>
  <c r="C233" i="23"/>
  <c r="C244" i="23" s="1"/>
  <c r="C216" i="23"/>
  <c r="C221" i="23" s="1"/>
  <c r="C206" i="23"/>
  <c r="C200" i="23"/>
  <c r="C170" i="23"/>
  <c r="D156" i="23"/>
  <c r="F156" i="23" s="1"/>
  <c r="D152" i="23"/>
  <c r="F152" i="23" s="1"/>
  <c r="D52" i="23"/>
  <c r="D46" i="23"/>
  <c r="D43" i="23"/>
  <c r="D26" i="23"/>
  <c r="D27" i="23" s="1"/>
  <c r="D28" i="23" s="1"/>
  <c r="D22" i="23"/>
  <c r="D19" i="23"/>
  <c r="D16" i="23"/>
  <c r="D10" i="23"/>
  <c r="D11" i="23" s="1"/>
  <c r="D42" i="23" l="1"/>
  <c r="D54" i="23" s="1"/>
  <c r="D55" i="23" s="1"/>
  <c r="C208" i="23"/>
  <c r="D31" i="23"/>
  <c r="D32" i="23" s="1"/>
  <c r="D81" i="23" s="1"/>
  <c r="D78" i="23"/>
  <c r="D79" i="23" s="1"/>
  <c r="B158" i="23"/>
  <c r="D138" i="23"/>
  <c r="D139" i="23" s="1"/>
  <c r="D114" i="23"/>
  <c r="D115" i="23" s="1"/>
  <c r="D166" i="22"/>
  <c r="D142" i="23" l="1"/>
  <c r="D139" i="22"/>
  <c r="D133" i="22"/>
  <c r="D130" i="22"/>
  <c r="D129" i="22"/>
  <c r="D109" i="22"/>
  <c r="D106" i="22"/>
  <c r="D107" i="22"/>
  <c r="D77" i="22"/>
  <c r="D70" i="22"/>
  <c r="D65" i="22"/>
  <c r="D69" i="22" s="1"/>
  <c r="D53" i="22"/>
  <c r="D55" i="22" s="1"/>
  <c r="D46" i="22"/>
  <c r="D41" i="22"/>
  <c r="D47" i="22" s="1"/>
  <c r="D279" i="22"/>
  <c r="C255" i="22"/>
  <c r="C238" i="22"/>
  <c r="J188" i="22"/>
  <c r="F187" i="22" s="1"/>
  <c r="J229" i="22"/>
  <c r="N191" i="22"/>
  <c r="C267" i="22"/>
  <c r="C261" i="22"/>
  <c r="C249" i="22"/>
  <c r="Y218" i="22"/>
  <c r="I214" i="22"/>
  <c r="I215" i="22" s="1"/>
  <c r="R210" i="22"/>
  <c r="R214" i="22" s="1"/>
  <c r="R215" i="22" s="1"/>
  <c r="O210" i="22"/>
  <c r="O214" i="22" s="1"/>
  <c r="O215" i="22" s="1"/>
  <c r="X209" i="22"/>
  <c r="X210" i="22" s="1"/>
  <c r="W214" i="22" s="1"/>
  <c r="W215" i="22" s="1"/>
  <c r="R203" i="22"/>
  <c r="O203" i="22"/>
  <c r="L203" i="22"/>
  <c r="R198" i="22"/>
  <c r="R200" i="22" s="1"/>
  <c r="N198" i="22"/>
  <c r="N200" i="22" s="1"/>
  <c r="J198" i="22"/>
  <c r="J200" i="22" s="1"/>
  <c r="BB197" i="22"/>
  <c r="BC197" i="22" s="1"/>
  <c r="AQ197" i="22"/>
  <c r="AR197" i="22" s="1"/>
  <c r="AF197" i="22"/>
  <c r="AG197" i="22" s="1"/>
  <c r="Y196" i="22"/>
  <c r="BI195" i="22"/>
  <c r="AX195" i="22"/>
  <c r="AM195" i="22"/>
  <c r="R194" i="22"/>
  <c r="R196" i="22" s="1"/>
  <c r="N194" i="22"/>
  <c r="N196" i="22" s="1"/>
  <c r="BI193" i="22"/>
  <c r="AX193" i="22"/>
  <c r="AM193" i="22"/>
  <c r="J193" i="22"/>
  <c r="J195" i="22" s="1"/>
  <c r="AR190" i="22"/>
  <c r="AQ194" i="22" s="1"/>
  <c r="AG190" i="22"/>
  <c r="AF194" i="22" s="1"/>
  <c r="BC189" i="22"/>
  <c r="BC190" i="22" s="1"/>
  <c r="BB194" i="22" s="1"/>
  <c r="BE188" i="22"/>
  <c r="BD188" i="22"/>
  <c r="AT188" i="22"/>
  <c r="AS188" i="22"/>
  <c r="AI188" i="22"/>
  <c r="AH188" i="22"/>
  <c r="X188" i="22"/>
  <c r="W192" i="22" s="1"/>
  <c r="W193" i="22" s="1"/>
  <c r="R182" i="22"/>
  <c r="S186" i="22" s="1"/>
  <c r="S187" i="22" s="1"/>
  <c r="N182" i="22"/>
  <c r="O186" i="22" s="1"/>
  <c r="O187" i="22" s="1"/>
  <c r="I182" i="22"/>
  <c r="L186" i="22" s="1"/>
  <c r="L187" i="22" s="1"/>
  <c r="D159" i="22"/>
  <c r="F159" i="22" s="1"/>
  <c r="D155" i="22"/>
  <c r="F155" i="22" s="1"/>
  <c r="D93" i="22"/>
  <c r="D94" i="22" s="1"/>
  <c r="D73" i="22"/>
  <c r="D71" i="22"/>
  <c r="D49" i="22"/>
  <c r="D29" i="22"/>
  <c r="D30" i="22" s="1"/>
  <c r="D31" i="22" s="1"/>
  <c r="D25" i="22"/>
  <c r="D22" i="22"/>
  <c r="D19" i="22"/>
  <c r="D13" i="22"/>
  <c r="D14" i="22" s="1"/>
  <c r="D34" i="22" l="1"/>
  <c r="D115" i="22"/>
  <c r="D172" i="22"/>
  <c r="D175" i="22" s="1"/>
  <c r="D45" i="22"/>
  <c r="D57" i="22" s="1"/>
  <c r="D58" i="22" s="1"/>
  <c r="D79" i="22"/>
  <c r="D81" i="22" s="1"/>
  <c r="D82" i="22" s="1"/>
  <c r="D105" i="22"/>
  <c r="D131" i="22"/>
  <c r="D141" i="22" s="1"/>
  <c r="D142" i="22" s="1"/>
  <c r="D35" i="22"/>
  <c r="C269" i="22"/>
  <c r="B161" i="22"/>
  <c r="F186" i="22"/>
  <c r="BE190" i="22"/>
  <c r="BA194" i="22" s="1"/>
  <c r="BG190" i="22"/>
  <c r="BC193" i="22" s="1"/>
  <c r="AI190" i="22"/>
  <c r="AE194" i="22" s="1"/>
  <c r="AK190" i="22"/>
  <c r="AG193" i="22" s="1"/>
  <c r="AV190" i="22"/>
  <c r="AR193" i="22" s="1"/>
  <c r="AT190" i="22"/>
  <c r="AP194" i="22" s="1"/>
  <c r="Y191" i="22"/>
  <c r="Y198" i="22" s="1"/>
  <c r="Z214" i="22"/>
  <c r="Y220" i="22" s="1"/>
  <c r="I186" i="22"/>
  <c r="I187" i="22" s="1"/>
  <c r="J189" i="22" s="1"/>
  <c r="J191" i="22" s="1"/>
  <c r="C424" i="19"/>
  <c r="D117" i="22" l="1"/>
  <c r="D118" i="22" s="1"/>
  <c r="D84" i="22"/>
  <c r="Y200" i="22"/>
  <c r="Y201" i="22" s="1"/>
  <c r="I204" i="22"/>
  <c r="I207" i="22" s="1"/>
  <c r="I208" i="22" s="1"/>
  <c r="AH200" i="22"/>
  <c r="AJ193" i="22"/>
  <c r="Y222" i="22"/>
  <c r="Y223" i="22" s="1"/>
  <c r="L211" i="22"/>
  <c r="L214" i="22" s="1"/>
  <c r="L215" i="22" s="1"/>
  <c r="AU193" i="22"/>
  <c r="AS200" i="22"/>
  <c r="BF193" i="22"/>
  <c r="BD200" i="22"/>
  <c r="D28" i="20"/>
  <c r="D26" i="20"/>
  <c r="D29" i="19"/>
  <c r="D27" i="19"/>
  <c r="AH202" i="22" l="1"/>
  <c r="AH206" i="22"/>
  <c r="AH209" i="22" s="1"/>
  <c r="AH215" i="22" s="1"/>
  <c r="L204" i="22"/>
  <c r="L207" i="22" s="1"/>
  <c r="L208" i="22" s="1"/>
  <c r="AS202" i="22"/>
  <c r="O204" i="22"/>
  <c r="O207" i="22" s="1"/>
  <c r="O208" i="22" s="1"/>
  <c r="AS206" i="22"/>
  <c r="AS209" i="22" s="1"/>
  <c r="AS215" i="22" s="1"/>
  <c r="R204" i="22"/>
  <c r="R207" i="22" s="1"/>
  <c r="R208" i="22" s="1"/>
  <c r="BD206" i="22"/>
  <c r="BD209" i="22" s="1"/>
  <c r="BD215" i="22" s="1"/>
  <c r="BD202" i="22"/>
  <c r="B451" i="20"/>
  <c r="B449" i="20"/>
  <c r="B453" i="20" s="1"/>
  <c r="B454" i="20" s="1"/>
  <c r="B461" i="20"/>
  <c r="B462" i="20" s="1"/>
  <c r="B461" i="19"/>
  <c r="B462" i="19" s="1"/>
  <c r="D75" i="20"/>
  <c r="D75" i="19"/>
  <c r="M218" i="22" l="1"/>
  <c r="C396" i="20"/>
  <c r="C402" i="19"/>
  <c r="C400" i="19"/>
  <c r="B450" i="19"/>
  <c r="B445" i="20"/>
  <c r="D26" i="19" l="1"/>
  <c r="B389" i="19" l="1"/>
  <c r="B445" i="19" l="1"/>
  <c r="C405" i="19"/>
  <c r="B443" i="19"/>
  <c r="C425" i="19"/>
  <c r="C416" i="19"/>
  <c r="C417" i="19" s="1"/>
  <c r="C427" i="19" s="1"/>
  <c r="C403" i="19"/>
  <c r="B390" i="19"/>
  <c r="C379" i="19"/>
  <c r="C383" i="19"/>
  <c r="C384" i="19" s="1"/>
  <c r="C336" i="19" l="1"/>
  <c r="C335" i="19"/>
  <c r="C337" i="19" s="1"/>
  <c r="D324" i="19"/>
  <c r="C331" i="19"/>
  <c r="C327" i="19"/>
  <c r="AA287" i="19"/>
  <c r="I282" i="19"/>
  <c r="I257" i="19"/>
  <c r="I258" i="19" s="1"/>
  <c r="I256" i="20"/>
  <c r="B245" i="19"/>
  <c r="D153" i="19"/>
  <c r="D153" i="20"/>
  <c r="D59" i="19" l="1"/>
  <c r="D60" i="19" s="1"/>
  <c r="D61" i="19" s="1"/>
  <c r="D50" i="19"/>
  <c r="D51" i="19" s="1"/>
  <c r="D52" i="19" s="1"/>
  <c r="D126" i="19"/>
  <c r="D127" i="19" s="1"/>
  <c r="D117" i="19"/>
  <c r="D118" i="19" s="1"/>
  <c r="D100" i="19"/>
  <c r="D101" i="19" s="1"/>
  <c r="D91" i="19"/>
  <c r="D92" i="19" s="1"/>
  <c r="D70" i="19"/>
  <c r="D72" i="19" s="1"/>
  <c r="D73" i="19" s="1"/>
  <c r="D76" i="19" s="1"/>
  <c r="F69" i="19"/>
  <c r="B18" i="19"/>
  <c r="B19" i="19" s="1"/>
  <c r="B11" i="19"/>
  <c r="B12" i="19" s="1"/>
  <c r="C399" i="20"/>
  <c r="C397" i="20"/>
  <c r="B385" i="20"/>
  <c r="B384" i="20"/>
  <c r="C418" i="20"/>
  <c r="C419" i="20" s="1"/>
  <c r="D31" i="19" l="1"/>
  <c r="D134" i="19"/>
  <c r="B21" i="19"/>
  <c r="B435" i="20" l="1"/>
  <c r="B437" i="20"/>
  <c r="C375" i="20"/>
  <c r="C379" i="20" s="1"/>
  <c r="C380" i="20" s="1"/>
  <c r="D321" i="20"/>
  <c r="B245" i="20"/>
  <c r="B18" i="20"/>
  <c r="B19" i="20" s="1"/>
  <c r="B11" i="20"/>
  <c r="B12" i="20" s="1"/>
  <c r="B21" i="20" s="1"/>
  <c r="D25" i="20"/>
  <c r="D30" i="20" s="1"/>
  <c r="B439" i="20" l="1"/>
  <c r="D59" i="20"/>
  <c r="D50" i="20"/>
  <c r="F69" i="20"/>
  <c r="D170" i="20" l="1"/>
  <c r="D167" i="20"/>
  <c r="D159" i="20"/>
  <c r="C333" i="20"/>
  <c r="C332" i="20"/>
  <c r="I292" i="20"/>
  <c r="I293" i="20" s="1"/>
  <c r="AA285" i="20"/>
  <c r="Z290" i="20" s="1"/>
  <c r="AI271" i="20"/>
  <c r="C328" i="20"/>
  <c r="C324" i="20"/>
  <c r="D60" i="20"/>
  <c r="D61" i="20" s="1"/>
  <c r="D51" i="20"/>
  <c r="D52" i="20" s="1"/>
  <c r="D70" i="20"/>
  <c r="D72" i="20" s="1"/>
  <c r="D73" i="20" s="1"/>
  <c r="D126" i="20"/>
  <c r="D127" i="20" s="1"/>
  <c r="D117" i="20"/>
  <c r="D118" i="20" s="1"/>
  <c r="D91" i="20"/>
  <c r="D92" i="20" s="1"/>
  <c r="D100" i="20"/>
  <c r="D101" i="20" s="1"/>
  <c r="C374" i="19"/>
  <c r="C368" i="19"/>
  <c r="C362" i="19"/>
  <c r="BG357" i="19"/>
  <c r="AX357" i="19"/>
  <c r="C356" i="19"/>
  <c r="BI354" i="19"/>
  <c r="AZ354" i="19"/>
  <c r="C344" i="19"/>
  <c r="BG319" i="19"/>
  <c r="AX319" i="19"/>
  <c r="D321" i="19"/>
  <c r="D316" i="19"/>
  <c r="BG314" i="19"/>
  <c r="AX314" i="19"/>
  <c r="AX302" i="19" s="1"/>
  <c r="AX303" i="19" s="1"/>
  <c r="AX304" i="19" s="1"/>
  <c r="AX306" i="19" s="1"/>
  <c r="BI311" i="19"/>
  <c r="AZ311" i="19"/>
  <c r="C310" i="19"/>
  <c r="I300" i="19"/>
  <c r="I299" i="19"/>
  <c r="AB296" i="19"/>
  <c r="BG295" i="19"/>
  <c r="AX295" i="19"/>
  <c r="I294" i="19"/>
  <c r="I295" i="19" s="1"/>
  <c r="BI292" i="19"/>
  <c r="AZ292" i="19"/>
  <c r="Z292" i="19"/>
  <c r="Z293" i="19" s="1"/>
  <c r="BS289" i="19"/>
  <c r="BS291" i="19" s="1"/>
  <c r="BS292" i="19" s="1"/>
  <c r="N266" i="19" s="1"/>
  <c r="AA288" i="19"/>
  <c r="I284" i="19"/>
  <c r="I285" i="19" s="1"/>
  <c r="BO283" i="19"/>
  <c r="BG277" i="19"/>
  <c r="AX277" i="19"/>
  <c r="J276" i="19"/>
  <c r="BI274" i="19"/>
  <c r="AZ274" i="19"/>
  <c r="J274" i="19"/>
  <c r="AB272" i="19"/>
  <c r="AP271" i="19"/>
  <c r="AP269" i="19"/>
  <c r="AM269" i="19"/>
  <c r="U269" i="19"/>
  <c r="T269" i="19"/>
  <c r="S269" i="19"/>
  <c r="J269" i="19"/>
  <c r="J271" i="19" s="1"/>
  <c r="BO268" i="19"/>
  <c r="BO267" i="19"/>
  <c r="AN266" i="19"/>
  <c r="AJ269" i="19" s="1"/>
  <c r="AK276" i="19" s="1"/>
  <c r="AL266" i="19"/>
  <c r="AJ266" i="19"/>
  <c r="AL264" i="19"/>
  <c r="AK264" i="19"/>
  <c r="AA264" i="19"/>
  <c r="Z269" i="19" s="1"/>
  <c r="Z268" i="19" s="1"/>
  <c r="J264" i="19"/>
  <c r="F262" i="19" s="1"/>
  <c r="AA263" i="19"/>
  <c r="U258" i="19"/>
  <c r="U262" i="19" s="1"/>
  <c r="U263" i="19" s="1"/>
  <c r="Q258" i="19"/>
  <c r="Q262" i="19" s="1"/>
  <c r="Q263" i="19" s="1"/>
  <c r="M258" i="19"/>
  <c r="M262" i="19" s="1"/>
  <c r="M263" i="19" s="1"/>
  <c r="I262" i="19"/>
  <c r="I263" i="19" s="1"/>
  <c r="Q256" i="19"/>
  <c r="D251" i="19"/>
  <c r="D239" i="19"/>
  <c r="F239" i="19" s="1"/>
  <c r="D235" i="19"/>
  <c r="F235" i="19" s="1"/>
  <c r="D220" i="19"/>
  <c r="D219" i="19"/>
  <c r="D218" i="19"/>
  <c r="D217" i="19"/>
  <c r="D214" i="19"/>
  <c r="D212" i="19"/>
  <c r="D211" i="19"/>
  <c r="D210" i="19"/>
  <c r="D196" i="19"/>
  <c r="D195" i="19"/>
  <c r="D194" i="19"/>
  <c r="D193" i="19"/>
  <c r="D190" i="19"/>
  <c r="D188" i="19"/>
  <c r="D187" i="19"/>
  <c r="D186" i="19"/>
  <c r="D171" i="19"/>
  <c r="D173" i="19" s="1"/>
  <c r="D167" i="19"/>
  <c r="D162" i="19"/>
  <c r="D164" i="19" s="1"/>
  <c r="D159" i="19"/>
  <c r="D155" i="19"/>
  <c r="D157" i="19" s="1"/>
  <c r="D144" i="19"/>
  <c r="D145" i="19" s="1"/>
  <c r="H227" i="19" s="1"/>
  <c r="D43" i="19"/>
  <c r="D63" i="19" s="1"/>
  <c r="C410" i="20"/>
  <c r="C411" i="20" s="1"/>
  <c r="C421" i="20" s="1"/>
  <c r="C370" i="20"/>
  <c r="C364" i="20"/>
  <c r="C358" i="20"/>
  <c r="BG353" i="20"/>
  <c r="AX353" i="20"/>
  <c r="C352" i="20"/>
  <c r="BI350" i="20"/>
  <c r="AZ350" i="20"/>
  <c r="C340" i="20"/>
  <c r="BI326" i="20"/>
  <c r="BG317" i="20" s="1"/>
  <c r="BG318" i="20" s="1"/>
  <c r="BG319" i="20" s="1"/>
  <c r="BG321" i="20" s="1"/>
  <c r="AZ326" i="20"/>
  <c r="AX317" i="20" s="1"/>
  <c r="AX318" i="20" s="1"/>
  <c r="AX319" i="20" s="1"/>
  <c r="AX321" i="20" s="1"/>
  <c r="D319" i="20"/>
  <c r="D314" i="20"/>
  <c r="BG312" i="20"/>
  <c r="AX312" i="20"/>
  <c r="BI309" i="20"/>
  <c r="AZ309" i="20"/>
  <c r="C308" i="20"/>
  <c r="I298" i="20"/>
  <c r="I297" i="20"/>
  <c r="AB294" i="20"/>
  <c r="AB296" i="20" s="1"/>
  <c r="BG293" i="20"/>
  <c r="AX293" i="20"/>
  <c r="BI290" i="20"/>
  <c r="AZ290" i="20"/>
  <c r="BS287" i="20"/>
  <c r="BS289" i="20" s="1"/>
  <c r="BS290" i="20" s="1"/>
  <c r="N264" i="20" s="1"/>
  <c r="I282" i="20"/>
  <c r="I283" i="20" s="1"/>
  <c r="BO281" i="20"/>
  <c r="BG275" i="20"/>
  <c r="AX275" i="20"/>
  <c r="BI272" i="20"/>
  <c r="AZ272" i="20"/>
  <c r="J272" i="20"/>
  <c r="J274" i="20" s="1"/>
  <c r="AB270" i="20"/>
  <c r="AP269" i="20"/>
  <c r="AP267" i="20"/>
  <c r="U267" i="20"/>
  <c r="T267" i="20"/>
  <c r="S267" i="20"/>
  <c r="J267" i="20"/>
  <c r="J269" i="20" s="1"/>
  <c r="BO266" i="20"/>
  <c r="BO265" i="20"/>
  <c r="AJ264" i="20"/>
  <c r="AI268" i="20" s="1"/>
  <c r="AL262" i="20"/>
  <c r="AJ271" i="20" s="1"/>
  <c r="AK262" i="20"/>
  <c r="AA262" i="20"/>
  <c r="Z267" i="20" s="1"/>
  <c r="Z266" i="20" s="1"/>
  <c r="J262" i="20"/>
  <c r="F260" i="20" s="1"/>
  <c r="AA261" i="20"/>
  <c r="U257" i="20"/>
  <c r="U260" i="20" s="1"/>
  <c r="U261" i="20" s="1"/>
  <c r="Q257" i="20"/>
  <c r="Q260" i="20" s="1"/>
  <c r="Q261" i="20" s="1"/>
  <c r="M257" i="20"/>
  <c r="M260" i="20" s="1"/>
  <c r="M261" i="20" s="1"/>
  <c r="Q255" i="20"/>
  <c r="D249" i="20"/>
  <c r="D239" i="20"/>
  <c r="F239" i="20" s="1"/>
  <c r="D235" i="20"/>
  <c r="F235" i="20" s="1"/>
  <c r="D220" i="20"/>
  <c r="D219" i="20"/>
  <c r="D218" i="20"/>
  <c r="D217" i="20"/>
  <c r="D214" i="20"/>
  <c r="D212" i="20"/>
  <c r="D211" i="20"/>
  <c r="D210" i="20"/>
  <c r="D196" i="20"/>
  <c r="D195" i="20"/>
  <c r="D194" i="20"/>
  <c r="D193" i="20"/>
  <c r="D190" i="20"/>
  <c r="D188" i="20"/>
  <c r="D187" i="20"/>
  <c r="D186" i="20"/>
  <c r="D162" i="20"/>
  <c r="D164" i="20" s="1"/>
  <c r="D155" i="20"/>
  <c r="D157" i="20" s="1"/>
  <c r="D144" i="20"/>
  <c r="D145" i="20" s="1"/>
  <c r="H227" i="20" s="1"/>
  <c r="D42" i="20"/>
  <c r="BG309" i="19" l="1"/>
  <c r="AX352" i="19"/>
  <c r="AX272" i="19"/>
  <c r="I303" i="19"/>
  <c r="I304" i="19" s="1"/>
  <c r="BG352" i="19"/>
  <c r="BO269" i="19"/>
  <c r="BO271" i="19" s="1"/>
  <c r="BO272" i="19" s="1"/>
  <c r="N265" i="19" s="1"/>
  <c r="BG320" i="19"/>
  <c r="BG321" i="19" s="1"/>
  <c r="BG323" i="19" s="1"/>
  <c r="BG324" i="19" s="1"/>
  <c r="BI329" i="19"/>
  <c r="AX320" i="19"/>
  <c r="AX321" i="19" s="1"/>
  <c r="AX323" i="19" s="1"/>
  <c r="AX324" i="19" s="1"/>
  <c r="AZ329" i="19"/>
  <c r="BG272" i="19"/>
  <c r="D175" i="19"/>
  <c r="D176" i="19" s="1"/>
  <c r="D222" i="19"/>
  <c r="D223" i="19" s="1"/>
  <c r="AX290" i="19"/>
  <c r="BG290" i="19"/>
  <c r="AX309" i="19"/>
  <c r="AC292" i="19"/>
  <c r="AB299" i="19" s="1"/>
  <c r="AB300" i="19" s="1"/>
  <c r="C376" i="19"/>
  <c r="T271" i="19"/>
  <c r="T272" i="19" s="1"/>
  <c r="B241" i="19"/>
  <c r="D198" i="19"/>
  <c r="D199" i="19" s="1"/>
  <c r="C334" i="20"/>
  <c r="D171" i="20"/>
  <c r="D173" i="20" s="1"/>
  <c r="D175" i="20" s="1"/>
  <c r="D176" i="20" s="1"/>
  <c r="D63" i="20"/>
  <c r="AA286" i="20"/>
  <c r="AN264" i="20"/>
  <c r="AJ267" i="20" s="1"/>
  <c r="AL264" i="20"/>
  <c r="AH268" i="20" s="1"/>
  <c r="AC290" i="20"/>
  <c r="AD267" i="20"/>
  <c r="AB272" i="20" s="1"/>
  <c r="AB274" i="20" s="1"/>
  <c r="AB275" i="20" s="1"/>
  <c r="BG288" i="20"/>
  <c r="BG300" i="20"/>
  <c r="BG301" i="20" s="1"/>
  <c r="BG302" i="20" s="1"/>
  <c r="BG304" i="20" s="1"/>
  <c r="BG270" i="20"/>
  <c r="AX288" i="20"/>
  <c r="AX307" i="20"/>
  <c r="BO267" i="20"/>
  <c r="BO269" i="20" s="1"/>
  <c r="BO270" i="20" s="1"/>
  <c r="N263" i="20" s="1"/>
  <c r="I301" i="20"/>
  <c r="I302" i="20" s="1"/>
  <c r="BG348" i="20"/>
  <c r="D76" i="20"/>
  <c r="D134" i="20" s="1"/>
  <c r="AX263" i="20"/>
  <c r="AX264" i="20" s="1"/>
  <c r="AX265" i="20" s="1"/>
  <c r="AX267" i="20" s="1"/>
  <c r="BG341" i="20"/>
  <c r="BG342" i="20" s="1"/>
  <c r="BG343" i="20" s="1"/>
  <c r="BG345" i="20" s="1"/>
  <c r="BG307" i="20"/>
  <c r="AX281" i="20"/>
  <c r="AX282" i="20" s="1"/>
  <c r="AX283" i="20" s="1"/>
  <c r="AX285" i="20" s="1"/>
  <c r="BG281" i="20"/>
  <c r="BG282" i="20" s="1"/>
  <c r="BG283" i="20" s="1"/>
  <c r="BG285" i="20" s="1"/>
  <c r="BG263" i="20"/>
  <c r="BG264" i="20" s="1"/>
  <c r="BG265" i="20" s="1"/>
  <c r="BG267" i="20" s="1"/>
  <c r="T269" i="20"/>
  <c r="T270" i="20" s="1"/>
  <c r="AX270" i="20"/>
  <c r="D222" i="20"/>
  <c r="D223" i="20" s="1"/>
  <c r="AX300" i="20"/>
  <c r="AX301" i="20" s="1"/>
  <c r="AX302" i="20" s="1"/>
  <c r="AX304" i="20" s="1"/>
  <c r="C372" i="20"/>
  <c r="D198" i="20"/>
  <c r="D199" i="20" s="1"/>
  <c r="AX348" i="20"/>
  <c r="AD269" i="19"/>
  <c r="AB274" i="19" s="1"/>
  <c r="AB276" i="19" s="1"/>
  <c r="AB277" i="19" s="1"/>
  <c r="J265" i="19"/>
  <c r="J267" i="19" s="1"/>
  <c r="AK283" i="19"/>
  <c r="AK287" i="19" s="1"/>
  <c r="AK293" i="19" s="1"/>
  <c r="AK279" i="19"/>
  <c r="AB298" i="19"/>
  <c r="BG302" i="19"/>
  <c r="BG303" i="19" s="1"/>
  <c r="BG304" i="19" s="1"/>
  <c r="BG306" i="19" s="1"/>
  <c r="AX345" i="19"/>
  <c r="AX346" i="19" s="1"/>
  <c r="AX347" i="19" s="1"/>
  <c r="AX349" i="19" s="1"/>
  <c r="AX265" i="19"/>
  <c r="AX266" i="19" s="1"/>
  <c r="AX267" i="19" s="1"/>
  <c r="AX269" i="19" s="1"/>
  <c r="AX283" i="19"/>
  <c r="AX284" i="19" s="1"/>
  <c r="AX285" i="19" s="1"/>
  <c r="AX287" i="19" s="1"/>
  <c r="BG345" i="19"/>
  <c r="BG346" i="19" s="1"/>
  <c r="BG347" i="19" s="1"/>
  <c r="BG349" i="19" s="1"/>
  <c r="BG265" i="19"/>
  <c r="BG266" i="19" s="1"/>
  <c r="BG267" i="19" s="1"/>
  <c r="BG269" i="19" s="1"/>
  <c r="BG283" i="19"/>
  <c r="BG284" i="19" s="1"/>
  <c r="BG285" i="19" s="1"/>
  <c r="BG287" i="19" s="1"/>
  <c r="B241" i="20"/>
  <c r="AX341" i="20"/>
  <c r="AX342" i="20" s="1"/>
  <c r="AX343" i="20" s="1"/>
  <c r="AX345" i="20" s="1"/>
  <c r="D126" i="17"/>
  <c r="D124" i="17"/>
  <c r="D102" i="17"/>
  <c r="D100" i="17"/>
  <c r="D127" i="17"/>
  <c r="D125" i="17"/>
  <c r="D103" i="17"/>
  <c r="D101" i="17"/>
  <c r="D117" i="17"/>
  <c r="D97" i="17"/>
  <c r="D95" i="17"/>
  <c r="D94" i="17"/>
  <c r="D93" i="17"/>
  <c r="D74" i="17"/>
  <c r="D69" i="17"/>
  <c r="D71" i="17" s="1"/>
  <c r="D66" i="17"/>
  <c r="D62" i="17"/>
  <c r="D64" i="17" s="1"/>
  <c r="D82" i="17" s="1"/>
  <c r="D60" i="17"/>
  <c r="D78" i="17" s="1"/>
  <c r="D80" i="17" s="1"/>
  <c r="I196" i="17"/>
  <c r="D144" i="17"/>
  <c r="D48" i="17"/>
  <c r="AB300" i="20" l="1"/>
  <c r="AB297" i="20"/>
  <c r="AB298" i="20" s="1"/>
  <c r="AB302" i="19"/>
  <c r="D225" i="19"/>
  <c r="E227" i="19" s="1"/>
  <c r="P276" i="19"/>
  <c r="F260" i="19" s="1"/>
  <c r="AK274" i="20"/>
  <c r="AM267" i="20"/>
  <c r="D225" i="20"/>
  <c r="E227" i="20" s="1"/>
  <c r="BC284" i="20"/>
  <c r="Z291" i="20"/>
  <c r="AB301" i="19"/>
  <c r="BC286" i="19"/>
  <c r="AA165" i="17"/>
  <c r="F258" i="19" l="1"/>
  <c r="F263" i="19" s="1"/>
  <c r="F259" i="19"/>
  <c r="F261" i="19"/>
  <c r="AK281" i="20"/>
  <c r="AK285" i="20" s="1"/>
  <c r="AK291" i="20" s="1"/>
  <c r="AK277" i="20"/>
  <c r="AB299" i="20"/>
  <c r="AB302" i="20" s="1"/>
  <c r="D153" i="17"/>
  <c r="D218" i="17"/>
  <c r="D140" i="17"/>
  <c r="D142" i="17" s="1"/>
  <c r="F142" i="17" s="1"/>
  <c r="C284" i="17"/>
  <c r="C287" i="17" s="1"/>
  <c r="C288" i="17" s="1"/>
  <c r="C268" i="17"/>
  <c r="C262" i="17"/>
  <c r="C256" i="17"/>
  <c r="BG251" i="17"/>
  <c r="AX251" i="17"/>
  <c r="AX246" i="17" s="1"/>
  <c r="C250" i="17"/>
  <c r="BI248" i="17"/>
  <c r="AZ248" i="17"/>
  <c r="C238" i="17"/>
  <c r="BI232" i="17"/>
  <c r="BG221" i="17" s="1"/>
  <c r="BG222" i="17" s="1"/>
  <c r="BG223" i="17" s="1"/>
  <c r="BG225" i="17" s="1"/>
  <c r="AZ232" i="17"/>
  <c r="AX221" i="17" s="1"/>
  <c r="AX222" i="17" s="1"/>
  <c r="AX223" i="17" s="1"/>
  <c r="AX225" i="17" s="1"/>
  <c r="C230" i="17"/>
  <c r="C228" i="17"/>
  <c r="D223" i="17"/>
  <c r="BG216" i="17"/>
  <c r="AX216" i="17"/>
  <c r="BI213" i="17"/>
  <c r="AZ213" i="17"/>
  <c r="C212" i="17"/>
  <c r="I202" i="17"/>
  <c r="I205" i="17" s="1"/>
  <c r="I206" i="17" s="1"/>
  <c r="I201" i="17"/>
  <c r="AB198" i="17"/>
  <c r="BG197" i="17"/>
  <c r="AX197" i="17"/>
  <c r="BI194" i="17"/>
  <c r="AZ194" i="17"/>
  <c r="Z194" i="17"/>
  <c r="Z195" i="17" s="1"/>
  <c r="BS191" i="17"/>
  <c r="BS193" i="17" s="1"/>
  <c r="BS194" i="17" s="1"/>
  <c r="N168" i="17" s="1"/>
  <c r="AA189" i="17"/>
  <c r="AA190" i="17" s="1"/>
  <c r="I186" i="17"/>
  <c r="I187" i="17" s="1"/>
  <c r="BO185" i="17"/>
  <c r="BG179" i="17"/>
  <c r="AX179" i="17"/>
  <c r="AX167" i="17" s="1"/>
  <c r="AX168" i="17" s="1"/>
  <c r="AX169" i="17" s="1"/>
  <c r="AX171" i="17" s="1"/>
  <c r="J178" i="17"/>
  <c r="BI176" i="17"/>
  <c r="AZ176" i="17"/>
  <c r="J176" i="17"/>
  <c r="AB174" i="17"/>
  <c r="AP173" i="17"/>
  <c r="AP171" i="17"/>
  <c r="AM171" i="17"/>
  <c r="U171" i="17"/>
  <c r="T171" i="17"/>
  <c r="S171" i="17"/>
  <c r="J171" i="17"/>
  <c r="J173" i="17" s="1"/>
  <c r="BO170" i="17"/>
  <c r="BO169" i="17"/>
  <c r="BO171" i="17" s="1"/>
  <c r="BO173" i="17" s="1"/>
  <c r="BO174" i="17" s="1"/>
  <c r="N167" i="17" s="1"/>
  <c r="AN168" i="17"/>
  <c r="AJ171" i="17" s="1"/>
  <c r="AK178" i="17" s="1"/>
  <c r="AL168" i="17"/>
  <c r="AJ168" i="17"/>
  <c r="AL166" i="17"/>
  <c r="AK166" i="17"/>
  <c r="AA166" i="17"/>
  <c r="Z171" i="17" s="1"/>
  <c r="Z170" i="17" s="1"/>
  <c r="J166" i="17"/>
  <c r="F164" i="17" s="1"/>
  <c r="U160" i="17"/>
  <c r="U164" i="17" s="1"/>
  <c r="U165" i="17" s="1"/>
  <c r="Q160" i="17"/>
  <c r="Q164" i="17" s="1"/>
  <c r="Q165" i="17" s="1"/>
  <c r="M160" i="17"/>
  <c r="M164" i="17" s="1"/>
  <c r="M165" i="17" s="1"/>
  <c r="I159" i="17"/>
  <c r="I160" i="17" s="1"/>
  <c r="Q158" i="17"/>
  <c r="D146" i="17"/>
  <c r="F146" i="17" s="1"/>
  <c r="B148" i="17" s="1"/>
  <c r="D121" i="17"/>
  <c r="D119" i="17"/>
  <c r="D118" i="17"/>
  <c r="D129" i="17" s="1"/>
  <c r="D51" i="17"/>
  <c r="D52" i="17" s="1"/>
  <c r="D20" i="17"/>
  <c r="D23" i="17" s="1"/>
  <c r="D10" i="17"/>
  <c r="D9" i="17"/>
  <c r="D11" i="17" s="1"/>
  <c r="D39" i="17"/>
  <c r="D40" i="17" s="1"/>
  <c r="D31" i="17"/>
  <c r="D32" i="17" s="1"/>
  <c r="AX192" i="17" l="1"/>
  <c r="AX211" i="17"/>
  <c r="BG204" i="17"/>
  <c r="BG205" i="17" s="1"/>
  <c r="BG206" i="17" s="1"/>
  <c r="BG208" i="17" s="1"/>
  <c r="AX239" i="17"/>
  <c r="AX240" i="17" s="1"/>
  <c r="AX241" i="17" s="1"/>
  <c r="AX243" i="17" s="1"/>
  <c r="BG174" i="17"/>
  <c r="AX204" i="17"/>
  <c r="AX205" i="17" s="1"/>
  <c r="AX206" i="17" s="1"/>
  <c r="AX208" i="17" s="1"/>
  <c r="C231" i="17"/>
  <c r="I165" i="17"/>
  <c r="J167" i="17" s="1"/>
  <c r="J169" i="17" s="1"/>
  <c r="P178" i="17" s="1"/>
  <c r="I164" i="17"/>
  <c r="AX174" i="17"/>
  <c r="T173" i="17"/>
  <c r="T174" i="17" s="1"/>
  <c r="BG192" i="17"/>
  <c r="C270" i="17"/>
  <c r="AC194" i="17"/>
  <c r="AB201" i="17" s="1"/>
  <c r="BG246" i="17"/>
  <c r="AK181" i="17"/>
  <c r="AK185" i="17"/>
  <c r="AK189" i="17" s="1"/>
  <c r="AK195" i="17" s="1"/>
  <c r="AD171" i="17"/>
  <c r="AB176" i="17" s="1"/>
  <c r="AB178" i="17" s="1"/>
  <c r="AB179" i="17" s="1"/>
  <c r="I197" i="17"/>
  <c r="AX185" i="17"/>
  <c r="AX186" i="17" s="1"/>
  <c r="AX187" i="17" s="1"/>
  <c r="AX189" i="17" s="1"/>
  <c r="AB200" i="17"/>
  <c r="BG167" i="17"/>
  <c r="BG168" i="17" s="1"/>
  <c r="BG169" i="17" s="1"/>
  <c r="BG171" i="17" s="1"/>
  <c r="BG185" i="17"/>
  <c r="BG186" i="17" s="1"/>
  <c r="BG187" i="17" s="1"/>
  <c r="BG189" i="17" s="1"/>
  <c r="BG211" i="17"/>
  <c r="BG239" i="17"/>
  <c r="BG240" i="17" s="1"/>
  <c r="BG241" i="17" s="1"/>
  <c r="BG243" i="17" s="1"/>
  <c r="D130" i="17"/>
  <c r="D105" i="17"/>
  <c r="D106" i="17" s="1"/>
  <c r="D83" i="17"/>
  <c r="D42" i="17"/>
  <c r="D352" i="14"/>
  <c r="D353" i="14"/>
  <c r="C343" i="14"/>
  <c r="I333" i="14"/>
  <c r="I332" i="14"/>
  <c r="AA320" i="14"/>
  <c r="Z325" i="14" s="1"/>
  <c r="Z302" i="14"/>
  <c r="Z301" i="14" s="1"/>
  <c r="AA297" i="14"/>
  <c r="AA296" i="14"/>
  <c r="I293" i="14"/>
  <c r="I290" i="14"/>
  <c r="D132" i="17" l="1"/>
  <c r="E134" i="17" s="1"/>
  <c r="AB202" i="17"/>
  <c r="AB203" i="17" s="1"/>
  <c r="AB204" i="17"/>
  <c r="BC188" i="17"/>
  <c r="F162" i="17"/>
  <c r="F163" i="17"/>
  <c r="F161" i="17"/>
  <c r="F160" i="17"/>
  <c r="F165" i="17" s="1"/>
  <c r="C361" i="14"/>
  <c r="C359" i="14"/>
  <c r="C4" i="14"/>
  <c r="C3" i="14"/>
  <c r="C5" i="14" s="1"/>
  <c r="C423" i="14"/>
  <c r="C435" i="14" s="1"/>
  <c r="C437" i="14" s="1"/>
  <c r="C438" i="14" s="1"/>
  <c r="C413" i="14"/>
  <c r="C416" i="14" s="1"/>
  <c r="D150" i="14"/>
  <c r="D151" i="14" s="1"/>
  <c r="D145" i="14"/>
  <c r="D142" i="14"/>
  <c r="D259" i="14"/>
  <c r="D257" i="14"/>
  <c r="D256" i="14"/>
  <c r="D253" i="14"/>
  <c r="D251" i="14"/>
  <c r="D250" i="14"/>
  <c r="D249" i="14"/>
  <c r="D235" i="14"/>
  <c r="D233" i="14"/>
  <c r="D232" i="14"/>
  <c r="D229" i="14"/>
  <c r="D227" i="14"/>
  <c r="D226" i="14"/>
  <c r="D225" i="14"/>
  <c r="D196" i="14"/>
  <c r="D199" i="14"/>
  <c r="D197" i="14"/>
  <c r="D193" i="14"/>
  <c r="D191" i="14"/>
  <c r="D190" i="14"/>
  <c r="D189" i="14"/>
  <c r="D175" i="14"/>
  <c r="D173" i="14"/>
  <c r="D167" i="14"/>
  <c r="D172" i="14"/>
  <c r="D169" i="14"/>
  <c r="D166" i="14"/>
  <c r="D165" i="14"/>
  <c r="D130" i="14"/>
  <c r="D19" i="14"/>
  <c r="D21" i="14" s="1"/>
  <c r="C11" i="14"/>
  <c r="C10" i="14"/>
  <c r="C9" i="14"/>
  <c r="D117" i="14"/>
  <c r="D109" i="14"/>
  <c r="D100" i="14"/>
  <c r="D103" i="14"/>
  <c r="D87" i="14"/>
  <c r="D88" i="14" s="1"/>
  <c r="D71" i="14"/>
  <c r="D72" i="14" s="1"/>
  <c r="D24" i="14"/>
  <c r="C430" i="14" l="1"/>
  <c r="C432" i="14" s="1"/>
  <c r="C433" i="14" s="1"/>
  <c r="C440" i="14" s="1"/>
  <c r="C417" i="14"/>
  <c r="D177" i="14"/>
  <c r="D178" i="14" s="1"/>
  <c r="C362" i="14"/>
  <c r="C424" i="14"/>
  <c r="C426" i="14" s="1"/>
  <c r="C444" i="14" s="1"/>
  <c r="D261" i="14"/>
  <c r="D262" i="14" s="1"/>
  <c r="D237" i="14"/>
  <c r="D238" i="14" s="1"/>
  <c r="D201" i="14"/>
  <c r="D202" i="14" s="1"/>
  <c r="BS322" i="14"/>
  <c r="BO301" i="14"/>
  <c r="BO300" i="14"/>
  <c r="J307" i="14"/>
  <c r="J302" i="14"/>
  <c r="J297" i="14"/>
  <c r="Q289" i="14"/>
  <c r="D275" i="14" l="1"/>
  <c r="D111" i="14"/>
  <c r="D112" i="14" s="1"/>
  <c r="D119" i="14"/>
  <c r="D55" i="14"/>
  <c r="D56" i="14" s="1"/>
  <c r="D39" i="14"/>
  <c r="BS324" i="14" l="1"/>
  <c r="BS325" i="14" s="1"/>
  <c r="N299" i="14" s="1"/>
  <c r="BO316" i="14"/>
  <c r="U302" i="14"/>
  <c r="T302" i="14"/>
  <c r="S302" i="14"/>
  <c r="BG382" i="14"/>
  <c r="BI379" i="14"/>
  <c r="AX382" i="14"/>
  <c r="AZ379" i="14"/>
  <c r="BI363" i="14"/>
  <c r="AZ363" i="14"/>
  <c r="BG347" i="14"/>
  <c r="BI344" i="14"/>
  <c r="AX347" i="14"/>
  <c r="AZ344" i="14"/>
  <c r="BG328" i="14"/>
  <c r="BI325" i="14"/>
  <c r="AX328" i="14"/>
  <c r="AZ325" i="14"/>
  <c r="BG310" i="14"/>
  <c r="BI307" i="14"/>
  <c r="AX310" i="14"/>
  <c r="AZ307" i="14"/>
  <c r="AK297" i="14"/>
  <c r="U291" i="14"/>
  <c r="Q291" i="14"/>
  <c r="M291" i="14"/>
  <c r="M280" i="18"/>
  <c r="M279" i="18"/>
  <c r="M271" i="18"/>
  <c r="M269" i="18"/>
  <c r="N264" i="18"/>
  <c r="N263" i="18"/>
  <c r="N259" i="18"/>
  <c r="N258" i="18"/>
  <c r="N253" i="18"/>
  <c r="M247" i="18"/>
  <c r="M251" i="18" s="1"/>
  <c r="M252" i="18" s="1"/>
  <c r="C352" i="18"/>
  <c r="C346" i="18"/>
  <c r="C340" i="18"/>
  <c r="C334" i="18"/>
  <c r="C322" i="18"/>
  <c r="D306" i="18"/>
  <c r="D308" i="18" s="1"/>
  <c r="AB283" i="18"/>
  <c r="I279" i="18"/>
  <c r="I280" i="18" s="1"/>
  <c r="U275" i="18"/>
  <c r="U279" i="18" s="1"/>
  <c r="U280" i="18" s="1"/>
  <c r="R275" i="18"/>
  <c r="R279" i="18" s="1"/>
  <c r="R280" i="18" s="1"/>
  <c r="AA274" i="18"/>
  <c r="AA275" i="18" s="1"/>
  <c r="Z279" i="18" s="1"/>
  <c r="Z280" i="18" s="1"/>
  <c r="I271" i="18"/>
  <c r="U268" i="18"/>
  <c r="R268" i="18"/>
  <c r="Q264" i="18"/>
  <c r="J264" i="18"/>
  <c r="U263" i="18"/>
  <c r="U265" i="18" s="1"/>
  <c r="Q263" i="18"/>
  <c r="J263" i="18"/>
  <c r="BE262" i="18"/>
  <c r="BF262" i="18" s="1"/>
  <c r="AT262" i="18"/>
  <c r="AU262" i="18" s="1"/>
  <c r="AI262" i="18"/>
  <c r="AJ262" i="18" s="1"/>
  <c r="AB261" i="18"/>
  <c r="BL260" i="18"/>
  <c r="BA260" i="18"/>
  <c r="AP260" i="18"/>
  <c r="U260" i="18"/>
  <c r="Q260" i="18"/>
  <c r="U259" i="18"/>
  <c r="Q259" i="18"/>
  <c r="J259" i="18"/>
  <c r="BL258" i="18"/>
  <c r="BA258" i="18"/>
  <c r="AP258" i="18"/>
  <c r="J258" i="18"/>
  <c r="Q256" i="18"/>
  <c r="AU255" i="18"/>
  <c r="AT259" i="18" s="1"/>
  <c r="AJ255" i="18"/>
  <c r="AI259" i="18" s="1"/>
  <c r="BF254" i="18"/>
  <c r="BF255" i="18" s="1"/>
  <c r="BE259" i="18" s="1"/>
  <c r="BH253" i="18"/>
  <c r="BG253" i="18"/>
  <c r="AW253" i="18"/>
  <c r="AV253" i="18"/>
  <c r="AL253" i="18"/>
  <c r="AK253" i="18"/>
  <c r="AA253" i="18"/>
  <c r="Z257" i="18" s="1"/>
  <c r="Z258" i="18" s="1"/>
  <c r="J253" i="18"/>
  <c r="U246" i="18"/>
  <c r="U247" i="18" s="1"/>
  <c r="V251" i="18" s="1"/>
  <c r="V252" i="18" s="1"/>
  <c r="Q246" i="18"/>
  <c r="Q247" i="18" s="1"/>
  <c r="R251" i="18" s="1"/>
  <c r="R252" i="18" s="1"/>
  <c r="I247" i="18"/>
  <c r="D233" i="18"/>
  <c r="F233" i="18" s="1"/>
  <c r="D229" i="18"/>
  <c r="F229" i="18" s="1"/>
  <c r="D212" i="18"/>
  <c r="D209" i="18"/>
  <c r="D207" i="18"/>
  <c r="D206" i="18"/>
  <c r="D205" i="18"/>
  <c r="D189" i="18"/>
  <c r="D186" i="18"/>
  <c r="D184" i="18"/>
  <c r="D183" i="18"/>
  <c r="D182" i="18"/>
  <c r="D170" i="18"/>
  <c r="D171" i="18" s="1"/>
  <c r="D154" i="18"/>
  <c r="D151" i="18"/>
  <c r="D149" i="18"/>
  <c r="D148" i="18"/>
  <c r="D147" i="18"/>
  <c r="D131" i="18"/>
  <c r="D128" i="18"/>
  <c r="D126" i="18"/>
  <c r="D125" i="18"/>
  <c r="D124" i="18"/>
  <c r="D108" i="18"/>
  <c r="D109" i="18" s="1"/>
  <c r="D110" i="18" s="1"/>
  <c r="D104" i="18"/>
  <c r="D101" i="18"/>
  <c r="D98" i="18"/>
  <c r="D92" i="18"/>
  <c r="D93" i="18" s="1"/>
  <c r="D78" i="18"/>
  <c r="D79" i="18" s="1"/>
  <c r="D69" i="18"/>
  <c r="D70" i="18" s="1"/>
  <c r="D60" i="18"/>
  <c r="D46" i="18"/>
  <c r="D47" i="18" s="1"/>
  <c r="D30" i="18"/>
  <c r="D31" i="18" s="1"/>
  <c r="D15" i="18"/>
  <c r="D16" i="18" s="1"/>
  <c r="C5" i="18"/>
  <c r="C4" i="18"/>
  <c r="C3" i="18"/>
  <c r="N254" i="18" l="1"/>
  <c r="N256" i="18" s="1"/>
  <c r="AX316" i="14"/>
  <c r="AX317" i="14" s="1"/>
  <c r="AX318" i="14" s="1"/>
  <c r="AX320" i="14" s="1"/>
  <c r="T304" i="14"/>
  <c r="T305" i="14" s="1"/>
  <c r="AX342" i="14"/>
  <c r="BG298" i="14"/>
  <c r="BG299" i="14" s="1"/>
  <c r="BG300" i="14" s="1"/>
  <c r="BG302" i="14" s="1"/>
  <c r="AX370" i="14"/>
  <c r="AX371" i="14" s="1"/>
  <c r="AX372" i="14" s="1"/>
  <c r="AX374" i="14" s="1"/>
  <c r="BO302" i="14"/>
  <c r="BO304" i="14" s="1"/>
  <c r="BO305" i="14" s="1"/>
  <c r="N298" i="14" s="1"/>
  <c r="N260" i="18"/>
  <c r="N265" i="18"/>
  <c r="BG316" i="14"/>
  <c r="BG317" i="14" s="1"/>
  <c r="BG318" i="14" s="1"/>
  <c r="BG320" i="14" s="1"/>
  <c r="AX323" i="14"/>
  <c r="BG335" i="14"/>
  <c r="BG336" i="14" s="1"/>
  <c r="BG337" i="14" s="1"/>
  <c r="BG339" i="14" s="1"/>
  <c r="BG377" i="14"/>
  <c r="M272" i="18"/>
  <c r="M273" i="18" s="1"/>
  <c r="AX335" i="14"/>
  <c r="AX336" i="14" s="1"/>
  <c r="AX337" i="14" s="1"/>
  <c r="AX339" i="14" s="1"/>
  <c r="BG305" i="14"/>
  <c r="BG370" i="14"/>
  <c r="BG371" i="14" s="1"/>
  <c r="BG372" i="14" s="1"/>
  <c r="BG374" i="14" s="1"/>
  <c r="AX377" i="14"/>
  <c r="BG352" i="14"/>
  <c r="BG353" i="14" s="1"/>
  <c r="BG354" i="14" s="1"/>
  <c r="BG356" i="14" s="1"/>
  <c r="AX352" i="14"/>
  <c r="AX353" i="14" s="1"/>
  <c r="AX354" i="14" s="1"/>
  <c r="AX356" i="14" s="1"/>
  <c r="BG342" i="14"/>
  <c r="BG323" i="14"/>
  <c r="AX305" i="14"/>
  <c r="AX298" i="14"/>
  <c r="AX299" i="14" s="1"/>
  <c r="AX300" i="14" s="1"/>
  <c r="AX302" i="14" s="1"/>
  <c r="U295" i="14"/>
  <c r="U296" i="14" s="1"/>
  <c r="Q295" i="14"/>
  <c r="Q296" i="14" s="1"/>
  <c r="M295" i="14"/>
  <c r="M296" i="14" s="1"/>
  <c r="D81" i="18"/>
  <c r="D49" i="18"/>
  <c r="C6" i="18"/>
  <c r="J265" i="18"/>
  <c r="AL255" i="18"/>
  <c r="AH259" i="18" s="1"/>
  <c r="AM258" i="18" s="1"/>
  <c r="Q265" i="18"/>
  <c r="AB256" i="18"/>
  <c r="AB263" i="18" s="1"/>
  <c r="AB265" i="18" s="1"/>
  <c r="AB266" i="18" s="1"/>
  <c r="U261" i="18"/>
  <c r="AN255" i="18"/>
  <c r="AJ258" i="18" s="1"/>
  <c r="D158" i="18"/>
  <c r="D159" i="18" s="1"/>
  <c r="D135" i="18"/>
  <c r="D136" i="18" s="1"/>
  <c r="D216" i="18"/>
  <c r="D217" i="18" s="1"/>
  <c r="J260" i="18"/>
  <c r="Q261" i="18"/>
  <c r="C354" i="18"/>
  <c r="D193" i="18"/>
  <c r="D194" i="18" s="1"/>
  <c r="B235" i="18"/>
  <c r="D113" i="18"/>
  <c r="D114" i="18" s="1"/>
  <c r="BJ255" i="18"/>
  <c r="BF258" i="18" s="1"/>
  <c r="BH255" i="18"/>
  <c r="BD259" i="18" s="1"/>
  <c r="AC279" i="18"/>
  <c r="AB285" i="18" s="1"/>
  <c r="F252" i="18"/>
  <c r="F251" i="18"/>
  <c r="AY255" i="18"/>
  <c r="AU258" i="18" s="1"/>
  <c r="AW255" i="18"/>
  <c r="AS259" i="18" s="1"/>
  <c r="I251" i="18"/>
  <c r="I252" i="18" s="1"/>
  <c r="J254" i="18" s="1"/>
  <c r="J256" i="18" s="1"/>
  <c r="BC319" i="14" l="1"/>
  <c r="AK265" i="18"/>
  <c r="AK271" i="18" s="1"/>
  <c r="AK274" i="18" s="1"/>
  <c r="AK280" i="18" s="1"/>
  <c r="D161" i="18"/>
  <c r="D220" i="18"/>
  <c r="I269" i="18"/>
  <c r="I272" i="18" s="1"/>
  <c r="I273" i="18" s="1"/>
  <c r="BI258" i="18"/>
  <c r="BG265" i="18"/>
  <c r="AB287" i="18"/>
  <c r="AB288" i="18" s="1"/>
  <c r="AV265" i="18"/>
  <c r="AX258" i="18"/>
  <c r="C399" i="14"/>
  <c r="C393" i="14"/>
  <c r="C387" i="14"/>
  <c r="C381" i="14"/>
  <c r="C369" i="14"/>
  <c r="D354" i="14"/>
  <c r="AB329" i="14"/>
  <c r="AB331" i="14" s="1"/>
  <c r="AA321" i="14"/>
  <c r="Z326" i="14" s="1"/>
  <c r="AB305" i="14"/>
  <c r="AD302" i="14" s="1"/>
  <c r="AB307" i="14" s="1"/>
  <c r="AB309" i="14" s="1"/>
  <c r="AP304" i="14"/>
  <c r="AP302" i="14"/>
  <c r="AJ299" i="14"/>
  <c r="AL297" i="14"/>
  <c r="I291" i="14"/>
  <c r="I295" i="14" s="1"/>
  <c r="D277" i="14"/>
  <c r="F277" i="14" s="1"/>
  <c r="D273" i="14"/>
  <c r="F273" i="14" s="1"/>
  <c r="D213" i="14"/>
  <c r="D214" i="14" s="1"/>
  <c r="D264" i="14" s="1"/>
  <c r="D139" i="14"/>
  <c r="D154" i="14" s="1"/>
  <c r="D133" i="14"/>
  <c r="D134" i="14" s="1"/>
  <c r="D120" i="14"/>
  <c r="D122" i="14" s="1"/>
  <c r="D40" i="14"/>
  <c r="D22" i="14"/>
  <c r="D25" i="14" s="1"/>
  <c r="D212" i="8"/>
  <c r="D209" i="8"/>
  <c r="D207" i="8"/>
  <c r="D206" i="8"/>
  <c r="D205" i="8"/>
  <c r="D189" i="8"/>
  <c r="D186" i="8"/>
  <c r="D184" i="8"/>
  <c r="D183" i="8"/>
  <c r="D182" i="8"/>
  <c r="D170" i="8"/>
  <c r="D171" i="8" s="1"/>
  <c r="N257" i="8"/>
  <c r="R264" i="8"/>
  <c r="R266" i="8" s="1"/>
  <c r="N265" i="8"/>
  <c r="J265" i="8"/>
  <c r="N264" i="8"/>
  <c r="J264" i="8"/>
  <c r="N260" i="8"/>
  <c r="N261" i="8"/>
  <c r="R261" i="8"/>
  <c r="R260" i="8"/>
  <c r="R276" i="8"/>
  <c r="R280" i="8" s="1"/>
  <c r="R281" i="8" s="1"/>
  <c r="O276" i="8"/>
  <c r="O280" i="8" s="1"/>
  <c r="O281" i="8" s="1"/>
  <c r="I280" i="8"/>
  <c r="I281" i="8" s="1"/>
  <c r="I272" i="8"/>
  <c r="L279" i="8"/>
  <c r="X275" i="8"/>
  <c r="J260" i="8"/>
  <c r="J259" i="8"/>
  <c r="R247" i="8"/>
  <c r="R248" i="8" s="1"/>
  <c r="S252" i="8" s="1"/>
  <c r="S253" i="8" s="1"/>
  <c r="N247" i="8"/>
  <c r="N248" i="8" s="1"/>
  <c r="O252" i="8" s="1"/>
  <c r="O253" i="8" s="1"/>
  <c r="I250" i="8"/>
  <c r="I247" i="8"/>
  <c r="D307" i="8"/>
  <c r="C3" i="8"/>
  <c r="D154" i="8"/>
  <c r="D151" i="8"/>
  <c r="D149" i="8"/>
  <c r="D148" i="8"/>
  <c r="D147" i="8"/>
  <c r="D131" i="8"/>
  <c r="D128" i="8"/>
  <c r="D126" i="8"/>
  <c r="D125" i="8"/>
  <c r="D124" i="8"/>
  <c r="D60" i="8"/>
  <c r="D15" i="8"/>
  <c r="D16" i="8" s="1"/>
  <c r="D46" i="8"/>
  <c r="D47" i="8" s="1"/>
  <c r="D30" i="8"/>
  <c r="C5" i="8"/>
  <c r="C4" i="8"/>
  <c r="C6" i="8" s="1"/>
  <c r="C401" i="14" l="1"/>
  <c r="B279" i="14"/>
  <c r="D92" i="14"/>
  <c r="F295" i="14"/>
  <c r="AK267" i="18"/>
  <c r="AV271" i="18"/>
  <c r="AV274" i="18" s="1"/>
  <c r="AV280" i="18" s="1"/>
  <c r="AV267" i="18"/>
  <c r="R269" i="18"/>
  <c r="R272" i="18" s="1"/>
  <c r="R273" i="18" s="1"/>
  <c r="BG271" i="18"/>
  <c r="BG274" i="18" s="1"/>
  <c r="BG280" i="18" s="1"/>
  <c r="BG267" i="18"/>
  <c r="U269" i="18"/>
  <c r="U272" i="18" s="1"/>
  <c r="U273" i="18" s="1"/>
  <c r="R262" i="8"/>
  <c r="D193" i="8"/>
  <c r="D194" i="8" s="1"/>
  <c r="J309" i="14"/>
  <c r="J304" i="14"/>
  <c r="D155" i="14"/>
  <c r="D204" i="14" s="1"/>
  <c r="C12" i="14"/>
  <c r="D216" i="8"/>
  <c r="D217" i="8" s="1"/>
  <c r="J254" i="8"/>
  <c r="AC325" i="14"/>
  <c r="AB332" i="14" s="1"/>
  <c r="I296" i="14"/>
  <c r="AN299" i="14"/>
  <c r="AL299" i="14"/>
  <c r="J266" i="8"/>
  <c r="N266" i="8"/>
  <c r="N262" i="8"/>
  <c r="D135" i="8"/>
  <c r="D158" i="8"/>
  <c r="D159" i="8" s="1"/>
  <c r="C143" i="12"/>
  <c r="C132" i="12"/>
  <c r="C134" i="12" s="1"/>
  <c r="C133" i="12"/>
  <c r="J298" i="14" l="1"/>
  <c r="J300" i="14" s="1"/>
  <c r="D220" i="8"/>
  <c r="I336" i="14"/>
  <c r="I337" i="14" s="1"/>
  <c r="AJ302" i="14"/>
  <c r="AK309" i="14" s="1"/>
  <c r="AK316" i="14" s="1"/>
  <c r="AB333" i="14"/>
  <c r="AB334" i="14" s="1"/>
  <c r="I323" i="14"/>
  <c r="I327" i="14" s="1"/>
  <c r="I328" i="14" s="1"/>
  <c r="AB310" i="14"/>
  <c r="P283" i="18"/>
  <c r="F253" i="8"/>
  <c r="F252" i="8"/>
  <c r="AM302" i="14"/>
  <c r="D77" i="1"/>
  <c r="F77" i="1" s="1"/>
  <c r="D72" i="1"/>
  <c r="F72" i="1" s="1"/>
  <c r="D67" i="1"/>
  <c r="F67" i="1" s="1"/>
  <c r="D77" i="13"/>
  <c r="F77" i="13" s="1"/>
  <c r="D72" i="13"/>
  <c r="F72" i="13" s="1"/>
  <c r="D67" i="13"/>
  <c r="F67" i="13" s="1"/>
  <c r="D92" i="12"/>
  <c r="F92" i="12" s="1"/>
  <c r="D87" i="12"/>
  <c r="F87" i="12" s="1"/>
  <c r="D82" i="12"/>
  <c r="F82" i="12" s="1"/>
  <c r="D77" i="12"/>
  <c r="F77" i="12" s="1"/>
  <c r="AK312" i="14" l="1"/>
  <c r="AK320" i="14"/>
  <c r="AK326" i="14" s="1"/>
  <c r="B94" i="12"/>
  <c r="D98" i="12" s="1"/>
  <c r="B79" i="1"/>
  <c r="D83" i="1" s="1"/>
  <c r="B79" i="13"/>
  <c r="D83" i="13" s="1"/>
  <c r="D54" i="12"/>
  <c r="D56" i="12" s="1"/>
  <c r="F56" i="12" s="1"/>
  <c r="D11" i="12"/>
  <c r="F11" i="12" s="1"/>
  <c r="D3" i="12"/>
  <c r="I317" i="14" l="1"/>
  <c r="I318" i="14" s="1"/>
  <c r="P309" i="14" s="1"/>
  <c r="D246" i="1"/>
  <c r="D238" i="1"/>
  <c r="D276" i="12"/>
  <c r="D268" i="12"/>
  <c r="D245" i="13"/>
  <c r="D237" i="13"/>
  <c r="D228" i="1"/>
  <c r="F228" i="1" s="1"/>
  <c r="D227" i="13"/>
  <c r="F227" i="13" s="1"/>
  <c r="D258" i="12"/>
  <c r="F258" i="12" s="1"/>
  <c r="C216" i="1"/>
  <c r="C221" i="1" s="1"/>
  <c r="C215" i="13"/>
  <c r="C220" i="13" s="1"/>
  <c r="D198" i="1"/>
  <c r="D201" i="1" s="1"/>
  <c r="D193" i="1"/>
  <c r="D195" i="1" s="1"/>
  <c r="D189" i="1"/>
  <c r="D191" i="1" s="1"/>
  <c r="D187" i="1"/>
  <c r="D186" i="1"/>
  <c r="D185" i="1"/>
  <c r="D159" i="1"/>
  <c r="D161" i="1" s="1"/>
  <c r="D163" i="1"/>
  <c r="D165" i="1" s="1"/>
  <c r="D199" i="13"/>
  <c r="D202" i="13" s="1"/>
  <c r="D194" i="13"/>
  <c r="D196" i="13" s="1"/>
  <c r="D190" i="13"/>
  <c r="D192" i="13" s="1"/>
  <c r="D188" i="13"/>
  <c r="D187" i="13"/>
  <c r="D186" i="13"/>
  <c r="D169" i="13"/>
  <c r="D172" i="13" s="1"/>
  <c r="D164" i="13"/>
  <c r="D166" i="13" s="1"/>
  <c r="D160" i="13"/>
  <c r="D162" i="13" s="1"/>
  <c r="D158" i="13"/>
  <c r="D157" i="13"/>
  <c r="D156" i="13"/>
  <c r="D155" i="1"/>
  <c r="D168" i="1"/>
  <c r="D171" i="1" s="1"/>
  <c r="D157" i="1"/>
  <c r="D156" i="1"/>
  <c r="J112" i="13"/>
  <c r="J119" i="13"/>
  <c r="D36" i="13"/>
  <c r="C32" i="13"/>
  <c r="C34" i="13" s="1"/>
  <c r="D28" i="13"/>
  <c r="C23" i="13"/>
  <c r="C25" i="13" s="1"/>
  <c r="D140" i="1"/>
  <c r="D142" i="1" s="1"/>
  <c r="D143" i="1" s="1"/>
  <c r="D133" i="1"/>
  <c r="D135" i="1" s="1"/>
  <c r="D136" i="1" s="1"/>
  <c r="D140" i="13"/>
  <c r="D142" i="13" s="1"/>
  <c r="D143" i="13" s="1"/>
  <c r="D133" i="13"/>
  <c r="D135" i="13" s="1"/>
  <c r="D136" i="13" s="1"/>
  <c r="D100" i="11"/>
  <c r="D103" i="11" s="1"/>
  <c r="D95" i="11"/>
  <c r="D97" i="11" s="1"/>
  <c r="D91" i="11"/>
  <c r="D93" i="11" s="1"/>
  <c r="D89" i="11"/>
  <c r="D88" i="11"/>
  <c r="D87" i="11"/>
  <c r="D65" i="11"/>
  <c r="D67" i="11" s="1"/>
  <c r="D61" i="11"/>
  <c r="D63" i="11" s="1"/>
  <c r="D42" i="11"/>
  <c r="J29" i="11"/>
  <c r="D158" i="12"/>
  <c r="D160" i="12" s="1"/>
  <c r="D161" i="12" s="1"/>
  <c r="D151" i="12"/>
  <c r="D70" i="11"/>
  <c r="D73" i="11" s="1"/>
  <c r="D59" i="11"/>
  <c r="D58" i="11"/>
  <c r="D57" i="11"/>
  <c r="D44" i="11"/>
  <c r="D45" i="11" s="1"/>
  <c r="E21" i="11"/>
  <c r="E17" i="11"/>
  <c r="E13" i="11"/>
  <c r="E7" i="11"/>
  <c r="E9" i="11" s="1"/>
  <c r="E3" i="11"/>
  <c r="E5" i="11" s="1"/>
  <c r="E106" i="1"/>
  <c r="E102" i="1"/>
  <c r="E98" i="1"/>
  <c r="E94" i="1"/>
  <c r="E90" i="1"/>
  <c r="D56" i="1"/>
  <c r="D49" i="1"/>
  <c r="D43" i="1"/>
  <c r="D36" i="1"/>
  <c r="C32" i="1"/>
  <c r="C34" i="1" s="1"/>
  <c r="D28" i="1"/>
  <c r="C23" i="1"/>
  <c r="C25" i="1" s="1"/>
  <c r="D16" i="1"/>
  <c r="F16" i="1" s="1"/>
  <c r="D11" i="1"/>
  <c r="F11" i="1" s="1"/>
  <c r="D6" i="1"/>
  <c r="F6" i="1" s="1"/>
  <c r="E106" i="13"/>
  <c r="E102" i="13"/>
  <c r="E98" i="13"/>
  <c r="E94" i="13"/>
  <c r="E90" i="13"/>
  <c r="D56" i="13"/>
  <c r="D49" i="13"/>
  <c r="D43" i="13"/>
  <c r="D45" i="13" s="1"/>
  <c r="F45" i="13" s="1"/>
  <c r="D16" i="13"/>
  <c r="F16" i="13" s="1"/>
  <c r="D11" i="13"/>
  <c r="F11" i="13" s="1"/>
  <c r="D6" i="13"/>
  <c r="F6" i="13" s="1"/>
  <c r="D239" i="12"/>
  <c r="D242" i="12" s="1"/>
  <c r="D235" i="12"/>
  <c r="D237" i="12" s="1"/>
  <c r="D233" i="12"/>
  <c r="D232" i="12"/>
  <c r="D231" i="12"/>
  <c r="D214" i="12"/>
  <c r="D217" i="12" s="1"/>
  <c r="D210" i="12"/>
  <c r="D212" i="12" s="1"/>
  <c r="D206" i="12"/>
  <c r="D208" i="12"/>
  <c r="D207" i="12"/>
  <c r="D189" i="12"/>
  <c r="D192" i="12" s="1"/>
  <c r="D193" i="12" s="1"/>
  <c r="D183" i="12"/>
  <c r="D172" i="12"/>
  <c r="D174" i="12" s="1"/>
  <c r="D175" i="12" s="1"/>
  <c r="D177" i="12"/>
  <c r="D179" i="12" s="1"/>
  <c r="D180" i="12" s="1"/>
  <c r="D167" i="12"/>
  <c r="D169" i="12" s="1"/>
  <c r="D170" i="12" s="1"/>
  <c r="E124" i="12"/>
  <c r="E120" i="12"/>
  <c r="E116" i="12"/>
  <c r="E108" i="12"/>
  <c r="E112" i="12"/>
  <c r="D67" i="12"/>
  <c r="D60" i="12"/>
  <c r="D62" i="12" s="1"/>
  <c r="F62" i="12" s="1"/>
  <c r="D48" i="12"/>
  <c r="D41" i="12"/>
  <c r="C37" i="12"/>
  <c r="C39" i="12" s="1"/>
  <c r="D33" i="12"/>
  <c r="C28" i="12"/>
  <c r="C30" i="12" s="1"/>
  <c r="D16" i="12"/>
  <c r="F16" i="12" s="1"/>
  <c r="D21" i="12"/>
  <c r="F21" i="12" s="1"/>
  <c r="D6" i="12"/>
  <c r="F6" i="12" s="1"/>
  <c r="C169" i="10"/>
  <c r="B164" i="10"/>
  <c r="D2" i="10"/>
  <c r="F292" i="14" l="1"/>
  <c r="F291" i="14"/>
  <c r="F296" i="14" s="1"/>
  <c r="F294" i="14"/>
  <c r="F293" i="14"/>
  <c r="D173" i="1"/>
  <c r="D174" i="1" s="1"/>
  <c r="B23" i="12"/>
  <c r="E23" i="11"/>
  <c r="D75" i="11"/>
  <c r="D76" i="11" s="1"/>
  <c r="D244" i="12"/>
  <c r="D245" i="12" s="1"/>
  <c r="D203" i="1"/>
  <c r="D204" i="1" s="1"/>
  <c r="D204" i="13"/>
  <c r="D205" i="13" s="1"/>
  <c r="D174" i="13"/>
  <c r="D175" i="13" s="1"/>
  <c r="D57" i="1"/>
  <c r="F57" i="1" s="1"/>
  <c r="D45" i="1"/>
  <c r="F45" i="1" s="1"/>
  <c r="D57" i="13"/>
  <c r="F57" i="13" s="1"/>
  <c r="D51" i="13"/>
  <c r="F51" i="13" s="1"/>
  <c r="B18" i="13"/>
  <c r="E108" i="13"/>
  <c r="B18" i="1"/>
  <c r="E108" i="1"/>
  <c r="D51" i="1"/>
  <c r="F51" i="1" s="1"/>
  <c r="D105" i="11"/>
  <c r="D106" i="11" s="1"/>
  <c r="D50" i="12"/>
  <c r="F50" i="12" s="1"/>
  <c r="D68" i="12"/>
  <c r="F68" i="12" s="1"/>
  <c r="E126" i="12"/>
  <c r="D108" i="11" l="1"/>
  <c r="D206" i="1"/>
  <c r="D207" i="13"/>
  <c r="B70" i="12"/>
  <c r="B59" i="13"/>
  <c r="B59" i="1"/>
  <c r="D309" i="8"/>
  <c r="Y284" i="8"/>
  <c r="X276" i="8"/>
  <c r="W280" i="8" s="1"/>
  <c r="W281" i="8" s="1"/>
  <c r="R269" i="8"/>
  <c r="O269" i="8"/>
  <c r="BC255" i="8"/>
  <c r="BC256" i="8" s="1"/>
  <c r="BB260" i="8" s="1"/>
  <c r="AR256" i="8"/>
  <c r="AQ260" i="8" s="1"/>
  <c r="BB263" i="8"/>
  <c r="BC263" i="8" s="1"/>
  <c r="BI261" i="8"/>
  <c r="BI259" i="8"/>
  <c r="BE254" i="8"/>
  <c r="BD254" i="8"/>
  <c r="AQ263" i="8"/>
  <c r="AR263" i="8" s="1"/>
  <c r="AX261" i="8"/>
  <c r="AX259" i="8"/>
  <c r="AT254" i="8"/>
  <c r="AS254" i="8"/>
  <c r="Z280" i="8" l="1"/>
  <c r="Y286" i="8" s="1"/>
  <c r="BG256" i="8"/>
  <c r="BC259" i="8" s="1"/>
  <c r="BE256" i="8"/>
  <c r="BA260" i="8" s="1"/>
  <c r="AV256" i="8"/>
  <c r="AR259" i="8" s="1"/>
  <c r="AT256" i="8"/>
  <c r="AP260" i="8" s="1"/>
  <c r="J261" i="8"/>
  <c r="I248" i="8"/>
  <c r="D234" i="8"/>
  <c r="F234" i="8" s="1"/>
  <c r="C347" i="8"/>
  <c r="C353" i="8"/>
  <c r="D108" i="8"/>
  <c r="D109" i="8" s="1"/>
  <c r="D110" i="8" s="1"/>
  <c r="D104" i="8"/>
  <c r="D98" i="8"/>
  <c r="C341" i="8"/>
  <c r="C335" i="8"/>
  <c r="C323" i="8"/>
  <c r="AF263" i="8"/>
  <c r="AG263" i="8" s="1"/>
  <c r="Y262" i="8"/>
  <c r="AM261" i="8"/>
  <c r="L269" i="8"/>
  <c r="AM259" i="8"/>
  <c r="AG256" i="8"/>
  <c r="AF260" i="8" s="1"/>
  <c r="AH254" i="8"/>
  <c r="X254" i="8"/>
  <c r="W258" i="8" s="1"/>
  <c r="W259" i="8" s="1"/>
  <c r="D230" i="8"/>
  <c r="F230" i="8" s="1"/>
  <c r="D101" i="8"/>
  <c r="D78" i="8"/>
  <c r="D79" i="8" s="1"/>
  <c r="D69" i="8"/>
  <c r="D70" i="8" s="1"/>
  <c r="D31" i="8"/>
  <c r="D49" i="8" s="1"/>
  <c r="D149" i="10"/>
  <c r="D152" i="10" s="1"/>
  <c r="D156" i="10" s="1"/>
  <c r="D157" i="10" s="1"/>
  <c r="C142" i="10"/>
  <c r="C136" i="10"/>
  <c r="D96" i="10"/>
  <c r="D98" i="10" s="1"/>
  <c r="D99" i="10" s="1"/>
  <c r="D87" i="10"/>
  <c r="D86" i="10"/>
  <c r="D88" i="10" s="1"/>
  <c r="D89" i="10" s="1"/>
  <c r="D73" i="10"/>
  <c r="D75" i="10" s="1"/>
  <c r="D76" i="10" s="1"/>
  <c r="D64" i="10"/>
  <c r="D63" i="10"/>
  <c r="D50" i="10"/>
  <c r="D49" i="10"/>
  <c r="D19" i="10"/>
  <c r="D18" i="10"/>
  <c r="D7" i="10"/>
  <c r="D8" i="10"/>
  <c r="D43" i="10"/>
  <c r="D42" i="10"/>
  <c r="D9" i="10" l="1"/>
  <c r="D10" i="10" s="1"/>
  <c r="D81" i="8"/>
  <c r="L252" i="8"/>
  <c r="L253" i="8" s="1"/>
  <c r="I252" i="8"/>
  <c r="I253" i="8" s="1"/>
  <c r="AS266" i="8"/>
  <c r="O270" i="8" s="1"/>
  <c r="O273" i="8" s="1"/>
  <c r="O274" i="8" s="1"/>
  <c r="C355" i="8"/>
  <c r="BD266" i="8"/>
  <c r="R270" i="8" s="1"/>
  <c r="R273" i="8" s="1"/>
  <c r="R274" i="8" s="1"/>
  <c r="C144" i="10"/>
  <c r="D136" i="8"/>
  <c r="D92" i="8"/>
  <c r="D93" i="8" s="1"/>
  <c r="L277" i="8"/>
  <c r="L280" i="8" s="1"/>
  <c r="L281" i="8" s="1"/>
  <c r="BF259" i="8"/>
  <c r="AU259" i="8"/>
  <c r="Y257" i="8"/>
  <c r="Y264" i="8" s="1"/>
  <c r="I270" i="8" s="1"/>
  <c r="B236" i="8"/>
  <c r="AK256" i="8"/>
  <c r="AG259" i="8" s="1"/>
  <c r="AI256" i="8"/>
  <c r="AE260" i="8" s="1"/>
  <c r="D113" i="8"/>
  <c r="D114" i="8" s="1"/>
  <c r="AI254" i="8"/>
  <c r="D20" i="10"/>
  <c r="D21" i="10" s="1"/>
  <c r="D65" i="10"/>
  <c r="D66" i="10" s="1"/>
  <c r="D101" i="10" s="1"/>
  <c r="D44" i="10"/>
  <c r="D45" i="10" s="1"/>
  <c r="D31" i="10"/>
  <c r="D30" i="10"/>
  <c r="D32" i="10" s="1"/>
  <c r="D33" i="10" s="1"/>
  <c r="J255" i="8" l="1"/>
  <c r="AH266" i="8"/>
  <c r="AH272" i="8" s="1"/>
  <c r="D161" i="8"/>
  <c r="Y288" i="8"/>
  <c r="Y289" i="8" s="1"/>
  <c r="BD268" i="8"/>
  <c r="BD272" i="8"/>
  <c r="BD275" i="8" s="1"/>
  <c r="BD281" i="8" s="1"/>
  <c r="AS268" i="8"/>
  <c r="AS272" i="8"/>
  <c r="AS275" i="8" s="1"/>
  <c r="AS281" i="8" s="1"/>
  <c r="J257" i="8"/>
  <c r="AJ259" i="8"/>
  <c r="I273" i="8"/>
  <c r="I274" i="8" s="1"/>
  <c r="Y266" i="8"/>
  <c r="Y267" i="8" s="1"/>
  <c r="D51" i="10"/>
  <c r="AH268" i="8" l="1"/>
  <c r="AH275" i="8"/>
  <c r="AH281" i="8" s="1"/>
  <c r="L270" i="8"/>
  <c r="L273" i="8" s="1"/>
  <c r="L274" i="8" l="1"/>
  <c r="M284" i="8" s="1"/>
  <c r="D184" i="12" l="1"/>
  <c r="D186" i="12" s="1"/>
  <c r="D187" i="12" s="1"/>
  <c r="D195" i="12" s="1"/>
  <c r="D153" i="12"/>
  <c r="D154" i="12" s="1"/>
  <c r="D219" i="12" l="1"/>
  <c r="D220" i="12" s="1"/>
  <c r="D248" i="12" s="1"/>
  <c r="D112" i="10" l="1"/>
  <c r="D114" i="10" s="1"/>
  <c r="F114" i="10" s="1"/>
  <c r="C122" i="10"/>
  <c r="C123" i="10" s="1"/>
  <c r="C128" i="10" s="1"/>
  <c r="D110" i="10"/>
  <c r="F110" i="10" s="1"/>
  <c r="B116" i="10" s="1"/>
  <c r="C7" i="9"/>
  <c r="C12" i="9" s="1"/>
  <c r="D9" i="7"/>
  <c r="D11" i="7" s="1"/>
  <c r="F11" i="7" s="1"/>
  <c r="D27" i="7"/>
  <c r="D33" i="7" s="1"/>
  <c r="D35" i="7" s="1"/>
  <c r="D7" i="7"/>
  <c r="F7" i="7" s="1"/>
  <c r="C7" i="6"/>
  <c r="C12" i="6" s="1"/>
  <c r="C7" i="5"/>
  <c r="C12" i="5" s="1"/>
  <c r="C7" i="2"/>
  <c r="C12" i="2" s="1"/>
  <c r="J5" i="4"/>
  <c r="H3" i="4"/>
  <c r="D9" i="3"/>
  <c r="D11" i="3" s="1"/>
  <c r="F11" i="3" s="1"/>
  <c r="D7" i="3"/>
  <c r="F7" i="3" s="1"/>
  <c r="D27" i="3"/>
  <c r="D33" i="3" s="1"/>
  <c r="D35" i="3" s="1"/>
  <c r="B13" i="3" l="1"/>
  <c r="B13" i="7"/>
  <c r="I257" i="20"/>
  <c r="I260" i="20"/>
  <c r="I261" i="20" s="1"/>
  <c r="J263" i="20" s="1"/>
  <c r="J265" i="20" s="1"/>
  <c r="P274" i="20" s="1"/>
  <c r="F259" i="20" l="1"/>
  <c r="F256" i="20"/>
  <c r="F261" i="20" s="1"/>
  <c r="F258" i="20"/>
  <c r="F257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20" authorId="0" shapeId="0" xr:uid="{80B91F99-D196-46DE-9436-4833D85D5092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1" authorId="0" shapeId="0" xr:uid="{E65A0E3F-A6E2-4D98-801D-F04DA93A817D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164" authorId="0" shapeId="0" xr:uid="{DDC86CFD-58D3-46FF-8528-6897B9B9B9E3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165" authorId="0" shapeId="0" xr:uid="{D07F4F78-B8CC-4C67-ADC0-151E33ABC99E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29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9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25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5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25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5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tc={F0243EE5-E24B-4F53-80D3-1B4FDD3A0102}</author>
    <author>choward4</author>
  </authors>
  <commentList>
    <comment ref="H15" authorId="0" shapeId="0" xr:uid="{F0243EE5-E24B-4F53-80D3-1B4FDD3A0102}">
      <text>
        <t>[Threaded comment]
Your version of Excel allows you to read this threaded comment; however, any edits to it will get removed if the file is opened in a newer version of Excel. Learn more: https://go.microsoft.com/fwlink/?linkid=870924
Comment:
    2*Beam Depth +3*Flange Width-2*Web Thickness</t>
      </text>
    </comment>
    <comment ref="F20" authorId="1" shapeId="0" xr:uid="{B3D7744F-AF58-4087-B52B-E3608FA19BC2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1" authorId="1" shapeId="0" xr:uid="{331713E0-B69E-4B10-A6AE-14898051505F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tc={A3B6DEEE-4510-4D67-AC71-7731F3893EAE}</author>
    <author>choward4</author>
  </authors>
  <commentList>
    <comment ref="H15" authorId="0" shapeId="0" xr:uid="{A3B6DEEE-4510-4D67-AC71-7731F3893EAE}">
      <text>
        <t>[Threaded comment]
Your version of Excel allows you to read this threaded comment; however, any edits to it will get removed if the file is opened in a newer version of Excel. Learn more: https://go.microsoft.com/fwlink/?linkid=870924
Comment:
    2*Beam Depth +3*Flange Width-2*Web Thickness</t>
      </text>
    </comment>
    <comment ref="F20" authorId="1" shapeId="0" xr:uid="{9D41784E-BF34-44B7-9B51-54ACB9DC8B76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1" authorId="1" shapeId="0" xr:uid="{66FC1408-F6E3-4DB0-882C-9D9EF9012357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tc={501EC9E5-25C2-4DC5-BB6D-0E329AA93D3C}</author>
    <author>choward4</author>
  </authors>
  <commentList>
    <comment ref="H15" authorId="0" shapeId="0" xr:uid="{501EC9E5-25C2-4DC5-BB6D-0E329AA93D3C}">
      <text>
        <t>[Threaded comment]
Your version of Excel allows you to read this threaded comment; however, any edits to it will get removed if the file is opened in a newer version of Excel. Learn more: https://go.microsoft.com/fwlink/?linkid=870924
Comment:
    2*Beam Depth +3*Flange Width-2*Web Thickness</t>
      </text>
    </comment>
    <comment ref="F20" authorId="1" shapeId="0" xr:uid="{CC4110DA-08F4-43E1-A987-90DA13C5EBC2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1" authorId="1" shapeId="0" xr:uid="{8F13A606-7860-48FA-B444-08E28559C811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tc={B90F0CB6-A395-462D-BDB7-E5702FDACB9D}</author>
    <author>choward4</author>
  </authors>
  <commentList>
    <comment ref="H15" authorId="0" shapeId="0" xr:uid="{B90F0CB6-A395-462D-BDB7-E5702FDACB9D}">
      <text>
        <t>[Threaded comment]
Your version of Excel allows you to read this threaded comment; however, any edits to it will get removed if the file is opened in a newer version of Excel. Learn more: https://go.microsoft.com/fwlink/?linkid=870924
Comment:
    2*Beam Depth +3*Flange Width-2*Web Thickness</t>
      </text>
    </comment>
    <comment ref="F20" authorId="1" shapeId="0" xr:uid="{134D05D8-A384-44DA-B43B-C61A8FFB5DA6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1" authorId="1" shapeId="0" xr:uid="{C84BF53E-E812-42B4-A52B-4AF21E5140FF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tc={51DA4ECA-F22C-449F-9C28-9C6CF2049179}</author>
    <author>choward4</author>
  </authors>
  <commentList>
    <comment ref="H15" authorId="0" shapeId="0" xr:uid="{51DA4ECA-F22C-449F-9C28-9C6CF2049179}">
      <text>
        <t>[Threaded comment]
Your version of Excel allows you to read this threaded comment; however, any edits to it will get removed if the file is opened in a newer version of Excel. Learn more: https://go.microsoft.com/fwlink/?linkid=870924
Comment:
    2*Beam Depth +3*Flange Width-2*Web Thickness</t>
      </text>
    </comment>
    <comment ref="F20" authorId="1" shapeId="0" xr:uid="{B38797D7-8876-4C18-AD9C-FB1490615C63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1" authorId="1" shapeId="0" xr:uid="{793C652B-7C18-440A-B1CD-51A8804983B1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186" authorId="0" shapeId="0" xr:uid="{3D0F9727-7F22-4D44-87D2-A1F10A0FCB05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187" authorId="0" shapeId="0" xr:uid="{1C8774F8-027E-4D93-8B32-214AF15EDE53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260" authorId="0" shapeId="0" xr:uid="{4F2AA694-1932-40BB-8086-65336481B975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61" authorId="0" shapeId="0" xr:uid="{5D7CD122-F601-4DC1-8848-79C1D65155AB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262" authorId="0" shapeId="0" xr:uid="{78EF2200-38D6-4222-9875-FF7544F95538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263" authorId="0" shapeId="0" xr:uid="{08360613-C54B-4BCE-9DA7-DD802645C2F9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sharedStrings.xml><?xml version="1.0" encoding="utf-8"?>
<sst xmlns="http://schemas.openxmlformats.org/spreadsheetml/2006/main" count="9001" uniqueCount="720">
  <si>
    <t>ITEM 846 - POLYMER MODIFIED EXPANSION JOINT</t>
  </si>
  <si>
    <t>WIDTH =</t>
  </si>
  <si>
    <t>FT</t>
  </si>
  <si>
    <t>DEPTH =</t>
  </si>
  <si>
    <t>BRIDGE WIDTH =</t>
  </si>
  <si>
    <t>SKEWED JT LENGTH =</t>
  </si>
  <si>
    <t># OF PMA JOINTS =</t>
  </si>
  <si>
    <t xml:space="preserve">TOTAL VOLUME = </t>
  </si>
  <si>
    <t>CU YD</t>
  </si>
  <si>
    <t>ITEM 842 - CORRECTING APPROACH SLABS USING POLYURETHANE FOAM</t>
  </si>
  <si>
    <t>APPROACH SLAB WIDTH =</t>
  </si>
  <si>
    <t>APPROACH SLAB LENGTH =</t>
  </si>
  <si>
    <t># OF APPROACH SLABS =</t>
  </si>
  <si>
    <t>CU FT</t>
  </si>
  <si>
    <t>APPLICATION RATE</t>
  </si>
  <si>
    <t>POUNDS/CU FT</t>
  </si>
  <si>
    <t>CONTINGENCY</t>
  </si>
  <si>
    <t>TOTAL WEIGHT</t>
  </si>
  <si>
    <t>POUNDS</t>
  </si>
  <si>
    <t>ROUND UP</t>
  </si>
  <si>
    <t>ITEM 512 - TREATING BRIDGE DECKS WITH GRAVITY FED RESIN</t>
  </si>
  <si>
    <t>(TOE/TOE OF PARAPETS)</t>
  </si>
  <si>
    <t>APPROACH SLAB SEALING AREA =</t>
  </si>
  <si>
    <t>SQ FT  =</t>
  </si>
  <si>
    <t>SQ YD</t>
  </si>
  <si>
    <t>BRIDGE DECK LENGTH</t>
  </si>
  <si>
    <t>BRIDGE DECK WIDTH =</t>
  </si>
  <si>
    <t>(BRIDGE LIMITS)</t>
  </si>
  <si>
    <t xml:space="preserve">TOTAL = </t>
  </si>
  <si>
    <t>ITEM 202 - VANDAL PROTECTION FENCE REMOVED, AS PER PLAN</t>
  </si>
  <si>
    <t>SKEW ANGLE =</t>
  </si>
  <si>
    <t>DEGREES</t>
  </si>
  <si>
    <t>ITEM 607 - VANDAL PROTECTION FENCE, 8' STRAIGHT, COATED FABRIC, AS PER PLAN</t>
  </si>
  <si>
    <t>1 PANEL @ 5'-9 1/2"</t>
  </si>
  <si>
    <t>22 PANELS @ 7'-5 1/2"</t>
  </si>
  <si>
    <t>TOE/TOE OF PARAPETS</t>
  </si>
  <si>
    <t>BRIDGE DECK SEALING AREA =</t>
  </si>
  <si>
    <t>Repair Area Height =</t>
  </si>
  <si>
    <t>Repair Area Width =</t>
  </si>
  <si>
    <t xml:space="preserve">Sealing Area = </t>
  </si>
  <si>
    <t>SQ FT</t>
  </si>
  <si>
    <t>ITEM 519 - PATCHING CONCRETE STRUCTURE</t>
  </si>
  <si>
    <t xml:space="preserve">Repair Area = </t>
  </si>
  <si>
    <t># of Repair Areas =</t>
  </si>
  <si>
    <t>ITEM 510 - DOWEL HOLES WITH NON-SHRINK, NON-METALLIC GROUT</t>
  </si>
  <si>
    <t>REAR ABUTMENT =</t>
  </si>
  <si>
    <t>FWD. ABUTMENT =</t>
  </si>
  <si>
    <t>ITEM 511 - CLASS QC2 CONCRETE, SUPERSTRUCTURE</t>
  </si>
  <si>
    <t xml:space="preserve">REAR ABUMENT </t>
  </si>
  <si>
    <t>INCHES</t>
  </si>
  <si>
    <t>Add'l Thickness at Edge of deck =</t>
  </si>
  <si>
    <t>Volume =</t>
  </si>
  <si>
    <t>ft</t>
  </si>
  <si>
    <t xml:space="preserve">FORWARD ABUMENT </t>
  </si>
  <si>
    <t>Backwall Width =</t>
  </si>
  <si>
    <t>Backwall Length =</t>
  </si>
  <si>
    <t xml:space="preserve">Volume = </t>
  </si>
  <si>
    <t>TOTAL =</t>
  </si>
  <si>
    <t>ITEM 512 - SEALING OF CONCRETE SURFACES WITH EPOXY URETHANE</t>
  </si>
  <si>
    <t>DECK EDGE PERIMETER =</t>
  </si>
  <si>
    <t>BRIDGE DECK LENGTH =</t>
  </si>
  <si>
    <t># OF SIDES =</t>
  </si>
  <si>
    <t xml:space="preserve">SEALING AREA = </t>
  </si>
  <si>
    <t>PIER CAPS</t>
  </si>
  <si>
    <t># OF PIERS =</t>
  </si>
  <si>
    <t>END OF PIER CAP</t>
  </si>
  <si>
    <t>TOP OF PIER CAP</t>
  </si>
  <si>
    <t>SIDE OF PIER CAP</t>
  </si>
  <si>
    <t># OF ENDS</t>
  </si>
  <si>
    <t># OF TOP AREAS</t>
  </si>
  <si>
    <t># OF SIDE AREAS</t>
  </si>
  <si>
    <t>BOTTOM OF PIER CAP</t>
  </si>
  <si>
    <t>Degrees</t>
  </si>
  <si>
    <t xml:space="preserve">BOTTOM ANGLE = </t>
  </si>
  <si>
    <t>BOTTOM LENGTH =</t>
  </si>
  <si>
    <t>BOTTOM AREA =</t>
  </si>
  <si>
    <t>PIER THICKNESS</t>
  </si>
  <si>
    <t># OF BOTTOM AREAS</t>
  </si>
  <si>
    <t xml:space="preserve">TOTAL AREA = </t>
  </si>
  <si>
    <t>ITEM 512 - REMOVAL OF COATINGS FROM CONCRETE SURFACES</t>
  </si>
  <si>
    <t>REAR ABUTMENT (ASSUME ALL CONCRETE IS SEALED ABOVE TOP OF FOOTING)</t>
  </si>
  <si>
    <t>BEAM SEAT WIDTH =</t>
  </si>
  <si>
    <t>BEAM SEAT LENGTH =</t>
  </si>
  <si>
    <t>HEIGHT OF BEAM SEAT =</t>
  </si>
  <si>
    <t>FACE OF BEAM SEAT =</t>
  </si>
  <si>
    <t>BEAM SEAT =</t>
  </si>
  <si>
    <t>SIDES OF BEAM SEAT</t>
  </si>
  <si>
    <t>SQ FT (CADD)</t>
  </si>
  <si>
    <t>BACKWALL THICKNESS =</t>
  </si>
  <si>
    <t>FORWARD ABUTMENT (ASSUME ALL CONCRETE IS SEALED ABOVE TOP OF FOOTING)</t>
  </si>
  <si>
    <t>GRAND TOTAL =</t>
  </si>
  <si>
    <t>surface area:</t>
  </si>
  <si>
    <t>in</t>
  </si>
  <si>
    <r>
      <t>2D+3W-2t</t>
    </r>
    <r>
      <rPr>
        <vertAlign val="subscript"/>
        <sz val="11"/>
        <color theme="1"/>
        <rFont val="Calibri"/>
        <family val="2"/>
        <scheme val="minor"/>
      </rPr>
      <t>w</t>
    </r>
  </si>
  <si>
    <t>00050</t>
  </si>
  <si>
    <t>SURFACE PREPARATION OF EXISTING STRUCTURAL STEEL</t>
  </si>
  <si>
    <t>00056</t>
  </si>
  <si>
    <t>FIELD PAINTING OF EXISTING STRUCTURAL STEEL, PRIME COAT</t>
  </si>
  <si>
    <t>00060</t>
  </si>
  <si>
    <t>FIELD PAINTING OF EXISTING STRUCTURAL STEEL, INTERMEDIATE COAT</t>
  </si>
  <si>
    <t>length:</t>
  </si>
  <si>
    <t>C</t>
  </si>
  <si>
    <t>L4x4x5/16</t>
  </si>
  <si>
    <t xml:space="preserve"> lb per ft</t>
  </si>
  <si>
    <t>00066</t>
  </si>
  <si>
    <t>FIELD PAINTING OF EXISTING STRUCTURAL STEEL, FINISH COAT</t>
  </si>
  <si>
    <t>designation:</t>
  </si>
  <si>
    <t>End Span</t>
  </si>
  <si>
    <t>Mid Span</t>
  </si>
  <si>
    <t>00504</t>
  </si>
  <si>
    <t>GRINDING FINS, TEARS, SLIVERS ON EXISTING STRUCTURAL STEEL</t>
  </si>
  <si>
    <t>MANHOURS</t>
  </si>
  <si>
    <t>area:</t>
  </si>
  <si>
    <t>sq ft</t>
  </si>
  <si>
    <t>C=</t>
  </si>
  <si>
    <t>FINAL INSPECTION REPAIR</t>
  </si>
  <si>
    <t>EACH</t>
  </si>
  <si>
    <t>area + 10%:</t>
  </si>
  <si>
    <r>
      <t>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</t>
    </r>
  </si>
  <si>
    <t>C/3</t>
  </si>
  <si>
    <t>C/6</t>
  </si>
  <si>
    <t>Total Beam Length =</t>
  </si>
  <si>
    <t>Total Area per Beam</t>
  </si>
  <si>
    <t>Total # of Beams</t>
  </si>
  <si>
    <t>Total Paint Area for all Beams</t>
  </si>
  <si>
    <t>Ft</t>
  </si>
  <si>
    <t>Sq Ft</t>
  </si>
  <si>
    <t>End X-frame</t>
  </si>
  <si>
    <t>quantity:</t>
  </si>
  <si>
    <t xml:space="preserve"> Total X-Frame member length =</t>
  </si>
  <si>
    <t>length=</t>
  </si>
  <si>
    <t xml:space="preserve">L3x3x1/4" Paint Area = </t>
  </si>
  <si>
    <t>Incl. Gusset Pl. =&gt; =</t>
  </si>
  <si>
    <t>Area + 10%</t>
  </si>
  <si>
    <t>Paint area per =</t>
  </si>
  <si>
    <t>End Crossframe</t>
  </si>
  <si>
    <t>Steel Weight for end Crossframes</t>
  </si>
  <si>
    <t>Pounds</t>
  </si>
  <si>
    <t>Add 10% for gusset plates</t>
  </si>
  <si>
    <t># of End Crossframes</t>
  </si>
  <si>
    <t>Total Weight of End Crossframe Structural Steel</t>
  </si>
  <si>
    <t>ITEM 516 - STRUCTURAL EXPANSION JOINT INCLUDING ELASTOMERIC STRIP SEAL, AS PER PLAN</t>
  </si>
  <si>
    <t>Deck Slab Length =</t>
  </si>
  <si>
    <t>Deck Slab Width =</t>
  </si>
  <si>
    <t xml:space="preserve">Deck Slab Thickness = </t>
  </si>
  <si>
    <t>Deck Overhang Width =</t>
  </si>
  <si>
    <t xml:space="preserve">Skew = </t>
  </si>
  <si>
    <t>Total Length =</t>
  </si>
  <si>
    <t>REAR ABUTMENT</t>
  </si>
  <si>
    <t>FWD. ABUTMENT</t>
  </si>
  <si>
    <t>GRAND TOTAL FOR PAINTING:</t>
  </si>
  <si>
    <t>REAR APPROACH SLAB =</t>
  </si>
  <si>
    <t>FWD. APPROACH SLAB =</t>
  </si>
  <si>
    <t>ITEM 204 - SUBGRADE COMPACTION</t>
  </si>
  <si>
    <t>Approach slab extension width =</t>
  </si>
  <si>
    <t>Approach slab extension length =</t>
  </si>
  <si>
    <t># of Extensions per Approach Slab</t>
  </si>
  <si>
    <t>Total =</t>
  </si>
  <si>
    <t>Sq Yd</t>
  </si>
  <si>
    <t>ITEM 304 - AGGREGATE BASE</t>
  </si>
  <si>
    <t>Aggregate Thickness</t>
  </si>
  <si>
    <t>Cu Ft</t>
  </si>
  <si>
    <t>Cu Yd</t>
  </si>
  <si>
    <t>ITEM 203 -EXCAVATION</t>
  </si>
  <si>
    <t>Depth of Excavation =</t>
  </si>
  <si>
    <t>ITEM 203 -EMBANKMENT</t>
  </si>
  <si>
    <t>Depth of Appr. Slab =</t>
  </si>
  <si>
    <t>REAR APPROACH SLAB</t>
  </si>
  <si>
    <t>REAR APPROACH SLAB PARAPET</t>
  </si>
  <si>
    <t>Parapet Area =</t>
  </si>
  <si>
    <t>Parapet Transition Length =</t>
  </si>
  <si>
    <t>Concrete Volume =</t>
  </si>
  <si>
    <t># of Transitions per Appr. Slab =</t>
  </si>
  <si>
    <t>Cu FT</t>
  </si>
  <si>
    <t>Fwd. Abutment</t>
  </si>
  <si>
    <t>Rear Abutment</t>
  </si>
  <si>
    <t>ITEM 512 - SEALING CONCRETE SURFACES WITH EPOXY-URETHANE</t>
  </si>
  <si>
    <t>Parapet Transition Perimeter =</t>
  </si>
  <si>
    <t># of Approach Slabs =</t>
  </si>
  <si>
    <t>Fwd Abutment</t>
  </si>
  <si>
    <t xml:space="preserve">Total = </t>
  </si>
  <si>
    <t>Pier 1 Stem</t>
  </si>
  <si>
    <t>Pier 1 Cap</t>
  </si>
  <si>
    <t>Beams 1-5</t>
  </si>
  <si>
    <t>Intermediate Crossframes for Beams 1-5</t>
  </si>
  <si>
    <t>Rear Abutment End Crossframes for Beams 1-5</t>
  </si>
  <si>
    <t>Stiffener surface area:</t>
  </si>
  <si>
    <t># of Stiffeners</t>
  </si>
  <si>
    <t>Area =</t>
  </si>
  <si>
    <t>Stiffener edge included with web painting</t>
  </si>
  <si>
    <t>17.666+(2*7.10)+(2*4.93)+3.96</t>
  </si>
  <si>
    <t>Bays 2-3 &amp; 3-4</t>
  </si>
  <si>
    <t>Bays 1-2 &amp; 4-5</t>
  </si>
  <si>
    <t>Int. 3 Leg X-frame</t>
  </si>
  <si>
    <t>Rear Expansion Joint Length =</t>
  </si>
  <si>
    <t>Fwd Expansion Joint Length =</t>
  </si>
  <si>
    <t>FORWARD APPROACH SLAB</t>
  </si>
  <si>
    <t>FORWARD APPROACH SLAB PARAPET</t>
  </si>
  <si>
    <t>Rear Approach Slab</t>
  </si>
  <si>
    <t>Approach slab extension width +1'=</t>
  </si>
  <si>
    <t>Approach slab extension length +1'=</t>
  </si>
  <si>
    <t>Item 659 - SEEDING AND MULCHING</t>
  </si>
  <si>
    <t xml:space="preserve">AREA = </t>
  </si>
  <si>
    <t>ITEM 516 - 1" PEJF</t>
  </si>
  <si>
    <t>PARAPETS =</t>
  </si>
  <si>
    <t>Forward Abutment End Crossframes</t>
  </si>
  <si>
    <t>ITEM 254 - PAVEMENT PLANING, ASPHALT</t>
  </si>
  <si>
    <t>LENGTH =</t>
  </si>
  <si>
    <t>(TOE OF SIEDWALK CURB TO TOE OF PARAPETS)</t>
  </si>
  <si>
    <t>APPROACH PVMT LENGTH =</t>
  </si>
  <si>
    <t>APPROACH PVMT WIDTH =</t>
  </si>
  <si>
    <t># OF APPROACHES  =</t>
  </si>
  <si>
    <t>APPROACH PVMT PLANING AREA =</t>
  </si>
  <si>
    <t>BRIDGE DECK PLANING AREA =</t>
  </si>
  <si>
    <t>ITEM 202 - SIDEWALK REMOVED</t>
  </si>
  <si>
    <t>ITEM 202 - CURB REMOVED</t>
  </si>
  <si>
    <t>ITEM 608 - 4" SIDEWALK</t>
  </si>
  <si>
    <t>AREA =</t>
  </si>
  <si>
    <t>ITEM 609 - CUTB TYPE 2</t>
  </si>
  <si>
    <t>ITEM 856 - ASPHALT CONCRETE SURFACE COURSE, TYPE 1, PG64-28</t>
  </si>
  <si>
    <t>ASPHALT DEPTH =</t>
  </si>
  <si>
    <t>CU FT  =</t>
  </si>
  <si>
    <t>ITEM 512 - HOT APPLIED ASPHALT JOINT SEALER</t>
  </si>
  <si>
    <t>REAR FIXED JOINT WIDTH =</t>
  </si>
  <si>
    <t>FORWARD EXPANSION JOINT CONC HEADER =</t>
  </si>
  <si>
    <t>REAR ABUMENT SIDEWALK &amp; PARAPET CURB</t>
  </si>
  <si>
    <t>(TOE OF SIEDWALK CURB &amp; TOE OF PARAPET)</t>
  </si>
  <si>
    <t>(TOE OF SIEDWALK CURB TO TOE OF PARAPET)</t>
  </si>
  <si>
    <t>FORWARD ABUMENT SIDEWALK &amp; PARAPET CURB</t>
  </si>
  <si>
    <t>BRIDGE DECK SIDEWALK &amp; PARAPET CURB</t>
  </si>
  <si>
    <t>ITEM 607 - VANDAL PROTECTION FENCE, 12' CURVED, COATED FABRIC, AS PER PLAN</t>
  </si>
  <si>
    <t>PIER COLUMN PERIMETER =</t>
  </si>
  <si>
    <t>PIER COLUMN HEIGHT</t>
  </si>
  <si>
    <t># OF PIER COLUMNS=</t>
  </si>
  <si>
    <t>TOTAL AREA =</t>
  </si>
  <si>
    <t xml:space="preserve">GRAND TOTAL AREA = </t>
  </si>
  <si>
    <t>HEIGHT OF BREAST WALL =</t>
  </si>
  <si>
    <t>FACE OF WINGWALLS</t>
  </si>
  <si>
    <t># OF WINGWALLS</t>
  </si>
  <si>
    <t>LENGTH OF WINGWALL</t>
  </si>
  <si>
    <t>WINGWALL PARAPET PERIMETER</t>
  </si>
  <si>
    <t>BRIDGE DECK &amp; PARAPET</t>
  </si>
  <si>
    <t>FORWARD ABUTMENT (ASSUME ALL CONCRETE IS SEALED ABOVE CONC BARRIER OR GROUNDLINE)</t>
  </si>
  <si>
    <t>REAR ABUTMENT (ASSUME ALL CONCRETE IS SEALED ABOVE CONC BARRIER OR GROUNDLINE)</t>
  </si>
  <si>
    <t>ITEM 202 - REMOVAL OF DELAMINATIONS/SPALLS FROM BOTTOM OF SUPERSTRUCTURE</t>
  </si>
  <si>
    <t>LUMP SUM</t>
  </si>
  <si>
    <t>BRIDGE DECK &amp; SIDEWALK</t>
  </si>
  <si>
    <t>DECK/PARAPET/SIDEWALK PERIMETER =</t>
  </si>
  <si>
    <t>DECK EDGE/PARAPET PERIMETER =</t>
  </si>
  <si>
    <t>FACE OF STRAIGHT WINGWALLS</t>
  </si>
  <si>
    <t>FACE OF TURNBACK WINGWALLS</t>
  </si>
  <si>
    <t>(FIXED JOINT)</t>
  </si>
  <si>
    <t>ITEM 512 - TYPE 3 WATERPROOFING</t>
  </si>
  <si>
    <t>ITEM 519 - PATCHING CONCRETE STRUCTURE, AS PER PLAN</t>
  </si>
  <si>
    <t>TOP OF PRESTRESSED BEAMS</t>
  </si>
  <si>
    <t xml:space="preserve"># OF BEAMS = </t>
  </si>
  <si>
    <t>LENGTH OF BEAMS =</t>
  </si>
  <si>
    <t>WIDTH OF BEAMS =</t>
  </si>
  <si>
    <t>ASSUME 5% REPAIR AREA</t>
  </si>
  <si>
    <t>ITEM 519 - SPECIAL - PATCHING CONCRETE STRUCTURE, MISC. SHEAR KEY REPAIRS</t>
  </si>
  <si>
    <t xml:space="preserve">REPAIR LENGTH = </t>
  </si>
  <si>
    <t>HOT APPLIED ASPHALT JOINT SEALER</t>
  </si>
  <si>
    <t>22 PANELS @ 5'-3" =</t>
  </si>
  <si>
    <t>REAR APPROACH PVMT LENGTH =</t>
  </si>
  <si>
    <t>FWD APPROACH PVMT LENGTH =</t>
  </si>
  <si>
    <t>ITEM 407 - TACK COAT FOR INTERMEDIATE COURSE</t>
  </si>
  <si>
    <t xml:space="preserve"># OF GALLONS REQ'D = </t>
  </si>
  <si>
    <t>GALLON/SQ YD</t>
  </si>
  <si>
    <t xml:space="preserve">APPLICATION RATE = </t>
  </si>
  <si>
    <t>GALLONS</t>
  </si>
  <si>
    <t>12 PANELS @ 5'-3" =</t>
  </si>
  <si>
    <t>23 PANELS @ 5'-3" =</t>
  </si>
  <si>
    <t>ITEM 253 - PAVEMENT REPAIR, APP</t>
  </si>
  <si>
    <t>VOLUME =</t>
  </si>
  <si>
    <t>ITEM 512 - SEALING CONCRETE BRIDGE DECK WITH HMWM RESIN</t>
  </si>
  <si>
    <t>BACKWALL HEIGHT =</t>
  </si>
  <si>
    <t>HEIGHT FROM GROUND TO BEAM SEAT =</t>
  </si>
  <si>
    <t>PARAPET =</t>
  </si>
  <si>
    <t>SF</t>
  </si>
  <si>
    <t>DECK =</t>
  </si>
  <si>
    <t>TRANSITION =</t>
  </si>
  <si>
    <t>2 CY</t>
  </si>
  <si>
    <t xml:space="preserve">BACKWALL </t>
  </si>
  <si>
    <t>Haunch Width =</t>
  </si>
  <si>
    <t>ITEM 511 - CLASS QC3 CONCRETE, SUPERSTRUCTURE</t>
  </si>
  <si>
    <t>ITEM 511 - CLASS QC3 CONCRETE, ABUTMENT</t>
  </si>
  <si>
    <t>Girder Flange Width =</t>
  </si>
  <si>
    <t>Haunch Thickness =</t>
  </si>
  <si>
    <t xml:space="preserve">Backwall Height = </t>
  </si>
  <si>
    <t xml:space="preserve">DECK SLAB AT REAR ABUMENT </t>
  </si>
  <si>
    <t xml:space="preserve">DECK SLAB AT FORWARD ABUMENT </t>
  </si>
  <si>
    <t>PARAPETS</t>
  </si>
  <si>
    <t xml:space="preserve">End Area = </t>
  </si>
  <si>
    <t xml:space="preserve">Length = </t>
  </si>
  <si>
    <t xml:space="preserve"># of Parapets = </t>
  </si>
  <si>
    <t>CF</t>
  </si>
  <si>
    <t xml:space="preserve">Transition Volume = </t>
  </si>
  <si>
    <t>CY</t>
  </si>
  <si>
    <t># of Transitions</t>
  </si>
  <si>
    <t>BRIDGE DECK/PARAPET</t>
  </si>
  <si>
    <t>FACE OF BACKWALL=</t>
  </si>
  <si>
    <t>WINGWALLS=</t>
  </si>
  <si>
    <t># of wing Walls =</t>
  </si>
  <si>
    <t xml:space="preserve">PARAPETS= </t>
  </si>
  <si>
    <t>ITEM 516 - BEARING, ROCKER</t>
  </si>
  <si>
    <t>Deck Slab</t>
  </si>
  <si>
    <t>ITEM 516 - REFURBISH BEARING, AS PER PLAN</t>
  </si>
  <si>
    <t xml:space="preserve">PIER 4 = </t>
  </si>
  <si>
    <t xml:space="preserve"> </t>
  </si>
  <si>
    <t xml:space="preserve">ITEM 514 - (Paint the structural steel using OZEU 514 specifications using Federal Color Number 15450 Blue). </t>
  </si>
  <si>
    <t>Variable Depth over Piers</t>
  </si>
  <si>
    <t>56" PL. Girder Straight  (16" Wide Flange)</t>
  </si>
  <si>
    <t>56" PL. Girder Variable Depth (20" Wide Flange)</t>
  </si>
  <si>
    <t>56" PL Girder</t>
  </si>
  <si>
    <t>Variable Depth Intermediate Crossframes for Beams 1-5</t>
  </si>
  <si>
    <t>90" Max PL Girder</t>
  </si>
  <si>
    <t>Var. Depth Int. 3-Leg X-frame</t>
  </si>
  <si>
    <t>Girder Web Ht=</t>
  </si>
  <si>
    <t>9.5+(2*5.5)+(2*4.77)</t>
  </si>
  <si>
    <t>Rear End X-frame</t>
  </si>
  <si>
    <t>Forward End X-frame</t>
  </si>
  <si>
    <t>Girder Ht=</t>
  </si>
  <si>
    <t>Utility Supports</t>
  </si>
  <si>
    <t>Lateral Brace WT6X135</t>
  </si>
  <si>
    <t>Variable Depth Vertical</t>
  </si>
  <si>
    <t>Vert. Stiffener surf. area:</t>
  </si>
  <si>
    <t>Abut. Brg. Stiff. surf. area:</t>
  </si>
  <si>
    <t>Pier Brg. Stiff. surf. area:</t>
  </si>
  <si>
    <t># of Scuppers</t>
  </si>
  <si>
    <t>Each</t>
  </si>
  <si>
    <t>Scupper Surf. Area =</t>
  </si>
  <si>
    <t xml:space="preserve">Paint for 35 Bearings = </t>
  </si>
  <si>
    <t>ITEM 516 - 1/8" PREFORMED BEARING PAD</t>
  </si>
  <si>
    <t>(Along overlay constructio joint)</t>
  </si>
  <si>
    <t>Longitudinal Web Stiffeners at Piers</t>
  </si>
  <si>
    <t>518 - SCUPPER, MISC.: DEBRIS REMOVAL</t>
  </si>
  <si>
    <r>
      <t>2(D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+T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)+3W-2t</t>
    </r>
    <r>
      <rPr>
        <vertAlign val="subscript"/>
        <sz val="11"/>
        <color theme="1"/>
        <rFont val="Calibri"/>
        <family val="2"/>
        <scheme val="minor"/>
      </rPr>
      <t>w</t>
    </r>
  </si>
  <si>
    <t>72" PL. Girder Straight  (18" Wide Flange) Flange thickness: 1.75</t>
  </si>
  <si>
    <t>Endspan</t>
  </si>
  <si>
    <t>V1</t>
  </si>
  <si>
    <t>V2</t>
  </si>
  <si>
    <t>Midspan</t>
  </si>
  <si>
    <t>Total Area per beam</t>
  </si>
  <si>
    <t xml:space="preserve">L4x4x5/16" Paint Area = </t>
  </si>
  <si>
    <t>surface area Diag:</t>
  </si>
  <si>
    <t>surface area Hor:</t>
  </si>
  <si>
    <t>length Diag:</t>
  </si>
  <si>
    <t>length Hor:</t>
  </si>
  <si>
    <t>Tot. Hor. Length</t>
  </si>
  <si>
    <t>Tot. Diagonal Length</t>
  </si>
  <si>
    <t xml:space="preserve">Total Paint Area = </t>
  </si>
  <si>
    <t>Total</t>
  </si>
  <si>
    <t>Abutment end crossframe</t>
  </si>
  <si>
    <t>9.83+(2*5.8999)+(2*6.3350)</t>
  </si>
  <si>
    <t>area + 10%: for Gusset Plates</t>
  </si>
  <si>
    <t>End Crossframes</t>
  </si>
  <si>
    <t>Length</t>
  </si>
  <si>
    <t>Span=</t>
  </si>
  <si>
    <t>Quantity</t>
  </si>
  <si>
    <t>Total Painted Area</t>
  </si>
  <si>
    <t>Total Paint Area</t>
  </si>
  <si>
    <t>Total Area</t>
  </si>
  <si>
    <t>Painting</t>
  </si>
  <si>
    <t>Bearings</t>
  </si>
  <si>
    <t>Area</t>
  </si>
  <si>
    <t>Fixed</t>
  </si>
  <si>
    <t>Painted Area</t>
  </si>
  <si>
    <t>Add 10%</t>
  </si>
  <si>
    <t>Hinge(x2)</t>
  </si>
  <si>
    <t>sq in</t>
  </si>
  <si>
    <t>top/bottom</t>
  </si>
  <si>
    <t>Side</t>
  </si>
  <si>
    <t>Total surface</t>
  </si>
  <si>
    <t>Total Painted Hinges</t>
  </si>
  <si>
    <t>Scuppers</t>
  </si>
  <si>
    <t>Internal Hinges</t>
  </si>
  <si>
    <t>SINGLE SLOPE PARAPETS</t>
  </si>
  <si>
    <t xml:space="preserve">4 Parapet Transitions = </t>
  </si>
  <si>
    <t>TOTAL</t>
  </si>
  <si>
    <t>Backwall Plan Area =</t>
  </si>
  <si>
    <t>ITEM 516 - ELASTOMERIC BEARING WITH INTERNAL LAMINATES AND LOAD PLATE, AS PER PLAN</t>
  </si>
  <si>
    <t>72" PL. Girder Straight  (18" Wide Flange) Flange thickness: 2.125" MIN, 2.5" MAX</t>
  </si>
  <si>
    <t>72" PL. Girder Straight  (18" Wide Flange) Flange thickness: 1.25" MIN, 1.50" MAX</t>
  </si>
  <si>
    <t>Abut. &amp; Pier Brg. Stiff. surf. area:</t>
  </si>
  <si>
    <t>Intermediate Bridge Crossframes</t>
  </si>
  <si>
    <t>Lateral Crossframes</t>
  </si>
  <si>
    <t>Girder Spacing =</t>
  </si>
  <si>
    <t>Info Unverified - Do Not Use</t>
  </si>
  <si>
    <t>DECK SLAB AT HINGE 1</t>
  </si>
  <si>
    <t>DECK SLAB AT HINGE 2</t>
  </si>
  <si>
    <t>LEFT WINGWALL=</t>
  </si>
  <si>
    <t>RIGHT WINGWALL=</t>
  </si>
  <si>
    <t>SIDE, TOP &amp; BACK OF WINGWALL =</t>
  </si>
  <si>
    <t xml:space="preserve">DECK AREA = </t>
  </si>
  <si>
    <t xml:space="preserve">DECK LENGTH = </t>
  </si>
  <si>
    <t>DECK WIDTH =</t>
  </si>
  <si>
    <t>FT (TOE/TOE OF PARAPET)</t>
  </si>
  <si>
    <t>FWD. APPROACH SLAB</t>
  </si>
  <si>
    <t>BRIDGE DECK</t>
  </si>
  <si>
    <t>848 - SURFACE PREPARATION USING HYDRODEMOLITION</t>
  </si>
  <si>
    <t>848 - HAND CHIPPING</t>
  </si>
  <si>
    <t>848 - TEST SLAB</t>
  </si>
  <si>
    <t>848 - SUPERPLASTICIZED DENSE CONCRETE OVERLAY (VARIABLE THICKNESS), MATERIAL ONLY</t>
  </si>
  <si>
    <t xml:space="preserve">VOLUME = </t>
  </si>
  <si>
    <t xml:space="preserve">FWD APPROACH SLAB AREA = </t>
  </si>
  <si>
    <t>TOTAL VOLUME =</t>
  </si>
  <si>
    <t>848  - EXISTING CONCRETE OVERLAY REMOVED</t>
  </si>
  <si>
    <t>Rear Abutment End Crossframes for Beams 1-4</t>
  </si>
  <si>
    <t>Abutment &amp; Hinge End Crossframes</t>
  </si>
  <si>
    <t>TOTAL WEIGHT  =</t>
  </si>
  <si>
    <t>ITEM 503 - UNCLASSIFIED EXCAVATION</t>
  </si>
  <si>
    <t>848 - FULL DEPTH REPAIR</t>
  </si>
  <si>
    <t>Pier 3 Cap</t>
  </si>
  <si>
    <t>Pier ? Stem</t>
  </si>
  <si>
    <t>848 - SUPERPLASTICIZED DENSE CONCRETE OVERLAY USING HYDRODEMOLITION (T=1.75")</t>
  </si>
  <si>
    <t>ITEM 513 - REPLACEMENT OF DETERIORATED END CROSS FRAMES</t>
  </si>
  <si>
    <t>ITEM 513 - TRIMMING BEAM ENDS</t>
  </si>
  <si>
    <t>W30x132 Straight  (10.5" Wide Flange) Flange thickness: 1"</t>
  </si>
  <si>
    <t>surface area: (2D-3Bf-Tw)</t>
  </si>
  <si>
    <t>W30x132</t>
  </si>
  <si>
    <t xml:space="preserve"> Total L3x3x3/8" X-Frame member length =</t>
  </si>
  <si>
    <t>Paint area per End Crossframe</t>
  </si>
  <si>
    <t>Beam Web Ht=</t>
  </si>
  <si>
    <t>Slider-Expan.</t>
  </si>
  <si>
    <t>Elastomeric</t>
  </si>
  <si>
    <t>Varies</t>
  </si>
  <si>
    <t>ITEM 516 - ARMORLESS PREFORMED JOINT SYSTEM, AS PER PLAN</t>
  </si>
  <si>
    <t>ITEM 511 - CLASS QC1 CONCRETE WITH QC/QA, ABUTMENT</t>
  </si>
  <si>
    <t>REAR ABUTMENT PARAPETS =</t>
  </si>
  <si>
    <t>FWD. ABUTMENT PARAPETS =</t>
  </si>
  <si>
    <t xml:space="preserve">SUPERSTRUCTURE PARAPETS= </t>
  </si>
  <si>
    <t xml:space="preserve">Transition Rehab Volume = </t>
  </si>
  <si>
    <t>Avg.</t>
  </si>
  <si>
    <t>ITEM 513- STRUCTURAL STEEL FOR REHABILITATION</t>
  </si>
  <si>
    <t xml:space="preserve">3'x1'x1/2" WEB PLATE = </t>
  </si>
  <si>
    <t>Abutment End Crossframes</t>
  </si>
  <si>
    <t>16.2 SF * 0.75" thk (AVERAGE)</t>
  </si>
  <si>
    <t>ITEM 512 - SEALING OF CONCRETE SURFACES WITH EPOXY-URETHANE</t>
  </si>
  <si>
    <t xml:space="preserve">Total Length = </t>
  </si>
  <si>
    <t>518 - PLUG SCUPPER</t>
  </si>
  <si>
    <t>530 - STRUCTURE DRAINAGE, MISC.: PLUG SCUPPER</t>
  </si>
  <si>
    <t>LUMP</t>
  </si>
  <si>
    <t>530 - STRUCTURES, MISC.: SWEEPING BRIDGES</t>
  </si>
  <si>
    <t>530 - STRUCTURES, MISC.: CLEANING OF DRAINAGE SYSTEMS</t>
  </si>
  <si>
    <t>530 - STRUCTURES, MISC.: CLEANING BRIDGE JOINTS</t>
  </si>
  <si>
    <t>530 - STRUCTURES, MISC.: CLEANING OF BRIDGE SEATS</t>
  </si>
  <si>
    <t>518 - PIPE DOWNSPOUT, INCLUDING SPECIALS, AS PER PLAN</t>
  </si>
  <si>
    <t>516 - JACKING AND TEMPORARY SUPPORT OF SUPERSTRUCTURE, AS PER PLAN</t>
  </si>
  <si>
    <t>PIER CAP HEIGHT</t>
  </si>
  <si>
    <t>PIER CAP LENGTH</t>
  </si>
  <si>
    <t>PIER COLUMN PERIM.</t>
  </si>
  <si>
    <t>END OF PIER CAP AREA</t>
  </si>
  <si>
    <t>TOP OF PIER CAP AREA</t>
  </si>
  <si>
    <t>PIER COLUMN HEIGHT  =</t>
  </si>
  <si>
    <t>PIER COLUMN AREA =</t>
  </si>
  <si>
    <t xml:space="preserve"># OF PIER COLUMNS = </t>
  </si>
  <si>
    <t>EA</t>
  </si>
  <si>
    <t xml:space="preserve">TOTAL COLUMN AREA = </t>
  </si>
  <si>
    <t>SIDES &amp; TOP OF WINGWALL PARAPETS =</t>
  </si>
  <si>
    <t>ITEM 512 - REMOVAL OF EXISTING CONCRETE SEALER</t>
  </si>
  <si>
    <t>ITEM 511 - CLASS QC3 CONCRETE WITH QC/QA, ABUTMENT</t>
  </si>
  <si>
    <t>ITEM 511 - CLASS QC3 CONCRETE WITH QC/QA, SUPERSTRUCTURE</t>
  </si>
  <si>
    <t>REAR ABUTMENT DIAPHRAGM</t>
  </si>
  <si>
    <t>Diaphragm Width =</t>
  </si>
  <si>
    <t>Diaphragm Height =</t>
  </si>
  <si>
    <t>Diaphragm Depth =</t>
  </si>
  <si>
    <t># of haunches</t>
  </si>
  <si>
    <t>FORWARD ABUTMENT DIAPHRAGM</t>
  </si>
  <si>
    <t>REAR ABUTMENT WING WALLS =</t>
  </si>
  <si>
    <t>FWD. ABUTMENT WING WALLS =</t>
  </si>
  <si>
    <t>Wing Wall Area</t>
  </si>
  <si>
    <t>Wing Wall Thickness</t>
  </si>
  <si>
    <t>SQ FT (Cadd)</t>
  </si>
  <si>
    <t>Deck Slab Repair</t>
  </si>
  <si>
    <t xml:space="preserve">Deck Length = </t>
  </si>
  <si>
    <t xml:space="preserve">Deck Depth = </t>
  </si>
  <si>
    <t xml:space="preserve">Deck Thickness= </t>
  </si>
  <si>
    <t>ITEM 516 - 2" PEJF</t>
  </si>
  <si>
    <t>BETWEEN APPROACH SLAB PARAPETS AND ABUTMENT WING WALLS</t>
  </si>
  <si>
    <t>Rear Abutment End Crossframes for Beams 1-7</t>
  </si>
  <si>
    <t>9.93+(2*4.3033)+(2*3.2096)</t>
  </si>
  <si>
    <t>W33x130</t>
  </si>
  <si>
    <t>Beam Ht =</t>
  </si>
  <si>
    <t>W33x130 Straight  (11.5" Wide Flange) Flange thickness: 0.7"</t>
  </si>
  <si>
    <t xml:space="preserve">FORWARD ABUTMENT = </t>
  </si>
  <si>
    <t>ITEM 516 - SEMI-INTEGRAL ABUTMENT EXPANSION JOINT SEAL</t>
  </si>
  <si>
    <t>848 - SUPERPLASTICIZED DENSE CONCRETE OVERLAY USING HYDRODEMOLITION (T=2.25")</t>
  </si>
  <si>
    <t>FT (TOE/TOE OF PARAPET INCLUDING ADD'L AREA FROM SCUPPER TO PARAPET)</t>
  </si>
  <si>
    <t xml:space="preserve">ITEM 514 - (Paint the structural steel using OZEU 514 specifications using Federal Color Number 14070 Green/15450 Blue). </t>
  </si>
  <si>
    <t>(CONSTRUCTION JOINT)</t>
  </si>
  <si>
    <t>Painted Area (SF)</t>
  </si>
  <si>
    <t>Total Area (SF)</t>
  </si>
  <si>
    <t>ITEM 202 - PORTIONS OF STRUCTURE REMOVED, OVER 20 FOOT SPAN, AS PER PLAN</t>
  </si>
  <si>
    <t>ITEM 202 - BULB ANGLE DRAINAGE SYSTEM REMOVED</t>
  </si>
  <si>
    <t xml:space="preserve">SUPERSTRUCTURE PARAPETS = </t>
  </si>
  <si>
    <t>ABUTMENT BACKWALL</t>
  </si>
  <si>
    <t xml:space="preserve">BACKWALL LENGTH = </t>
  </si>
  <si>
    <t xml:space="preserve">DEPTH = </t>
  </si>
  <si>
    <t xml:space="preserve">HEIGHT = </t>
  </si>
  <si>
    <t>WINGWALL LENGTH =</t>
  </si>
  <si>
    <t>WINGWALL HEIGHT =</t>
  </si>
  <si>
    <t># OF WINGWALLS =</t>
  </si>
  <si>
    <t># OF BACKWALLS =</t>
  </si>
  <si>
    <t>(MAX LENGTH)</t>
  </si>
  <si>
    <t>ITEM 512- TYPE 2 WATERPROOFING</t>
  </si>
  <si>
    <t>ABUTMENT WING WALLS = 4 WINGWALLS * 2' WIDE * 11' LONG @ C.J.</t>
  </si>
  <si>
    <t>ITEM 516 - PREFORMED ELASTOMERIC COMPRESSION JOINT SEAL</t>
  </si>
  <si>
    <t>ITEM 518 - POROUS BACKFILL WITH GEOTEXTILE FABRIC</t>
  </si>
  <si>
    <t>LENGTH = (BACKWALL + 2 WINGWALLS)</t>
  </si>
  <si>
    <t xml:space="preserve"># OF ABUTMENTS = </t>
  </si>
  <si>
    <t>TOTAL VOLUME</t>
  </si>
  <si>
    <t>846 - POLYMER MODIFIED ASPHALT EXPANSION JOINT SYSTEM</t>
  </si>
  <si>
    <t># OF JOINTS =</t>
  </si>
  <si>
    <t>ITEM 848 - SUPERPLASTICIZED DENSE CONCRETE OVERLAY (VARIABLE THICKNESS), MATERIAL ONLY</t>
  </si>
  <si>
    <t>THICKNESS</t>
  </si>
  <si>
    <t xml:space="preserve">FT </t>
  </si>
  <si>
    <t>518 - 6" PERFORATED CORRUGATED PLASTIC PIPE</t>
  </si>
  <si>
    <t>518 - 6" NON-PERFORATED CORRUGATED PLASTIC PIPE, INCLUDING SPECIALS</t>
  </si>
  <si>
    <t>526 - REINFORCED CONCRETE APPROACH SLAB (T=15")</t>
  </si>
  <si>
    <t xml:space="preserve">SLAB LENGTH = </t>
  </si>
  <si>
    <t>SLAB WIDTH =</t>
  </si>
  <si>
    <t># OF SLABS</t>
  </si>
  <si>
    <t>526 - TYPE A INSTALLATION</t>
  </si>
  <si>
    <t>ABUTMENT BACKWALL + 2 WINGWALLS</t>
  </si>
  <si>
    <t>848 - HANDCHIPPING</t>
  </si>
  <si>
    <t>SY</t>
  </si>
  <si>
    <t>REAR ABUTMENT DIAPHRAGM GUIDE</t>
  </si>
  <si>
    <t>FWD ABUTMENT DIAPHRAGM GUIDE</t>
  </si>
  <si>
    <t>607 - 6' STRAIGHT VANDAL FENCE</t>
  </si>
  <si>
    <t xml:space="preserve">TOTAL LENGTH = </t>
  </si>
  <si>
    <t>From Cad</t>
  </si>
  <si>
    <t>ITEM 511 - CONCRETE MISC.: DECK EDGE REPAIR</t>
  </si>
  <si>
    <t>ITEM 511 - CONCRETE MISC.: DECK REPAIR FOR BULB ANGLE REMOVAL</t>
  </si>
  <si>
    <t># OF BULB ANGLE REMOVALS =</t>
  </si>
  <si>
    <t>ITEM 512 - SEALING CONCRETE BRIDGE DECK WITH GRAVITY FED  RESIN</t>
  </si>
  <si>
    <t>PAINTING HP PIER PILES</t>
  </si>
  <si>
    <t xml:space="preserve">PILE PERIMETER = </t>
  </si>
  <si>
    <t xml:space="preserve">PILE LENGTH = </t>
  </si>
  <si>
    <t xml:space="preserve"># OF PILES = </t>
  </si>
  <si>
    <t xml:space="preserve"># OF PIERS = </t>
  </si>
  <si>
    <t>S.F.</t>
  </si>
  <si>
    <t xml:space="preserve"># OF RAILINGS =  </t>
  </si>
  <si>
    <t xml:space="preserve">Railing Length = </t>
  </si>
  <si>
    <t xml:space="preserve">FLANGE PLATES = </t>
  </si>
  <si>
    <t>WEB PLATE =</t>
  </si>
  <si>
    <t>C.F.</t>
  </si>
  <si>
    <t xml:space="preserve"># OF REPAIR LOCATIONS = </t>
  </si>
  <si>
    <t>TOTAL POUNDS OF STEEL =</t>
  </si>
  <si>
    <t>LB</t>
  </si>
  <si>
    <t xml:space="preserve">150% of Repair Area = </t>
  </si>
  <si>
    <t>ITEM 843 - PATCHING CONCRETE WITH TROWELABLE MORTAR</t>
  </si>
  <si>
    <t>REAR ABUTMENT AT DECK SLAB SHEAR KEY =</t>
  </si>
  <si>
    <t xml:space="preserve">TOTAL PIER AREA = </t>
  </si>
  <si>
    <t xml:space="preserve">TOTAL REAR ABUTMENT AREA = </t>
  </si>
  <si>
    <t xml:space="preserve">TOTAL FORWARD ABUTMENT AREA = </t>
  </si>
  <si>
    <t>FRONT, TOP &amp; BACK OF WINGWALLS=</t>
  </si>
  <si>
    <t xml:space="preserve">END OF WING WALLS = </t>
  </si>
  <si>
    <t>ITEM 517 - RAILING UPGRADE TO DBR-3-11</t>
  </si>
  <si>
    <t>ITEM 503 - COFFERDAMS AND EXCAVATION BRACING</t>
  </si>
  <si>
    <t>ITEM 512 - REMOVAL OF EXISTING PAVEMENT MARKING</t>
  </si>
  <si>
    <t>ITEM 513 - STRUCTURAL STEEL, LEVEL UF (PIER PILE REHAB)</t>
  </si>
  <si>
    <t>FT (OUT/OUT OF DECK)</t>
  </si>
  <si>
    <t>848  - EXISTING CONCRETE OVERLAY REMOVED (T=1.25" MSC)</t>
  </si>
  <si>
    <t>(Underside of deck slab at fwd abutment)</t>
  </si>
  <si>
    <t>Avg. Wingwall Length = 4.2 ft</t>
  </si>
  <si>
    <t>ITEM 512 -TREATING CONCRETE BRIDGE DECK WITH HMWM  RESIN</t>
  </si>
  <si>
    <t>(INCLUDES EXTRA HEIGHT FOR SLAB TURNDOWN)</t>
  </si>
  <si>
    <t>848 - HANDCHIPPING (Assume 2% of deck area)</t>
  </si>
  <si>
    <t>ITEM 518 - STEEL DRIP STRIP</t>
  </si>
  <si>
    <t xml:space="preserve">DECK EDGE = </t>
  </si>
  <si>
    <t xml:space="preserve"># EDGES =  </t>
  </si>
  <si>
    <t># OF RAIL POSTS =</t>
  </si>
  <si>
    <t>XTRA DRIP STRIP @ POSTS</t>
  </si>
  <si>
    <t>ITEM 844 - CONCRETE PATCHING WITH GALVANIC ANODE PROTECTION</t>
  </si>
  <si>
    <t>(14 ANODES REQUIRED)</t>
  </si>
  <si>
    <t>PAINTING HP PIER PILE - PLATE STRENGTHING AREAS</t>
  </si>
  <si>
    <t>FLANGE AREA =</t>
  </si>
  <si>
    <t>WEB AREA =</t>
  </si>
  <si>
    <t># OF REPAIR LOCATIONS =</t>
  </si>
  <si>
    <t>FT (FACE TO FACE OF DBR-3-11 RAILING)</t>
  </si>
  <si>
    <t>APPROCH SLABS</t>
  </si>
  <si>
    <t># OF APPR. SLABS =</t>
  </si>
  <si>
    <t xml:space="preserve">APPR. LENGTH = </t>
  </si>
  <si>
    <t>ITEM 848 - MICRO-SILICA CONCRETE OVERLAY (VARIABLE THICKNESS), MATERIAL ONLY</t>
  </si>
  <si>
    <t>APPROACH SLABS</t>
  </si>
  <si>
    <t>APPR. WIDTH =</t>
  </si>
  <si>
    <t xml:space="preserve">VOUME = </t>
  </si>
  <si>
    <t xml:space="preserve">LENGTH = </t>
  </si>
  <si>
    <t># OF JOINTS = 2</t>
  </si>
  <si>
    <t xml:space="preserve">ITEM 517 - BRDGE RAIL RETROFIT PER STD. DWG. DBR-3-11 </t>
  </si>
  <si>
    <t># OF BRIDGE RAILS</t>
  </si>
  <si>
    <t>BRIDGE RAIL LENGTH =</t>
  </si>
  <si>
    <t>ITEM 516 - COMPRESSION SEAL EXPANSION JOINT (GLAND ONLY)</t>
  </si>
  <si>
    <t>FORWARD ABUTMENT</t>
  </si>
  <si>
    <t>PIER 1</t>
  </si>
  <si>
    <t>PIER 2</t>
  </si>
  <si>
    <t>FT (FACE TO FACE OF SIDEWALK CURB)</t>
  </si>
  <si>
    <t>ITEM 844 - CONCRETE PATCHING WITH GALVANIZING ANODE PROTECTION</t>
  </si>
  <si>
    <t>ITEM 516 - 1/2" COMPRESSION SEAL PER 705.04 (BETWEEN ABUTMENT BACKWALL &amp; APPROACH SLABS)</t>
  </si>
  <si>
    <t>ITEM 519 - PATCHING CONCRETE STRUCTURES</t>
  </si>
  <si>
    <t>SUPERSTRUCTURE =</t>
  </si>
  <si>
    <t>ITEM 516 - 1/2" COMPRESSION SEAL PER 705.04 (BETWEEN SUPERSTRUCTURE &amp; APPROACH SLABS)</t>
  </si>
  <si>
    <t>THICKNESS =</t>
  </si>
  <si>
    <t>848 -MICRO-SILICA CONCRETE OVERLAY USING HYDRODEMOLITION (T=1.50"), APP</t>
  </si>
  <si>
    <t>848 - SURFACE PREPARATION USING HYDRODEMOLITION, APP</t>
  </si>
  <si>
    <t xml:space="preserve">ADD'L @ POSTS = </t>
  </si>
  <si>
    <t>ITEM SPECIAL - STRUCTURES, MISC.: CONSULTANT FOR CONCRETE QUALITY CONTROL INCLUDING TESTING AND INSPECTION</t>
  </si>
  <si>
    <t>Tot. Horiz. Length</t>
  </si>
  <si>
    <t>2*D+3*bf -2*tw</t>
  </si>
  <si>
    <r>
      <t>Paint Perimieter around beam: (2*D+3*b</t>
    </r>
    <r>
      <rPr>
        <vertAlign val="sub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-2*t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</t>
    </r>
  </si>
  <si>
    <t>Beam Length:</t>
  </si>
  <si>
    <t>Verify Paint Color</t>
  </si>
  <si>
    <r>
      <t>2D+3W-2t</t>
    </r>
    <r>
      <rPr>
        <vertAlign val="subscript"/>
        <sz val="11"/>
        <color theme="0"/>
        <rFont val="Calibri"/>
        <family val="2"/>
        <scheme val="minor"/>
      </rPr>
      <t>w</t>
    </r>
  </si>
  <si>
    <t>Span</t>
  </si>
  <si>
    <t>Total paint across bridge</t>
  </si>
  <si>
    <t>W36x260</t>
  </si>
  <si>
    <t xml:space="preserve"> Total L4x4x5/16" X-Frame member length =</t>
  </si>
  <si>
    <t>from crossframes and beams</t>
  </si>
  <si>
    <t>W36x194</t>
  </si>
  <si>
    <t>W36x230</t>
  </si>
  <si>
    <t>11.625+(2*5.4401)+(2*6.3890)</t>
  </si>
  <si>
    <t>Paint +10%=</t>
  </si>
  <si>
    <t>Total + quanitity=</t>
  </si>
  <si>
    <t xml:space="preserve">Total + quantity = </t>
  </si>
  <si>
    <t>Total Paint plus quantity</t>
  </si>
  <si>
    <t>PIER PILES</t>
  </si>
  <si>
    <r>
      <t>Paint Perimieter around WF36x260 beam: (2*D+3*b</t>
    </r>
    <r>
      <rPr>
        <vertAlign val="sub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-2*t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</t>
    </r>
  </si>
  <si>
    <t>L3x3x5/16</t>
  </si>
  <si>
    <t>9.61+(2*4.1215)+(2*3.0481)</t>
  </si>
  <si>
    <t>PG62x0.375</t>
  </si>
  <si>
    <t>C/4</t>
  </si>
  <si>
    <t>C/8</t>
  </si>
  <si>
    <t>Entire Bridge</t>
  </si>
  <si>
    <t>W27x106</t>
  </si>
  <si>
    <t>Intermediate Bridge Crossframes (Interior)</t>
  </si>
  <si>
    <t>Intermediate Bridge Crossframes (Exterior)</t>
  </si>
  <si>
    <t>PG 62x3/8</t>
  </si>
  <si>
    <t>8.80+(2*3.284)+(2*6.3350)</t>
  </si>
  <si>
    <t>12.58+(2*6.3719)+(2*5.7605)+5.5417</t>
  </si>
  <si>
    <r>
      <t>Paint Perimieter around beam: (2*D+4*b</t>
    </r>
    <r>
      <rPr>
        <vertAlign val="sub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-2*t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</t>
    </r>
  </si>
  <si>
    <t>ITEM</t>
  </si>
  <si>
    <t>EXTENSION</t>
  </si>
  <si>
    <t>UNIT</t>
  </si>
  <si>
    <t>DESCRIPTION</t>
  </si>
  <si>
    <t>ABUTMENT</t>
  </si>
  <si>
    <t>PIERS</t>
  </si>
  <si>
    <t>SUPERSTRUCTURE</t>
  </si>
  <si>
    <t>GENERAL</t>
  </si>
  <si>
    <t>REFERENCE</t>
  </si>
  <si>
    <t>PORTIONS OF STRUCTURE REMOVED, OVER 20 FOOT SPAN, AS PER PLAN</t>
  </si>
  <si>
    <t>503</t>
  </si>
  <si>
    <t>COFFERDAMS AND EXCAVATION BRACING</t>
  </si>
  <si>
    <t>UNCLASSIFIED EXCAVATION</t>
  </si>
  <si>
    <t>VANDAL PROTECTION FENCE REMOVED</t>
  </si>
  <si>
    <t>SEALING OF CONCRETE SURFACES (EPOXY-URETHANE), AS PER PLAN</t>
  </si>
  <si>
    <t>CONCRETE REPAIR BY EPOXY INJECTION</t>
  </si>
  <si>
    <t>512</t>
  </si>
  <si>
    <t>74000</t>
  </si>
  <si>
    <t>REMOVAL OF EXISTING COATINGS FROM CONCRETE SURFACES</t>
  </si>
  <si>
    <t>514</t>
  </si>
  <si>
    <t>FIELD PAINTING EXISTING STRUCTURAL STEEL, PRIME COAT</t>
  </si>
  <si>
    <t>FIELD PAINTING STRUCTURAL STEEL, INTERMEDIATE COAT</t>
  </si>
  <si>
    <t>FIELD PAINTING STRUCTURAL STEEL, FINISH COAT</t>
  </si>
  <si>
    <t>MNHR</t>
  </si>
  <si>
    <t>517</t>
  </si>
  <si>
    <t>RAILING (CONCRETE PARAPET WITH TWIN STEEL TUBE RAILING AND VANDAL PROTECTION FENCE), AS PER PLAN</t>
  </si>
  <si>
    <t>DEEP BEAM BRIDGE RETROFIT RAILING , AS PER PLAN</t>
  </si>
  <si>
    <t>519</t>
  </si>
  <si>
    <t>PATCHING CONCRETE STRUCTURE</t>
  </si>
  <si>
    <t>843</t>
  </si>
  <si>
    <t>PATCHING CONCRETE STRUCTURES WITH TROWELABLE MORTAR</t>
  </si>
  <si>
    <t>846</t>
  </si>
  <si>
    <t>00110</t>
  </si>
  <si>
    <t>POLYMER MODIFIED ASPHALT EXPANSION JOINT SYSTEM</t>
  </si>
  <si>
    <t>SPECIAL</t>
  </si>
  <si>
    <t>STRUCTURES: CONSULTANT FOR CONCRETE QUALITY CONTROL INCLUDING TESTING AND INSPECTION</t>
  </si>
  <si>
    <t>VANDAL PROTECTION FENCE, 12' CURVED, COATED FABRIC, AS PER PLAN</t>
  </si>
  <si>
    <t>CONDUIT, 3", 725.05</t>
  </si>
  <si>
    <t>STRUCTURE JUNCTION BOX</t>
  </si>
  <si>
    <t>STRUCTURE REPAIR (CLE-50-0546)</t>
  </si>
  <si>
    <t>STRUCTURE REPAIR (CLI-134-1107)</t>
  </si>
  <si>
    <t>STRUCTURE REPAIR (CLI-73-0228)</t>
  </si>
  <si>
    <t>STRUCTURE REPAIR (CLI-71-0407)</t>
  </si>
  <si>
    <t>STRUCTURE REPAIR (CLI-71-0031)</t>
  </si>
  <si>
    <t>STRUCTURE REPAIR (CLE-727-0263)</t>
  </si>
  <si>
    <t>ITEM 512 - SEALING CONCRETE WITH EPOXY-URETHANE, APP</t>
  </si>
  <si>
    <t>PERIM=</t>
  </si>
  <si>
    <t># OF PARAPETS</t>
  </si>
  <si>
    <t>DECK PARAPET/CURB</t>
  </si>
  <si>
    <t>ABUTMENT PARAPET/CURB</t>
  </si>
  <si>
    <t>ABUTMENT WING WALLS</t>
  </si>
  <si>
    <t>AVG. HT. =</t>
  </si>
  <si>
    <t>ABUTMENT BREAST WALL</t>
  </si>
  <si>
    <t>ABUTMENT GIRDER SEAT &amp; BACKWALL</t>
  </si>
  <si>
    <t>ABUTMENT CURTAIN WALLS</t>
  </si>
  <si>
    <t># OF BREAST WALLS =</t>
  </si>
  <si>
    <t># OF PARAPETS =</t>
  </si>
  <si>
    <t># OF BACK WALLS =</t>
  </si>
  <si>
    <t># OF CURTAIN WALLS =</t>
  </si>
  <si>
    <t>TOTAL ABUTMENT =</t>
  </si>
  <si>
    <t>TOTAL DECK =</t>
  </si>
  <si>
    <t xml:space="preserve">SF         = </t>
  </si>
  <si>
    <t>511 - CLASS QC1 CONCRETE (ABUTMENT PARAPET RECONSTRUCTION)</t>
  </si>
  <si>
    <t>LENTGH =</t>
  </si>
  <si>
    <t>HEIGHT =</t>
  </si>
  <si>
    <t xml:space="preserve">ITEM 512 - REMOVAL OF EXISTING COATINGS </t>
  </si>
  <si>
    <t>ITEM 512 = EPOXY INJECTION</t>
  </si>
  <si>
    <t>PARAPET TOTAL =</t>
  </si>
  <si>
    <t>CLASS QC1 CONCRETE, ABUTMENT</t>
  </si>
  <si>
    <t>RAILING, ALUMINUM , AS PER PLAN</t>
  </si>
  <si>
    <t>PATCHING CONCRETE STRUCTURE, AS PER PLAN</t>
  </si>
  <si>
    <t>ITEM 5419 - CONCRETE PATCHING</t>
  </si>
  <si>
    <t>Fwd Abutment =</t>
  </si>
  <si>
    <t>Rear Abutment =</t>
  </si>
  <si>
    <t>ITEM 517 - RAILING, ALUMINUM, APP</t>
  </si>
  <si>
    <t>ITEM 519 - CONCRETE PATCHING</t>
  </si>
  <si>
    <t>(100%  03/S5K/13 FUNDING)</t>
  </si>
  <si>
    <t>(100%  01/IMS/13 FUNDING)</t>
  </si>
  <si>
    <t>(100%  04/NFA/13 FUNDING)</t>
  </si>
  <si>
    <t>(100%  02/S&gt;2/13 FUNDING)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</si>
</sst>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00000"/>
    <numFmt numFmtId="167" formatCode="0.0"/>
    <numFmt numFmtId="168" formatCode="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233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0" fillId="2" borderId="0" xfId="0" applyFill="1"/>
    <xf numFmtId="0" fontId="3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49" fontId="0" fillId="0" borderId="0" xfId="0" applyNumberFormat="1"/>
    <xf numFmtId="1" fontId="0" fillId="2" borderId="0" xfId="0" applyNumberFormat="1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/>
    <xf numFmtId="0" fontId="0" fillId="0" borderId="8" xfId="0" applyBorder="1"/>
    <xf numFmtId="0" fontId="0" fillId="0" borderId="0" xfId="0" applyAlignment="1">
      <alignment horizontal="right" vertical="center"/>
    </xf>
    <xf numFmtId="0" fontId="0" fillId="0" borderId="9" xfId="0" applyBorder="1"/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" fontId="0" fillId="3" borderId="0" xfId="0" applyNumberFormat="1" applyFill="1" applyAlignment="1">
      <alignment horizontal="center" vertical="center"/>
    </xf>
    <xf numFmtId="1" fontId="0" fillId="2" borderId="3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0" fillId="0" borderId="10" xfId="0" applyBorder="1" applyAlignment="1">
      <alignment wrapText="1"/>
    </xf>
    <xf numFmtId="165" fontId="0" fillId="0" borderId="8" xfId="0" applyNumberFormat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4" fontId="0" fillId="0" borderId="3" xfId="0" applyNumberFormat="1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13" xfId="0" applyBorder="1"/>
    <xf numFmtId="1" fontId="0" fillId="4" borderId="0" xfId="0" applyNumberFormat="1" applyFill="1"/>
    <xf numFmtId="0" fontId="0" fillId="2" borderId="12" xfId="0" applyFill="1" applyBorder="1"/>
    <xf numFmtId="2" fontId="0" fillId="2" borderId="0" xfId="0" applyNumberFormat="1" applyFill="1"/>
    <xf numFmtId="0" fontId="1" fillId="0" borderId="12" xfId="0" applyFont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4" xfId="0" applyBorder="1" applyAlignment="1">
      <alignment vertical="center" wrapText="1"/>
    </xf>
    <xf numFmtId="0" fontId="0" fillId="2" borderId="1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0" xfId="0" applyFill="1"/>
    <xf numFmtId="0" fontId="0" fillId="5" borderId="0" xfId="0" applyFill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5" borderId="9" xfId="0" applyFill="1" applyBorder="1"/>
    <xf numFmtId="0" fontId="0" fillId="5" borderId="8" xfId="0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 vertical="center"/>
    </xf>
    <xf numFmtId="165" fontId="0" fillId="5" borderId="0" xfId="0" applyNumberFormat="1" applyFill="1" applyAlignment="1">
      <alignment horizontal="center" vertical="center"/>
    </xf>
    <xf numFmtId="2" fontId="0" fillId="5" borderId="0" xfId="0" applyNumberFormat="1" applyFill="1"/>
    <xf numFmtId="165" fontId="0" fillId="5" borderId="8" xfId="0" applyNumberFormat="1" applyFill="1" applyBorder="1" applyAlignment="1">
      <alignment horizontal="center" vertical="center"/>
    </xf>
    <xf numFmtId="165" fontId="0" fillId="5" borderId="0" xfId="0" applyNumberFormat="1" applyFill="1" applyAlignment="1">
      <alignment horizontal="right" vertical="center"/>
    </xf>
    <xf numFmtId="0" fontId="0" fillId="5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4" xfId="0" applyFill="1" applyBorder="1"/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5" xfId="0" applyFill="1" applyBorder="1"/>
    <xf numFmtId="0" fontId="0" fillId="5" borderId="13" xfId="0" applyFill="1" applyBorder="1"/>
    <xf numFmtId="0" fontId="0" fillId="5" borderId="10" xfId="0" applyFill="1" applyBorder="1"/>
    <xf numFmtId="0" fontId="1" fillId="5" borderId="12" xfId="0" applyFont="1" applyFill="1" applyBorder="1" applyAlignment="1">
      <alignment wrapText="1"/>
    </xf>
    <xf numFmtId="0" fontId="0" fillId="5" borderId="12" xfId="0" applyFill="1" applyBorder="1"/>
    <xf numFmtId="0" fontId="0" fillId="5" borderId="11" xfId="0" applyFill="1" applyBorder="1"/>
    <xf numFmtId="0" fontId="9" fillId="5" borderId="5" xfId="0" applyFont="1" applyFill="1" applyBorder="1"/>
    <xf numFmtId="2" fontId="0" fillId="0" borderId="6" xfId="0" applyNumberFormat="1" applyBorder="1"/>
    <xf numFmtId="0" fontId="0" fillId="2" borderId="3" xfId="0" applyFill="1" applyBorder="1"/>
    <xf numFmtId="0" fontId="0" fillId="0" borderId="2" xfId="0" applyBorder="1"/>
    <xf numFmtId="1" fontId="0" fillId="2" borderId="2" xfId="0" applyNumberForma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wrapText="1"/>
    </xf>
    <xf numFmtId="0" fontId="0" fillId="0" borderId="22" xfId="0" applyBorder="1"/>
    <xf numFmtId="0" fontId="0" fillId="2" borderId="23" xfId="0" applyFill="1" applyBorder="1"/>
    <xf numFmtId="0" fontId="0" fillId="0" borderId="24" xfId="0" applyBorder="1"/>
    <xf numFmtId="0" fontId="10" fillId="6" borderId="19" xfId="0" applyFont="1" applyFill="1" applyBorder="1"/>
    <xf numFmtId="0" fontId="10" fillId="6" borderId="11" xfId="0" applyFont="1" applyFill="1" applyBorder="1"/>
    <xf numFmtId="0" fontId="10" fillId="6" borderId="20" xfId="0" applyFont="1" applyFill="1" applyBorder="1"/>
    <xf numFmtId="1" fontId="0" fillId="0" borderId="0" xfId="0" applyNumberFormat="1"/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1" fontId="0" fillId="4" borderId="28" xfId="0" applyNumberFormat="1" applyFill="1" applyBorder="1"/>
    <xf numFmtId="9" fontId="0" fillId="0" borderId="1" xfId="0" applyNumberFormat="1" applyBorder="1"/>
    <xf numFmtId="0" fontId="12" fillId="0" borderId="0" xfId="0" applyFont="1"/>
    <xf numFmtId="0" fontId="1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4" borderId="0" xfId="0" applyFill="1"/>
    <xf numFmtId="0" fontId="0" fillId="4" borderId="8" xfId="0" applyFill="1" applyBorder="1" applyAlignment="1">
      <alignment horizontal="left"/>
    </xf>
    <xf numFmtId="0" fontId="0" fillId="4" borderId="8" xfId="0" applyFill="1" applyBorder="1" applyAlignment="1">
      <alignment wrapText="1"/>
    </xf>
    <xf numFmtId="0" fontId="0" fillId="4" borderId="8" xfId="0" applyFill="1" applyBorder="1"/>
    <xf numFmtId="0" fontId="0" fillId="4" borderId="1" xfId="0" applyFill="1" applyBorder="1"/>
    <xf numFmtId="0" fontId="11" fillId="4" borderId="0" xfId="0" applyFont="1" applyFill="1"/>
    <xf numFmtId="0" fontId="1" fillId="2" borderId="0" xfId="0" applyFont="1" applyFill="1"/>
    <xf numFmtId="0" fontId="13" fillId="0" borderId="0" xfId="0" applyFont="1"/>
    <xf numFmtId="2" fontId="1" fillId="2" borderId="0" xfId="0" applyNumberFormat="1" applyFont="1" applyFill="1"/>
    <xf numFmtId="1" fontId="0" fillId="2" borderId="0" xfId="0" applyNumberFormat="1" applyFill="1"/>
    <xf numFmtId="1" fontId="10" fillId="6" borderId="3" xfId="0" applyNumberFormat="1" applyFont="1" applyFill="1" applyBorder="1"/>
    <xf numFmtId="0" fontId="1" fillId="5" borderId="5" xfId="0" applyFont="1" applyFill="1" applyBorder="1"/>
    <xf numFmtId="0" fontId="14" fillId="0" borderId="0" xfId="0" applyFont="1"/>
    <xf numFmtId="0" fontId="11" fillId="2" borderId="0" xfId="0" applyFont="1" applyFill="1"/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0" borderId="1" xfId="0" applyNumberFormat="1" applyBorder="1"/>
    <xf numFmtId="0" fontId="11" fillId="5" borderId="0" xfId="0" applyFont="1" applyFill="1"/>
    <xf numFmtId="0" fontId="7" fillId="5" borderId="0" xfId="0" applyFont="1" applyFill="1"/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right"/>
    </xf>
    <xf numFmtId="164" fontId="0" fillId="5" borderId="0" xfId="0" applyNumberFormat="1" applyFill="1"/>
    <xf numFmtId="0" fontId="0" fillId="5" borderId="8" xfId="0" applyFill="1" applyBorder="1" applyAlignment="1">
      <alignment horizontal="left"/>
    </xf>
    <xf numFmtId="166" fontId="0" fillId="0" borderId="0" xfId="0" applyNumberFormat="1" applyAlignment="1">
      <alignment horizontal="center" vertical="center"/>
    </xf>
    <xf numFmtId="2" fontId="0" fillId="2" borderId="3" xfId="0" applyNumberFormat="1" applyFill="1" applyBorder="1"/>
    <xf numFmtId="0" fontId="13" fillId="5" borderId="0" xfId="0" applyFont="1" applyFill="1"/>
    <xf numFmtId="0" fontId="10" fillId="0" borderId="0" xfId="0" applyFont="1"/>
    <xf numFmtId="167" fontId="0" fillId="0" borderId="0" xfId="0" applyNumberFormat="1"/>
    <xf numFmtId="0" fontId="1" fillId="0" borderId="1" xfId="0" applyFont="1" applyBorder="1"/>
    <xf numFmtId="0" fontId="7" fillId="0" borderId="1" xfId="0" applyFont="1" applyBorder="1"/>
    <xf numFmtId="0" fontId="0" fillId="5" borderId="0" xfId="0" applyFill="1" applyAlignment="1">
      <alignment horizontal="center"/>
    </xf>
    <xf numFmtId="0" fontId="15" fillId="0" borderId="0" xfId="0" applyFont="1"/>
    <xf numFmtId="0" fontId="15" fillId="0" borderId="2" xfId="0" applyFont="1" applyBorder="1" applyAlignment="1">
      <alignment vertical="center" wrapText="1"/>
    </xf>
    <xf numFmtId="0" fontId="15" fillId="0" borderId="3" xfId="0" applyFont="1" applyBorder="1"/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1" fontId="15" fillId="2" borderId="3" xfId="0" applyNumberFormat="1" applyFont="1" applyFill="1" applyBorder="1"/>
    <xf numFmtId="0" fontId="0" fillId="0" borderId="3" xfId="0" applyBorder="1" applyAlignment="1">
      <alignment vertical="center" wrapText="1"/>
    </xf>
    <xf numFmtId="2" fontId="0" fillId="0" borderId="3" xfId="0" applyNumberFormat="1" applyBorder="1"/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1" fillId="0" borderId="10" xfId="0" applyFont="1" applyBorder="1"/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" fillId="5" borderId="10" xfId="0" applyFont="1" applyFill="1" applyBorder="1"/>
    <xf numFmtId="0" fontId="0" fillId="5" borderId="12" xfId="0" applyFill="1" applyBorder="1" applyAlignment="1">
      <alignment horizontal="right"/>
    </xf>
    <xf numFmtId="0" fontId="0" fillId="5" borderId="12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168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38" xfId="0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7" fillId="0" borderId="38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49" fontId="19" fillId="0" borderId="38" xfId="1" applyNumberFormat="1" applyFont="1" applyBorder="1" applyAlignment="1" applyProtection="1">
      <alignment horizontal="center" vertical="center"/>
      <protection locked="0"/>
    </xf>
    <xf numFmtId="168" fontId="0" fillId="0" borderId="11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8" fontId="0" fillId="0" borderId="2" xfId="0" applyNumberForma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8" fontId="0" fillId="0" borderId="2" xfId="0" quotePrefix="1" applyNumberFormat="1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0" fillId="0" borderId="40" xfId="0" applyBorder="1" applyAlignment="1">
      <alignment horizontal="center"/>
    </xf>
    <xf numFmtId="168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17" fillId="0" borderId="23" xfId="0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/>
    </xf>
    <xf numFmtId="0" fontId="0" fillId="0" borderId="24" xfId="0" applyBorder="1" applyAlignment="1">
      <alignment horizontal="center"/>
    </xf>
    <xf numFmtId="0" fontId="1" fillId="0" borderId="36" xfId="0" applyFont="1" applyBorder="1" applyAlignment="1">
      <alignment horizontal="center"/>
    </xf>
    <xf numFmtId="2" fontId="0" fillId="0" borderId="1" xfId="0" applyNumberFormat="1" applyBorder="1"/>
    <xf numFmtId="0" fontId="17" fillId="0" borderId="23" xfId="0" applyFont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73A832E8-EC05-419A-B164-7816591C59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23</xdr:row>
      <xdr:rowOff>9525</xdr:rowOff>
    </xdr:from>
    <xdr:to>
      <xdr:col>29</xdr:col>
      <xdr:colOff>0</xdr:colOff>
      <xdr:row>27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55C2EC3-5EFB-472F-8FB5-408BA2BC2F55}"/>
            </a:ext>
          </a:extLst>
        </xdr:cNvPr>
        <xdr:cNvCxnSpPr/>
      </xdr:nvCxnSpPr>
      <xdr:spPr>
        <a:xfrm>
          <a:off x="20869275" y="13820775"/>
          <a:ext cx="97155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23</xdr:row>
      <xdr:rowOff>9525</xdr:rowOff>
    </xdr:from>
    <xdr:to>
      <xdr:col>27</xdr:col>
      <xdr:colOff>238125</xdr:colOff>
      <xdr:row>27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D05476A-2092-459B-9FAC-A8FDA0E168AF}"/>
            </a:ext>
          </a:extLst>
        </xdr:cNvPr>
        <xdr:cNvCxnSpPr/>
      </xdr:nvCxnSpPr>
      <xdr:spPr>
        <a:xfrm flipV="1">
          <a:off x="19850100" y="13820775"/>
          <a:ext cx="1009650" cy="1162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47625</xdr:rowOff>
    </xdr:from>
    <xdr:to>
      <xdr:col>29</xdr:col>
      <xdr:colOff>6350</xdr:colOff>
      <xdr:row>27</xdr:row>
      <xdr:rowOff>50800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17483F1-7DD0-4B5D-8680-BE9576A31ED0}"/>
            </a:ext>
          </a:extLst>
        </xdr:cNvPr>
        <xdr:cNvCxnSpPr/>
      </xdr:nvCxnSpPr>
      <xdr:spPr>
        <a:xfrm flipH="1" flipV="1">
          <a:off x="19840575" y="15011400"/>
          <a:ext cx="2006600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24</xdr:row>
      <xdr:rowOff>57150</xdr:rowOff>
    </xdr:from>
    <xdr:to>
      <xdr:col>35</xdr:col>
      <xdr:colOff>47625</xdr:colOff>
      <xdr:row>28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276BF5B5-10A3-496E-AF2A-84A177C9801F}"/>
            </a:ext>
          </a:extLst>
        </xdr:cNvPr>
        <xdr:cNvSpPr/>
      </xdr:nvSpPr>
      <xdr:spPr>
        <a:xfrm flipH="1">
          <a:off x="24498300" y="14449425"/>
          <a:ext cx="10477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24</xdr:row>
      <xdr:rowOff>66675</xdr:rowOff>
    </xdr:from>
    <xdr:to>
      <xdr:col>36</xdr:col>
      <xdr:colOff>108136</xdr:colOff>
      <xdr:row>28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86FED8E8-5CD9-4C16-A0A1-9236EC4F937F}"/>
            </a:ext>
          </a:extLst>
        </xdr:cNvPr>
        <xdr:cNvSpPr/>
      </xdr:nvSpPr>
      <xdr:spPr>
        <a:xfrm>
          <a:off x="25558936" y="144589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24</xdr:row>
      <xdr:rowOff>66675</xdr:rowOff>
    </xdr:from>
    <xdr:to>
      <xdr:col>39</xdr:col>
      <xdr:colOff>257175</xdr:colOff>
      <xdr:row>28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658ED00D-4E03-4766-AD14-D643817B392B}"/>
            </a:ext>
          </a:extLst>
        </xdr:cNvPr>
        <xdr:cNvSpPr/>
      </xdr:nvSpPr>
      <xdr:spPr>
        <a:xfrm>
          <a:off x="26870025" y="144589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24</xdr:row>
      <xdr:rowOff>66675</xdr:rowOff>
    </xdr:from>
    <xdr:to>
      <xdr:col>37</xdr:col>
      <xdr:colOff>142875</xdr:colOff>
      <xdr:row>28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EA46FB68-4199-459E-BD12-6A9CD8CD44C6}"/>
            </a:ext>
          </a:extLst>
        </xdr:cNvPr>
        <xdr:cNvSpPr/>
      </xdr:nvSpPr>
      <xdr:spPr>
        <a:xfrm flipH="1">
          <a:off x="26203275" y="144589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47</xdr:row>
      <xdr:rowOff>0</xdr:rowOff>
    </xdr:from>
    <xdr:to>
      <xdr:col>29</xdr:col>
      <xdr:colOff>9525</xdr:colOff>
      <xdr:row>51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632B5C0-5D6E-4353-BAFD-25BE3DDA0634}"/>
            </a:ext>
          </a:extLst>
        </xdr:cNvPr>
        <xdr:cNvCxnSpPr/>
      </xdr:nvCxnSpPr>
      <xdr:spPr>
        <a:xfrm>
          <a:off x="19850100" y="19364325"/>
          <a:ext cx="2000250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47</xdr:row>
      <xdr:rowOff>0</xdr:rowOff>
    </xdr:from>
    <xdr:to>
      <xdr:col>29</xdr:col>
      <xdr:colOff>28575</xdr:colOff>
      <xdr:row>51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3C5CF9C4-CE16-4DCC-80FF-39A8C4B9F324}"/>
            </a:ext>
          </a:extLst>
        </xdr:cNvPr>
        <xdr:cNvCxnSpPr/>
      </xdr:nvCxnSpPr>
      <xdr:spPr>
        <a:xfrm flipV="1">
          <a:off x="19850100" y="19364325"/>
          <a:ext cx="2019300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51</xdr:row>
      <xdr:rowOff>50800</xdr:rowOff>
    </xdr:from>
    <xdr:to>
      <xdr:col>29</xdr:col>
      <xdr:colOff>0</xdr:colOff>
      <xdr:row>51</xdr:row>
      <xdr:rowOff>57151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CCEA0AE-1E6F-42B4-9B7A-4BF54CBF38BD}"/>
            </a:ext>
          </a:extLst>
        </xdr:cNvPr>
        <xdr:cNvCxnSpPr/>
      </xdr:nvCxnSpPr>
      <xdr:spPr>
        <a:xfrm flipH="1" flipV="1">
          <a:off x="19853275" y="21320125"/>
          <a:ext cx="1987550" cy="6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593912</xdr:colOff>
      <xdr:row>27</xdr:row>
      <xdr:rowOff>0</xdr:rowOff>
    </xdr:from>
    <xdr:to>
      <xdr:col>48</xdr:col>
      <xdr:colOff>0</xdr:colOff>
      <xdr:row>33</xdr:row>
      <xdr:rowOff>22411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6FD4448F-CBBE-4F56-875D-38A9CD84C171}"/>
            </a:ext>
          </a:extLst>
        </xdr:cNvPr>
        <xdr:cNvCxnSpPr/>
      </xdr:nvCxnSpPr>
      <xdr:spPr>
        <a:xfrm>
          <a:off x="33407537" y="14963775"/>
          <a:ext cx="1855694" cy="11844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257175</xdr:colOff>
      <xdr:row>30</xdr:row>
      <xdr:rowOff>171450</xdr:rowOff>
    </xdr:from>
    <xdr:to>
      <xdr:col>57</xdr:col>
      <xdr:colOff>447675</xdr:colOff>
      <xdr:row>32</xdr:row>
      <xdr:rowOff>38100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FDF184F2-299B-40A2-9562-4BF7B3EB26B4}"/>
            </a:ext>
          </a:extLst>
        </xdr:cNvPr>
        <xdr:cNvCxnSpPr/>
      </xdr:nvCxnSpPr>
      <xdr:spPr>
        <a:xfrm>
          <a:off x="44043600" y="15706725"/>
          <a:ext cx="32385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447675</xdr:colOff>
      <xdr:row>32</xdr:row>
      <xdr:rowOff>19051</xdr:rowOff>
    </xdr:from>
    <xdr:to>
      <xdr:col>57</xdr:col>
      <xdr:colOff>447676</xdr:colOff>
      <xdr:row>33</xdr:row>
      <xdr:rowOff>66675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173C5BC6-4753-4D37-BDFF-FF857B971DBA}"/>
            </a:ext>
          </a:extLst>
        </xdr:cNvPr>
        <xdr:cNvCxnSpPr/>
      </xdr:nvCxnSpPr>
      <xdr:spPr>
        <a:xfrm flipV="1">
          <a:off x="47282100" y="15944851"/>
          <a:ext cx="1" cy="2476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333375</xdr:colOff>
      <xdr:row>33</xdr:row>
      <xdr:rowOff>76200</xdr:rowOff>
    </xdr:from>
    <xdr:to>
      <xdr:col>57</xdr:col>
      <xdr:colOff>457200</xdr:colOff>
      <xdr:row>34</xdr:row>
      <xdr:rowOff>104775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BEA8E01D-480F-4E32-84A9-805F458398EB}"/>
            </a:ext>
          </a:extLst>
        </xdr:cNvPr>
        <xdr:cNvCxnSpPr/>
      </xdr:nvCxnSpPr>
      <xdr:spPr>
        <a:xfrm flipV="1">
          <a:off x="44119800" y="16202025"/>
          <a:ext cx="317182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19050</xdr:colOff>
      <xdr:row>30</xdr:row>
      <xdr:rowOff>161925</xdr:rowOff>
    </xdr:from>
    <xdr:to>
      <xdr:col>52</xdr:col>
      <xdr:colOff>228600</xdr:colOff>
      <xdr:row>30</xdr:row>
      <xdr:rowOff>161925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D34071D9-4BBF-4CBF-9011-5B04F3D7BA54}"/>
            </a:ext>
          </a:extLst>
        </xdr:cNvPr>
        <xdr:cNvCxnSpPr/>
      </xdr:nvCxnSpPr>
      <xdr:spPr>
        <a:xfrm>
          <a:off x="43195875" y="15697200"/>
          <a:ext cx="819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66675</xdr:colOff>
      <xdr:row>34</xdr:row>
      <xdr:rowOff>104775</xdr:rowOff>
    </xdr:from>
    <xdr:to>
      <xdr:col>52</xdr:col>
      <xdr:colOff>371475</xdr:colOff>
      <xdr:row>34</xdr:row>
      <xdr:rowOff>104775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AC77B0F3-0175-411A-92EA-2FA4CED28BD3}"/>
            </a:ext>
          </a:extLst>
        </xdr:cNvPr>
        <xdr:cNvCxnSpPr/>
      </xdr:nvCxnSpPr>
      <xdr:spPr>
        <a:xfrm>
          <a:off x="43243500" y="16421100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38099</xdr:colOff>
      <xdr:row>30</xdr:row>
      <xdr:rowOff>152401</xdr:rowOff>
    </xdr:from>
    <xdr:to>
      <xdr:col>51</xdr:col>
      <xdr:colOff>47625</xdr:colOff>
      <xdr:row>34</xdr:row>
      <xdr:rowOff>104775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8B8474C6-C351-4115-9F8F-1DE598B75F5C}"/>
            </a:ext>
          </a:extLst>
        </xdr:cNvPr>
        <xdr:cNvCxnSpPr/>
      </xdr:nvCxnSpPr>
      <xdr:spPr>
        <a:xfrm flipH="1" flipV="1">
          <a:off x="43214924" y="15687676"/>
          <a:ext cx="9526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76200</xdr:colOff>
      <xdr:row>36</xdr:row>
      <xdr:rowOff>142875</xdr:rowOff>
    </xdr:from>
    <xdr:to>
      <xdr:col>57</xdr:col>
      <xdr:colOff>409575</xdr:colOff>
      <xdr:row>36</xdr:row>
      <xdr:rowOff>171450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95A994C5-39B7-4404-8E52-9DE16E7B70D1}"/>
            </a:ext>
          </a:extLst>
        </xdr:cNvPr>
        <xdr:cNvCxnSpPr/>
      </xdr:nvCxnSpPr>
      <xdr:spPr>
        <a:xfrm flipV="1">
          <a:off x="43253025" y="16840200"/>
          <a:ext cx="399097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123825</xdr:colOff>
      <xdr:row>37</xdr:row>
      <xdr:rowOff>142875</xdr:rowOff>
    </xdr:from>
    <xdr:to>
      <xdr:col>57</xdr:col>
      <xdr:colOff>438150</xdr:colOff>
      <xdr:row>37</xdr:row>
      <xdr:rowOff>180976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8135636C-A5C0-47BF-BD1B-7A28C317AEE0}"/>
            </a:ext>
          </a:extLst>
        </xdr:cNvPr>
        <xdr:cNvCxnSpPr/>
      </xdr:nvCxnSpPr>
      <xdr:spPr>
        <a:xfrm flipV="1">
          <a:off x="43300650" y="17030700"/>
          <a:ext cx="3971925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66675</xdr:colOff>
      <xdr:row>37</xdr:row>
      <xdr:rowOff>0</xdr:rowOff>
    </xdr:from>
    <xdr:to>
      <xdr:col>51</xdr:col>
      <xdr:colOff>66675</xdr:colOff>
      <xdr:row>37</xdr:row>
      <xdr:rowOff>171450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C4D03292-2592-410C-9EC9-07EC7F40E6AF}"/>
            </a:ext>
          </a:extLst>
        </xdr:cNvPr>
        <xdr:cNvCxnSpPr/>
      </xdr:nvCxnSpPr>
      <xdr:spPr>
        <a:xfrm>
          <a:off x="43243500" y="16887825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428624</xdr:colOff>
      <xdr:row>36</xdr:row>
      <xdr:rowOff>161925</xdr:rowOff>
    </xdr:from>
    <xdr:to>
      <xdr:col>57</xdr:col>
      <xdr:colOff>428625</xdr:colOff>
      <xdr:row>37</xdr:row>
      <xdr:rowOff>123825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B0F5DE13-32B2-40E6-B5E0-E7E5B903426B}"/>
            </a:ext>
          </a:extLst>
        </xdr:cNvPr>
        <xdr:cNvCxnSpPr/>
      </xdr:nvCxnSpPr>
      <xdr:spPr>
        <a:xfrm flipH="1" flipV="1">
          <a:off x="47263049" y="16859250"/>
          <a:ext cx="1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68036</xdr:colOff>
      <xdr:row>47</xdr:row>
      <xdr:rowOff>27214</xdr:rowOff>
    </xdr:from>
    <xdr:to>
      <xdr:col>53</xdr:col>
      <xdr:colOff>68036</xdr:colOff>
      <xdr:row>58</xdr:row>
      <xdr:rowOff>40822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4E04253-C5F8-436B-B092-BB7215EDBD56}"/>
            </a:ext>
          </a:extLst>
        </xdr:cNvPr>
        <xdr:cNvCxnSpPr>
          <a:endCxn id="34" idx="2"/>
        </xdr:cNvCxnSpPr>
      </xdr:nvCxnSpPr>
      <xdr:spPr>
        <a:xfrm flipV="1">
          <a:off x="44464061" y="19391539"/>
          <a:ext cx="0" cy="3442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244928</xdr:colOff>
      <xdr:row>47</xdr:row>
      <xdr:rowOff>27214</xdr:rowOff>
    </xdr:from>
    <xdr:to>
      <xdr:col>54</xdr:col>
      <xdr:colOff>244928</xdr:colOff>
      <xdr:row>57</xdr:row>
      <xdr:rowOff>163286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EB9C801-498F-4F67-B203-0A5B77AFAC67}"/>
            </a:ext>
          </a:extLst>
        </xdr:cNvPr>
        <xdr:cNvCxnSpPr>
          <a:endCxn id="34" idx="6"/>
        </xdr:cNvCxnSpPr>
      </xdr:nvCxnSpPr>
      <xdr:spPr>
        <a:xfrm flipV="1">
          <a:off x="45250553" y="19391539"/>
          <a:ext cx="0" cy="3374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68036</xdr:colOff>
      <xdr:row>46</xdr:row>
      <xdr:rowOff>54428</xdr:rowOff>
    </xdr:from>
    <xdr:to>
      <xdr:col>54</xdr:col>
      <xdr:colOff>244928</xdr:colOff>
      <xdr:row>48</xdr:row>
      <xdr:rowOff>0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291A6777-9419-46E1-9EC8-372F79AB79F4}"/>
            </a:ext>
          </a:extLst>
        </xdr:cNvPr>
        <xdr:cNvSpPr/>
      </xdr:nvSpPr>
      <xdr:spPr>
        <a:xfrm>
          <a:off x="44464061" y="19228253"/>
          <a:ext cx="786492" cy="32657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79825</xdr:colOff>
      <xdr:row>57</xdr:row>
      <xdr:rowOff>160807</xdr:rowOff>
    </xdr:from>
    <xdr:to>
      <xdr:col>54</xdr:col>
      <xdr:colOff>250272</xdr:colOff>
      <xdr:row>58</xdr:row>
      <xdr:rowOff>146539</xdr:rowOff>
    </xdr:to>
    <xdr:sp macro="" textlink="">
      <xdr:nvSpPr>
        <xdr:cNvPr id="35" name="Freeform: Shape 34">
          <a:extLst>
            <a:ext uri="{FF2B5EF4-FFF2-40B4-BE49-F238E27FC236}">
              <a16:creationId xmlns:a16="http://schemas.microsoft.com/office/drawing/2014/main" id="{6F5BD8FC-02C3-46D8-8D64-D03557F61806}"/>
            </a:ext>
          </a:extLst>
        </xdr:cNvPr>
        <xdr:cNvSpPr/>
      </xdr:nvSpPr>
      <xdr:spPr>
        <a:xfrm>
          <a:off x="44475850" y="22763632"/>
          <a:ext cx="780047" cy="176232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168</xdr:row>
      <xdr:rowOff>9525</xdr:rowOff>
    </xdr:from>
    <xdr:to>
      <xdr:col>29</xdr:col>
      <xdr:colOff>0</xdr:colOff>
      <xdr:row>172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76E5F3B-2ADC-41FF-A7BE-6D5450B2420F}"/>
            </a:ext>
          </a:extLst>
        </xdr:cNvPr>
        <xdr:cNvCxnSpPr/>
      </xdr:nvCxnSpPr>
      <xdr:spPr>
        <a:xfrm>
          <a:off x="24393525" y="60483750"/>
          <a:ext cx="971550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168</xdr:row>
      <xdr:rowOff>9525</xdr:rowOff>
    </xdr:from>
    <xdr:to>
      <xdr:col>27</xdr:col>
      <xdr:colOff>238125</xdr:colOff>
      <xdr:row>172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B001C84-A0C4-460D-A8E3-3EAFA5FA5931}"/>
            </a:ext>
          </a:extLst>
        </xdr:cNvPr>
        <xdr:cNvCxnSpPr/>
      </xdr:nvCxnSpPr>
      <xdr:spPr>
        <a:xfrm flipV="1">
          <a:off x="23421975" y="60483750"/>
          <a:ext cx="962025" cy="781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172</xdr:row>
      <xdr:rowOff>47625</xdr:rowOff>
    </xdr:from>
    <xdr:to>
      <xdr:col>29</xdr:col>
      <xdr:colOff>0</xdr:colOff>
      <xdr:row>172</xdr:row>
      <xdr:rowOff>57151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AD0602F-D85E-4929-9407-448ACC4B38FF}"/>
            </a:ext>
          </a:extLst>
        </xdr:cNvPr>
        <xdr:cNvCxnSpPr/>
      </xdr:nvCxnSpPr>
      <xdr:spPr>
        <a:xfrm flipH="1" flipV="1">
          <a:off x="23412450" y="61293375"/>
          <a:ext cx="19526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169</xdr:row>
      <xdr:rowOff>57150</xdr:rowOff>
    </xdr:from>
    <xdr:to>
      <xdr:col>35</xdr:col>
      <xdr:colOff>47625</xdr:colOff>
      <xdr:row>173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DB808F56-2EBE-4A98-AF64-D78A2451BA98}"/>
            </a:ext>
          </a:extLst>
        </xdr:cNvPr>
        <xdr:cNvSpPr/>
      </xdr:nvSpPr>
      <xdr:spPr>
        <a:xfrm flipH="1">
          <a:off x="28022550" y="60731400"/>
          <a:ext cx="14001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169</xdr:row>
      <xdr:rowOff>66675</xdr:rowOff>
    </xdr:from>
    <xdr:to>
      <xdr:col>36</xdr:col>
      <xdr:colOff>108136</xdr:colOff>
      <xdr:row>173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8EC879A0-0D7B-4A23-8837-ED2F6BC50C05}"/>
            </a:ext>
          </a:extLst>
        </xdr:cNvPr>
        <xdr:cNvSpPr/>
      </xdr:nvSpPr>
      <xdr:spPr>
        <a:xfrm>
          <a:off x="29435611" y="60740925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169</xdr:row>
      <xdr:rowOff>66675</xdr:rowOff>
    </xdr:from>
    <xdr:to>
      <xdr:col>39</xdr:col>
      <xdr:colOff>257175</xdr:colOff>
      <xdr:row>173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2BEA17F7-DA95-4A7E-924C-832E1AC17195}"/>
            </a:ext>
          </a:extLst>
        </xdr:cNvPr>
        <xdr:cNvSpPr/>
      </xdr:nvSpPr>
      <xdr:spPr>
        <a:xfrm>
          <a:off x="30746700" y="60740925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169</xdr:row>
      <xdr:rowOff>66675</xdr:rowOff>
    </xdr:from>
    <xdr:to>
      <xdr:col>37</xdr:col>
      <xdr:colOff>142875</xdr:colOff>
      <xdr:row>173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3D151EC0-8B1D-481A-9FBD-D09C83B6A04A}"/>
            </a:ext>
          </a:extLst>
        </xdr:cNvPr>
        <xdr:cNvSpPr/>
      </xdr:nvSpPr>
      <xdr:spPr>
        <a:xfrm flipH="1">
          <a:off x="30079950" y="60740925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192</xdr:row>
      <xdr:rowOff>0</xdr:rowOff>
    </xdr:from>
    <xdr:to>
      <xdr:col>29</xdr:col>
      <xdr:colOff>9525</xdr:colOff>
      <xdr:row>196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66F9E88-275C-4B04-AFB2-C3400AFC97A2}"/>
            </a:ext>
          </a:extLst>
        </xdr:cNvPr>
        <xdr:cNvCxnSpPr/>
      </xdr:nvCxnSpPr>
      <xdr:spPr>
        <a:xfrm>
          <a:off x="23421975" y="65265300"/>
          <a:ext cx="19526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192</xdr:row>
      <xdr:rowOff>0</xdr:rowOff>
    </xdr:from>
    <xdr:to>
      <xdr:col>29</xdr:col>
      <xdr:colOff>28575</xdr:colOff>
      <xdr:row>196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A97792C5-143F-4CE3-941B-6C11B3E74920}"/>
            </a:ext>
          </a:extLst>
        </xdr:cNvPr>
        <xdr:cNvCxnSpPr/>
      </xdr:nvCxnSpPr>
      <xdr:spPr>
        <a:xfrm flipV="1">
          <a:off x="23421975" y="65265300"/>
          <a:ext cx="197167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742950</xdr:colOff>
      <xdr:row>196</xdr:row>
      <xdr:rowOff>47625</xdr:rowOff>
    </xdr:from>
    <xdr:to>
      <xdr:col>29</xdr:col>
      <xdr:colOff>0</xdr:colOff>
      <xdr:row>196</xdr:row>
      <xdr:rowOff>57150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386F149-C6F7-4213-AD53-0C61E767E9E3}"/>
            </a:ext>
          </a:extLst>
        </xdr:cNvPr>
        <xdr:cNvCxnSpPr/>
      </xdr:nvCxnSpPr>
      <xdr:spPr>
        <a:xfrm flipH="1" flipV="1">
          <a:off x="23098125" y="66113025"/>
          <a:ext cx="22669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371475</xdr:colOff>
      <xdr:row>203</xdr:row>
      <xdr:rowOff>95250</xdr:rowOff>
    </xdr:from>
    <xdr:to>
      <xdr:col>38</xdr:col>
      <xdr:colOff>533400</xdr:colOff>
      <xdr:row>203</xdr:row>
      <xdr:rowOff>95250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4409ECF5-67CE-4BCA-B8A6-ECB159800E72}"/>
            </a:ext>
          </a:extLst>
        </xdr:cNvPr>
        <xdr:cNvCxnSpPr/>
      </xdr:nvCxnSpPr>
      <xdr:spPr>
        <a:xfrm>
          <a:off x="29746575" y="67684650"/>
          <a:ext cx="1990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172</xdr:row>
      <xdr:rowOff>22411</xdr:rowOff>
    </xdr:from>
    <xdr:to>
      <xdr:col>51</xdr:col>
      <xdr:colOff>0</xdr:colOff>
      <xdr:row>178</xdr:row>
      <xdr:rowOff>11205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F1EC29A7-8285-47DE-8F08-D535A4E97EC4}"/>
            </a:ext>
          </a:extLst>
        </xdr:cNvPr>
        <xdr:cNvCxnSpPr/>
      </xdr:nvCxnSpPr>
      <xdr:spPr>
        <a:xfrm flipV="1">
          <a:off x="37842825" y="61268161"/>
          <a:ext cx="2762250" cy="11508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593912</xdr:colOff>
      <xdr:row>172</xdr:row>
      <xdr:rowOff>0</xdr:rowOff>
    </xdr:from>
    <xdr:to>
      <xdr:col>51</xdr:col>
      <xdr:colOff>11206</xdr:colOff>
      <xdr:row>178</xdr:row>
      <xdr:rowOff>22411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86DE78EA-EED4-4A3C-ABE4-AB97C628220C}"/>
            </a:ext>
          </a:extLst>
        </xdr:cNvPr>
        <xdr:cNvCxnSpPr/>
      </xdr:nvCxnSpPr>
      <xdr:spPr>
        <a:xfrm>
          <a:off x="37827137" y="61245750"/>
          <a:ext cx="2789144" cy="11844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172</xdr:row>
      <xdr:rowOff>0</xdr:rowOff>
    </xdr:from>
    <xdr:to>
      <xdr:col>60</xdr:col>
      <xdr:colOff>33616</xdr:colOff>
      <xdr:row>177</xdr:row>
      <xdr:rowOff>179294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66CE4D4B-9670-4139-AC7A-EDF6806D2AD0}"/>
            </a:ext>
          </a:extLst>
        </xdr:cNvPr>
        <xdr:cNvCxnSpPr/>
      </xdr:nvCxnSpPr>
      <xdr:spPr>
        <a:xfrm flipV="1">
          <a:off x="44791592" y="61245750"/>
          <a:ext cx="2743199" cy="114131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172</xdr:row>
      <xdr:rowOff>33617</xdr:rowOff>
    </xdr:from>
    <xdr:to>
      <xdr:col>60</xdr:col>
      <xdr:colOff>11206</xdr:colOff>
      <xdr:row>178</xdr:row>
      <xdr:rowOff>22411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4C5C86D1-BF47-4CA4-808B-0AB1A26A1678}"/>
            </a:ext>
          </a:extLst>
        </xdr:cNvPr>
        <xdr:cNvCxnSpPr/>
      </xdr:nvCxnSpPr>
      <xdr:spPr>
        <a:xfrm>
          <a:off x="44791593" y="61279367"/>
          <a:ext cx="2720788" cy="11508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190</xdr:row>
      <xdr:rowOff>0</xdr:rowOff>
    </xdr:from>
    <xdr:to>
      <xdr:col>51</xdr:col>
      <xdr:colOff>33616</xdr:colOff>
      <xdr:row>195</xdr:row>
      <xdr:rowOff>179294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B4A69CC8-2F42-4717-A776-249C24E71565}"/>
            </a:ext>
          </a:extLst>
        </xdr:cNvPr>
        <xdr:cNvCxnSpPr/>
      </xdr:nvCxnSpPr>
      <xdr:spPr>
        <a:xfrm flipV="1">
          <a:off x="37876442" y="64884300"/>
          <a:ext cx="2762249" cy="11698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190</xdr:row>
      <xdr:rowOff>33617</xdr:rowOff>
    </xdr:from>
    <xdr:to>
      <xdr:col>51</xdr:col>
      <xdr:colOff>11206</xdr:colOff>
      <xdr:row>196</xdr:row>
      <xdr:rowOff>22411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2E4680CF-5857-4070-90CD-D95308D7D152}"/>
            </a:ext>
          </a:extLst>
        </xdr:cNvPr>
        <xdr:cNvCxnSpPr/>
      </xdr:nvCxnSpPr>
      <xdr:spPr>
        <a:xfrm>
          <a:off x="37876443" y="64917917"/>
          <a:ext cx="2739838" cy="11698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190</xdr:row>
      <xdr:rowOff>0</xdr:rowOff>
    </xdr:from>
    <xdr:to>
      <xdr:col>60</xdr:col>
      <xdr:colOff>33616</xdr:colOff>
      <xdr:row>195</xdr:row>
      <xdr:rowOff>179294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E47CFFE4-2A5B-442A-A730-9ECB35EBD7F5}"/>
            </a:ext>
          </a:extLst>
        </xdr:cNvPr>
        <xdr:cNvCxnSpPr/>
      </xdr:nvCxnSpPr>
      <xdr:spPr>
        <a:xfrm flipV="1">
          <a:off x="44791592" y="64884300"/>
          <a:ext cx="2743199" cy="11698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190</xdr:row>
      <xdr:rowOff>33617</xdr:rowOff>
    </xdr:from>
    <xdr:to>
      <xdr:col>60</xdr:col>
      <xdr:colOff>11206</xdr:colOff>
      <xdr:row>196</xdr:row>
      <xdr:rowOff>22411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7D8B3C1C-2871-4CF6-9E4B-C7E585318008}"/>
            </a:ext>
          </a:extLst>
        </xdr:cNvPr>
        <xdr:cNvCxnSpPr/>
      </xdr:nvCxnSpPr>
      <xdr:spPr>
        <a:xfrm>
          <a:off x="44791593" y="64917917"/>
          <a:ext cx="2720788" cy="11698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209</xdr:row>
      <xdr:rowOff>0</xdr:rowOff>
    </xdr:from>
    <xdr:to>
      <xdr:col>51</xdr:col>
      <xdr:colOff>33616</xdr:colOff>
      <xdr:row>214</xdr:row>
      <xdr:rowOff>179294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2D8A086-21D2-4385-B0CD-2743F8CF62B6}"/>
            </a:ext>
          </a:extLst>
        </xdr:cNvPr>
        <xdr:cNvCxnSpPr/>
      </xdr:nvCxnSpPr>
      <xdr:spPr>
        <a:xfrm flipV="1">
          <a:off x="37876442" y="68922900"/>
          <a:ext cx="2762249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209</xdr:row>
      <xdr:rowOff>33617</xdr:rowOff>
    </xdr:from>
    <xdr:to>
      <xdr:col>51</xdr:col>
      <xdr:colOff>11206</xdr:colOff>
      <xdr:row>215</xdr:row>
      <xdr:rowOff>22411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E36FB7C0-E3E2-4E26-B13F-9ED45815E343}"/>
            </a:ext>
          </a:extLst>
        </xdr:cNvPr>
        <xdr:cNvCxnSpPr/>
      </xdr:nvCxnSpPr>
      <xdr:spPr>
        <a:xfrm>
          <a:off x="37876443" y="68956517"/>
          <a:ext cx="2739838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209</xdr:row>
      <xdr:rowOff>0</xdr:rowOff>
    </xdr:from>
    <xdr:to>
      <xdr:col>60</xdr:col>
      <xdr:colOff>33616</xdr:colOff>
      <xdr:row>214</xdr:row>
      <xdr:rowOff>179294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86F55A6A-AFB2-4582-8F5D-F819156B70EA}"/>
            </a:ext>
          </a:extLst>
        </xdr:cNvPr>
        <xdr:cNvCxnSpPr/>
      </xdr:nvCxnSpPr>
      <xdr:spPr>
        <a:xfrm flipV="1">
          <a:off x="44791592" y="68922900"/>
          <a:ext cx="2743199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209</xdr:row>
      <xdr:rowOff>33617</xdr:rowOff>
    </xdr:from>
    <xdr:to>
      <xdr:col>60</xdr:col>
      <xdr:colOff>11206</xdr:colOff>
      <xdr:row>215</xdr:row>
      <xdr:rowOff>22411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F783CC88-1BB6-4907-886B-15C3E3B1C1E0}"/>
            </a:ext>
          </a:extLst>
        </xdr:cNvPr>
        <xdr:cNvCxnSpPr/>
      </xdr:nvCxnSpPr>
      <xdr:spPr>
        <a:xfrm>
          <a:off x="44791593" y="68956517"/>
          <a:ext cx="2720788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231</xdr:row>
      <xdr:rowOff>0</xdr:rowOff>
    </xdr:from>
    <xdr:to>
      <xdr:col>51</xdr:col>
      <xdr:colOff>33616</xdr:colOff>
      <xdr:row>233</xdr:row>
      <xdr:rowOff>179294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B8E1007-5487-40A2-BBA2-D00CBEB2E95A}"/>
            </a:ext>
          </a:extLst>
        </xdr:cNvPr>
        <xdr:cNvCxnSpPr/>
      </xdr:nvCxnSpPr>
      <xdr:spPr>
        <a:xfrm flipV="1">
          <a:off x="37876442" y="73113900"/>
          <a:ext cx="2762249" cy="560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231</xdr:row>
      <xdr:rowOff>0</xdr:rowOff>
    </xdr:from>
    <xdr:to>
      <xdr:col>51</xdr:col>
      <xdr:colOff>11206</xdr:colOff>
      <xdr:row>234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BA7CB80D-0E17-4774-90E1-5F164354D91E}"/>
            </a:ext>
          </a:extLst>
        </xdr:cNvPr>
        <xdr:cNvCxnSpPr/>
      </xdr:nvCxnSpPr>
      <xdr:spPr>
        <a:xfrm>
          <a:off x="37876443" y="73113900"/>
          <a:ext cx="2739838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231</xdr:row>
      <xdr:rowOff>0</xdr:rowOff>
    </xdr:from>
    <xdr:to>
      <xdr:col>60</xdr:col>
      <xdr:colOff>33616</xdr:colOff>
      <xdr:row>233</xdr:row>
      <xdr:rowOff>179294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4977E78A-1E99-4826-B987-B8954D9154FF}"/>
            </a:ext>
          </a:extLst>
        </xdr:cNvPr>
        <xdr:cNvCxnSpPr/>
      </xdr:nvCxnSpPr>
      <xdr:spPr>
        <a:xfrm flipV="1">
          <a:off x="44791592" y="73113900"/>
          <a:ext cx="2743199" cy="560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231</xdr:row>
      <xdr:rowOff>0</xdr:rowOff>
    </xdr:from>
    <xdr:to>
      <xdr:col>60</xdr:col>
      <xdr:colOff>11206</xdr:colOff>
      <xdr:row>234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15FEA8C7-7826-4C9E-B3FA-EC3334CB8871}"/>
            </a:ext>
          </a:extLst>
        </xdr:cNvPr>
        <xdr:cNvCxnSpPr/>
      </xdr:nvCxnSpPr>
      <xdr:spPr>
        <a:xfrm>
          <a:off x="44791593" y="73113900"/>
          <a:ext cx="2720788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244</xdr:row>
      <xdr:rowOff>0</xdr:rowOff>
    </xdr:from>
    <xdr:to>
      <xdr:col>51</xdr:col>
      <xdr:colOff>33616</xdr:colOff>
      <xdr:row>249</xdr:row>
      <xdr:rowOff>179294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1E38BCDE-C566-457A-B5B4-F0698E1AD929}"/>
            </a:ext>
          </a:extLst>
        </xdr:cNvPr>
        <xdr:cNvCxnSpPr/>
      </xdr:nvCxnSpPr>
      <xdr:spPr>
        <a:xfrm flipV="1">
          <a:off x="37876442" y="75590400"/>
          <a:ext cx="2762249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244</xdr:row>
      <xdr:rowOff>33617</xdr:rowOff>
    </xdr:from>
    <xdr:to>
      <xdr:col>51</xdr:col>
      <xdr:colOff>11206</xdr:colOff>
      <xdr:row>250</xdr:row>
      <xdr:rowOff>22411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9D3A43B4-352B-4D6F-97E4-1F976F496E0E}"/>
            </a:ext>
          </a:extLst>
        </xdr:cNvPr>
        <xdr:cNvCxnSpPr/>
      </xdr:nvCxnSpPr>
      <xdr:spPr>
        <a:xfrm>
          <a:off x="37876443" y="75624017"/>
          <a:ext cx="2739838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244</xdr:row>
      <xdr:rowOff>0</xdr:rowOff>
    </xdr:from>
    <xdr:to>
      <xdr:col>60</xdr:col>
      <xdr:colOff>33616</xdr:colOff>
      <xdr:row>249</xdr:row>
      <xdr:rowOff>179294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C19EBF5B-13F8-44C5-9784-A2E2DAD93C05}"/>
            </a:ext>
          </a:extLst>
        </xdr:cNvPr>
        <xdr:cNvCxnSpPr/>
      </xdr:nvCxnSpPr>
      <xdr:spPr>
        <a:xfrm flipV="1">
          <a:off x="44791592" y="75590400"/>
          <a:ext cx="2743199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244</xdr:row>
      <xdr:rowOff>33617</xdr:rowOff>
    </xdr:from>
    <xdr:to>
      <xdr:col>60</xdr:col>
      <xdr:colOff>11206</xdr:colOff>
      <xdr:row>250</xdr:row>
      <xdr:rowOff>22411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2682E594-BAE0-4A30-9E06-3084C452F4E1}"/>
            </a:ext>
          </a:extLst>
        </xdr:cNvPr>
        <xdr:cNvCxnSpPr/>
      </xdr:nvCxnSpPr>
      <xdr:spPr>
        <a:xfrm>
          <a:off x="44791593" y="75624017"/>
          <a:ext cx="2720788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257175</xdr:colOff>
      <xdr:row>175</xdr:row>
      <xdr:rowOff>171450</xdr:rowOff>
    </xdr:from>
    <xdr:to>
      <xdr:col>70</xdr:col>
      <xdr:colOff>447675</xdr:colOff>
      <xdr:row>177</xdr:row>
      <xdr:rowOff>38100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7A5CCDEC-D867-4FD8-9931-F55125F9B18A}"/>
            </a:ext>
          </a:extLst>
        </xdr:cNvPr>
        <xdr:cNvCxnSpPr/>
      </xdr:nvCxnSpPr>
      <xdr:spPr>
        <a:xfrm>
          <a:off x="51015900" y="61988700"/>
          <a:ext cx="32385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447675</xdr:colOff>
      <xdr:row>177</xdr:row>
      <xdr:rowOff>19051</xdr:rowOff>
    </xdr:from>
    <xdr:to>
      <xdr:col>70</xdr:col>
      <xdr:colOff>447676</xdr:colOff>
      <xdr:row>178</xdr:row>
      <xdr:rowOff>66675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1285475D-8004-4500-BCB8-265749349B9F}"/>
            </a:ext>
          </a:extLst>
        </xdr:cNvPr>
        <xdr:cNvCxnSpPr/>
      </xdr:nvCxnSpPr>
      <xdr:spPr>
        <a:xfrm flipV="1">
          <a:off x="54254400" y="62226826"/>
          <a:ext cx="1" cy="2476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333375</xdr:colOff>
      <xdr:row>178</xdr:row>
      <xdr:rowOff>76200</xdr:rowOff>
    </xdr:from>
    <xdr:to>
      <xdr:col>70</xdr:col>
      <xdr:colOff>457200</xdr:colOff>
      <xdr:row>179</xdr:row>
      <xdr:rowOff>104775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2FD75C28-D166-4343-B973-A2843258B69E}"/>
            </a:ext>
          </a:extLst>
        </xdr:cNvPr>
        <xdr:cNvCxnSpPr/>
      </xdr:nvCxnSpPr>
      <xdr:spPr>
        <a:xfrm flipV="1">
          <a:off x="51092100" y="62484000"/>
          <a:ext cx="317182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19050</xdr:colOff>
      <xdr:row>175</xdr:row>
      <xdr:rowOff>161925</xdr:rowOff>
    </xdr:from>
    <xdr:to>
      <xdr:col>65</xdr:col>
      <xdr:colOff>228600</xdr:colOff>
      <xdr:row>175</xdr:row>
      <xdr:rowOff>161925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B11F00FB-501D-4BA1-B3AC-7E77143A55EF}"/>
            </a:ext>
          </a:extLst>
        </xdr:cNvPr>
        <xdr:cNvCxnSpPr/>
      </xdr:nvCxnSpPr>
      <xdr:spPr>
        <a:xfrm>
          <a:off x="49958625" y="61979175"/>
          <a:ext cx="1028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66675</xdr:colOff>
      <xdr:row>179</xdr:row>
      <xdr:rowOff>104775</xdr:rowOff>
    </xdr:from>
    <xdr:to>
      <xdr:col>65</xdr:col>
      <xdr:colOff>371475</xdr:colOff>
      <xdr:row>179</xdr:row>
      <xdr:rowOff>104775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A5F5E8A8-50A8-4530-9563-0CE451774241}"/>
            </a:ext>
          </a:extLst>
        </xdr:cNvPr>
        <xdr:cNvCxnSpPr/>
      </xdr:nvCxnSpPr>
      <xdr:spPr>
        <a:xfrm>
          <a:off x="50006250" y="62703075"/>
          <a:ext cx="1123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38099</xdr:colOff>
      <xdr:row>175</xdr:row>
      <xdr:rowOff>152401</xdr:rowOff>
    </xdr:from>
    <xdr:to>
      <xdr:col>64</xdr:col>
      <xdr:colOff>47625</xdr:colOff>
      <xdr:row>179</xdr:row>
      <xdr:rowOff>104775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403807C3-3C63-4596-A0ED-181DD0DB520B}"/>
            </a:ext>
          </a:extLst>
        </xdr:cNvPr>
        <xdr:cNvCxnSpPr/>
      </xdr:nvCxnSpPr>
      <xdr:spPr>
        <a:xfrm flipH="1" flipV="1">
          <a:off x="49977674" y="61969651"/>
          <a:ext cx="9526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76200</xdr:colOff>
      <xdr:row>181</xdr:row>
      <xdr:rowOff>142875</xdr:rowOff>
    </xdr:from>
    <xdr:to>
      <xdr:col>70</xdr:col>
      <xdr:colOff>409575</xdr:colOff>
      <xdr:row>181</xdr:row>
      <xdr:rowOff>171450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556EF99F-41F1-4C06-B65E-6A1CF035B337}"/>
            </a:ext>
          </a:extLst>
        </xdr:cNvPr>
        <xdr:cNvCxnSpPr/>
      </xdr:nvCxnSpPr>
      <xdr:spPr>
        <a:xfrm flipV="1">
          <a:off x="50015775" y="63122175"/>
          <a:ext cx="420052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123825</xdr:colOff>
      <xdr:row>182</xdr:row>
      <xdr:rowOff>142875</xdr:rowOff>
    </xdr:from>
    <xdr:to>
      <xdr:col>70</xdr:col>
      <xdr:colOff>438150</xdr:colOff>
      <xdr:row>182</xdr:row>
      <xdr:rowOff>180976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850F7911-F30E-449D-AE83-99D80A3524A2}"/>
            </a:ext>
          </a:extLst>
        </xdr:cNvPr>
        <xdr:cNvCxnSpPr/>
      </xdr:nvCxnSpPr>
      <xdr:spPr>
        <a:xfrm flipV="1">
          <a:off x="50063400" y="63312675"/>
          <a:ext cx="4181475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66675</xdr:colOff>
      <xdr:row>182</xdr:row>
      <xdr:rowOff>0</xdr:rowOff>
    </xdr:from>
    <xdr:to>
      <xdr:col>64</xdr:col>
      <xdr:colOff>66675</xdr:colOff>
      <xdr:row>182</xdr:row>
      <xdr:rowOff>171450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102F129-D999-44F6-A6CB-6D0EA8D6F5B1}"/>
            </a:ext>
          </a:extLst>
        </xdr:cNvPr>
        <xdr:cNvCxnSpPr/>
      </xdr:nvCxnSpPr>
      <xdr:spPr>
        <a:xfrm>
          <a:off x="50006250" y="63169800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428624</xdr:colOff>
      <xdr:row>181</xdr:row>
      <xdr:rowOff>161925</xdr:rowOff>
    </xdr:from>
    <xdr:to>
      <xdr:col>70</xdr:col>
      <xdr:colOff>428625</xdr:colOff>
      <xdr:row>182</xdr:row>
      <xdr:rowOff>123825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6B6AA0F-D5BB-4EE7-9F30-66E549C40D34}"/>
            </a:ext>
          </a:extLst>
        </xdr:cNvPr>
        <xdr:cNvCxnSpPr/>
      </xdr:nvCxnSpPr>
      <xdr:spPr>
        <a:xfrm flipH="1" flipV="1">
          <a:off x="54235349" y="63141225"/>
          <a:ext cx="1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68036</xdr:colOff>
      <xdr:row>192</xdr:row>
      <xdr:rowOff>27214</xdr:rowOff>
    </xdr:from>
    <xdr:to>
      <xdr:col>66</xdr:col>
      <xdr:colOff>68036</xdr:colOff>
      <xdr:row>203</xdr:row>
      <xdr:rowOff>40822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D6E0A82B-6756-4CF7-BA82-57EE572BB11F}"/>
            </a:ext>
          </a:extLst>
        </xdr:cNvPr>
        <xdr:cNvCxnSpPr>
          <a:endCxn id="45" idx="2"/>
        </xdr:cNvCxnSpPr>
      </xdr:nvCxnSpPr>
      <xdr:spPr>
        <a:xfrm flipV="1">
          <a:off x="51436361" y="65292514"/>
          <a:ext cx="0" cy="23377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244928</xdr:colOff>
      <xdr:row>192</xdr:row>
      <xdr:rowOff>27214</xdr:rowOff>
    </xdr:from>
    <xdr:to>
      <xdr:col>67</xdr:col>
      <xdr:colOff>244928</xdr:colOff>
      <xdr:row>202</xdr:row>
      <xdr:rowOff>163286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11ACDDA9-98E4-4392-ADCD-742516EA1CC4}"/>
            </a:ext>
          </a:extLst>
        </xdr:cNvPr>
        <xdr:cNvCxnSpPr>
          <a:endCxn id="45" idx="6"/>
        </xdr:cNvCxnSpPr>
      </xdr:nvCxnSpPr>
      <xdr:spPr>
        <a:xfrm flipV="1">
          <a:off x="52222853" y="65292514"/>
          <a:ext cx="0" cy="22696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68036</xdr:colOff>
      <xdr:row>191</xdr:row>
      <xdr:rowOff>54428</xdr:rowOff>
    </xdr:from>
    <xdr:to>
      <xdr:col>67</xdr:col>
      <xdr:colOff>244928</xdr:colOff>
      <xdr:row>193</xdr:row>
      <xdr:rowOff>0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443D20EF-547D-4E11-9EE7-A565D4293874}"/>
            </a:ext>
          </a:extLst>
        </xdr:cNvPr>
        <xdr:cNvSpPr/>
      </xdr:nvSpPr>
      <xdr:spPr>
        <a:xfrm>
          <a:off x="51436361" y="65129228"/>
          <a:ext cx="786492" cy="32657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66</xdr:col>
      <xdr:colOff>79825</xdr:colOff>
      <xdr:row>202</xdr:row>
      <xdr:rowOff>160807</xdr:rowOff>
    </xdr:from>
    <xdr:to>
      <xdr:col>67</xdr:col>
      <xdr:colOff>250272</xdr:colOff>
      <xdr:row>203</xdr:row>
      <xdr:rowOff>146539</xdr:rowOff>
    </xdr:to>
    <xdr:sp macro="" textlink="">
      <xdr:nvSpPr>
        <xdr:cNvPr id="46" name="Freeform: Shape 45">
          <a:extLst>
            <a:ext uri="{FF2B5EF4-FFF2-40B4-BE49-F238E27FC236}">
              <a16:creationId xmlns:a16="http://schemas.microsoft.com/office/drawing/2014/main" id="{F03ACBAF-A4DF-4488-BE87-28FEEB3066DE}"/>
            </a:ext>
          </a:extLst>
        </xdr:cNvPr>
        <xdr:cNvSpPr/>
      </xdr:nvSpPr>
      <xdr:spPr>
        <a:xfrm>
          <a:off x="51448150" y="67559707"/>
          <a:ext cx="780047" cy="176232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299</xdr:row>
      <xdr:rowOff>9525</xdr:rowOff>
    </xdr:from>
    <xdr:to>
      <xdr:col>29</xdr:col>
      <xdr:colOff>0</xdr:colOff>
      <xdr:row>303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EBCC038-8C08-4C87-BC4A-4973128BC146}"/>
            </a:ext>
          </a:extLst>
        </xdr:cNvPr>
        <xdr:cNvCxnSpPr/>
      </xdr:nvCxnSpPr>
      <xdr:spPr>
        <a:xfrm>
          <a:off x="24393525" y="60483750"/>
          <a:ext cx="971550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299</xdr:row>
      <xdr:rowOff>9525</xdr:rowOff>
    </xdr:from>
    <xdr:to>
      <xdr:col>27</xdr:col>
      <xdr:colOff>238125</xdr:colOff>
      <xdr:row>303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29BDF74-2CCE-434B-A631-D2104EA01AD2}"/>
            </a:ext>
          </a:extLst>
        </xdr:cNvPr>
        <xdr:cNvCxnSpPr/>
      </xdr:nvCxnSpPr>
      <xdr:spPr>
        <a:xfrm flipV="1">
          <a:off x="23421975" y="60483750"/>
          <a:ext cx="962025" cy="781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303</xdr:row>
      <xdr:rowOff>47625</xdr:rowOff>
    </xdr:from>
    <xdr:to>
      <xdr:col>29</xdr:col>
      <xdr:colOff>0</xdr:colOff>
      <xdr:row>303</xdr:row>
      <xdr:rowOff>57151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F6208B7-264F-442D-A33F-BF07B4C1F710}"/>
            </a:ext>
          </a:extLst>
        </xdr:cNvPr>
        <xdr:cNvCxnSpPr/>
      </xdr:nvCxnSpPr>
      <xdr:spPr>
        <a:xfrm flipH="1" flipV="1">
          <a:off x="23412450" y="61293375"/>
          <a:ext cx="19526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300</xdr:row>
      <xdr:rowOff>57150</xdr:rowOff>
    </xdr:from>
    <xdr:to>
      <xdr:col>35</xdr:col>
      <xdr:colOff>47625</xdr:colOff>
      <xdr:row>304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2AED7D1B-D8AB-4200-ADB7-45D55E26064F}"/>
            </a:ext>
          </a:extLst>
        </xdr:cNvPr>
        <xdr:cNvSpPr/>
      </xdr:nvSpPr>
      <xdr:spPr>
        <a:xfrm flipH="1">
          <a:off x="23622000" y="62607825"/>
          <a:ext cx="14001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300</xdr:row>
      <xdr:rowOff>66675</xdr:rowOff>
    </xdr:from>
    <xdr:to>
      <xdr:col>36</xdr:col>
      <xdr:colOff>108136</xdr:colOff>
      <xdr:row>304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A6530205-A51A-4166-BC47-CC9413CC1970}"/>
            </a:ext>
          </a:extLst>
        </xdr:cNvPr>
        <xdr:cNvSpPr/>
      </xdr:nvSpPr>
      <xdr:spPr>
        <a:xfrm>
          <a:off x="27503717" y="52779146"/>
          <a:ext cx="652743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300</xdr:row>
      <xdr:rowOff>66675</xdr:rowOff>
    </xdr:from>
    <xdr:to>
      <xdr:col>39</xdr:col>
      <xdr:colOff>257175</xdr:colOff>
      <xdr:row>304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13AEB6A2-7D5C-4707-BD16-2AA939D903F4}"/>
            </a:ext>
          </a:extLst>
        </xdr:cNvPr>
        <xdr:cNvSpPr/>
      </xdr:nvSpPr>
      <xdr:spPr>
        <a:xfrm>
          <a:off x="26346150" y="626173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300</xdr:row>
      <xdr:rowOff>66675</xdr:rowOff>
    </xdr:from>
    <xdr:to>
      <xdr:col>37</xdr:col>
      <xdr:colOff>142875</xdr:colOff>
      <xdr:row>304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65F43847-AD7A-4D3C-99C8-F7D23DEC576D}"/>
            </a:ext>
          </a:extLst>
        </xdr:cNvPr>
        <xdr:cNvSpPr/>
      </xdr:nvSpPr>
      <xdr:spPr>
        <a:xfrm flipH="1">
          <a:off x="25679400" y="6261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323</xdr:row>
      <xdr:rowOff>0</xdr:rowOff>
    </xdr:from>
    <xdr:to>
      <xdr:col>29</xdr:col>
      <xdr:colOff>9525</xdr:colOff>
      <xdr:row>327</xdr:row>
      <xdr:rowOff>19050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30D9533-A36E-458C-8931-CD0CC155F715}"/>
            </a:ext>
          </a:extLst>
        </xdr:cNvPr>
        <xdr:cNvCxnSpPr/>
      </xdr:nvCxnSpPr>
      <xdr:spPr>
        <a:xfrm>
          <a:off x="19021425" y="66589275"/>
          <a:ext cx="19526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323</xdr:row>
      <xdr:rowOff>0</xdr:rowOff>
    </xdr:from>
    <xdr:to>
      <xdr:col>29</xdr:col>
      <xdr:colOff>28575</xdr:colOff>
      <xdr:row>327</xdr:row>
      <xdr:rowOff>19050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A0C9620B-6D7F-48E2-BFB1-D240D3F9D37E}"/>
            </a:ext>
          </a:extLst>
        </xdr:cNvPr>
        <xdr:cNvCxnSpPr/>
      </xdr:nvCxnSpPr>
      <xdr:spPr>
        <a:xfrm flipV="1">
          <a:off x="19021425" y="66589275"/>
          <a:ext cx="197167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742950</xdr:colOff>
      <xdr:row>327</xdr:row>
      <xdr:rowOff>47625</xdr:rowOff>
    </xdr:from>
    <xdr:to>
      <xdr:col>29</xdr:col>
      <xdr:colOff>0</xdr:colOff>
      <xdr:row>327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C49629A2-1089-49BB-9B9F-E3DAB2BBA237}"/>
            </a:ext>
          </a:extLst>
        </xdr:cNvPr>
        <xdr:cNvCxnSpPr/>
      </xdr:nvCxnSpPr>
      <xdr:spPr>
        <a:xfrm flipH="1" flipV="1">
          <a:off x="18859500" y="67437000"/>
          <a:ext cx="2105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371475</xdr:colOff>
      <xdr:row>334</xdr:row>
      <xdr:rowOff>95250</xdr:rowOff>
    </xdr:from>
    <xdr:to>
      <xdr:col>38</xdr:col>
      <xdr:colOff>533400</xdr:colOff>
      <xdr:row>334</xdr:row>
      <xdr:rowOff>95250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A989C44F-C62B-481F-94E3-F4F82EF092F2}"/>
            </a:ext>
          </a:extLst>
        </xdr:cNvPr>
        <xdr:cNvCxnSpPr/>
      </xdr:nvCxnSpPr>
      <xdr:spPr>
        <a:xfrm>
          <a:off x="25346025" y="69199125"/>
          <a:ext cx="1990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303</xdr:row>
      <xdr:rowOff>22411</xdr:rowOff>
    </xdr:from>
    <xdr:to>
      <xdr:col>51</xdr:col>
      <xdr:colOff>0</xdr:colOff>
      <xdr:row>309</xdr:row>
      <xdr:rowOff>11205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3DDFAAB8-8E9E-49DB-B9D5-6A20487E57EF}"/>
            </a:ext>
          </a:extLst>
        </xdr:cNvPr>
        <xdr:cNvCxnSpPr/>
      </xdr:nvCxnSpPr>
      <xdr:spPr>
        <a:xfrm flipV="1">
          <a:off x="35858824" y="53115882"/>
          <a:ext cx="1815352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593912</xdr:colOff>
      <xdr:row>303</xdr:row>
      <xdr:rowOff>0</xdr:rowOff>
    </xdr:from>
    <xdr:to>
      <xdr:col>51</xdr:col>
      <xdr:colOff>11206</xdr:colOff>
      <xdr:row>309</xdr:row>
      <xdr:rowOff>22411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D0F7A9F7-5475-45B4-BA06-86DC5BEFA6A5}"/>
            </a:ext>
          </a:extLst>
        </xdr:cNvPr>
        <xdr:cNvCxnSpPr/>
      </xdr:nvCxnSpPr>
      <xdr:spPr>
        <a:xfrm>
          <a:off x="35847618" y="53093471"/>
          <a:ext cx="1837764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303</xdr:row>
      <xdr:rowOff>0</xdr:rowOff>
    </xdr:from>
    <xdr:to>
      <xdr:col>60</xdr:col>
      <xdr:colOff>33616</xdr:colOff>
      <xdr:row>308</xdr:row>
      <xdr:rowOff>179294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6D932548-76DC-4BFF-8597-A8C07F6A5C30}"/>
            </a:ext>
          </a:extLst>
        </xdr:cNvPr>
        <xdr:cNvCxnSpPr/>
      </xdr:nvCxnSpPr>
      <xdr:spPr>
        <a:xfrm flipV="1">
          <a:off x="42784058" y="52902971"/>
          <a:ext cx="2734234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303</xdr:row>
      <xdr:rowOff>33617</xdr:rowOff>
    </xdr:from>
    <xdr:to>
      <xdr:col>60</xdr:col>
      <xdr:colOff>11206</xdr:colOff>
      <xdr:row>309</xdr:row>
      <xdr:rowOff>22411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7C44B9EB-89EA-4185-B6FA-2603E833358F}"/>
            </a:ext>
          </a:extLst>
        </xdr:cNvPr>
        <xdr:cNvCxnSpPr/>
      </xdr:nvCxnSpPr>
      <xdr:spPr>
        <a:xfrm>
          <a:off x="42784059" y="52936588"/>
          <a:ext cx="2711823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321</xdr:row>
      <xdr:rowOff>0</xdr:rowOff>
    </xdr:from>
    <xdr:to>
      <xdr:col>51</xdr:col>
      <xdr:colOff>33616</xdr:colOff>
      <xdr:row>326</xdr:row>
      <xdr:rowOff>179294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8B3996EA-8AD7-4437-9383-2D7931E153B4}"/>
            </a:ext>
          </a:extLst>
        </xdr:cNvPr>
        <xdr:cNvCxnSpPr/>
      </xdr:nvCxnSpPr>
      <xdr:spPr>
        <a:xfrm flipV="1">
          <a:off x="42784058" y="52902971"/>
          <a:ext cx="2734234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321</xdr:row>
      <xdr:rowOff>33617</xdr:rowOff>
    </xdr:from>
    <xdr:to>
      <xdr:col>51</xdr:col>
      <xdr:colOff>11206</xdr:colOff>
      <xdr:row>327</xdr:row>
      <xdr:rowOff>22411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E1AB018B-0F52-4D0A-B3D7-B5A0B720A672}"/>
            </a:ext>
          </a:extLst>
        </xdr:cNvPr>
        <xdr:cNvCxnSpPr/>
      </xdr:nvCxnSpPr>
      <xdr:spPr>
        <a:xfrm>
          <a:off x="42784059" y="52936588"/>
          <a:ext cx="2711823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321</xdr:row>
      <xdr:rowOff>0</xdr:rowOff>
    </xdr:from>
    <xdr:to>
      <xdr:col>60</xdr:col>
      <xdr:colOff>33616</xdr:colOff>
      <xdr:row>326</xdr:row>
      <xdr:rowOff>179294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1BDCB05A-1BA1-4FFB-98A3-F793754209D2}"/>
            </a:ext>
          </a:extLst>
        </xdr:cNvPr>
        <xdr:cNvCxnSpPr/>
      </xdr:nvCxnSpPr>
      <xdr:spPr>
        <a:xfrm flipV="1">
          <a:off x="35892441" y="56522471"/>
          <a:ext cx="2756646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321</xdr:row>
      <xdr:rowOff>33617</xdr:rowOff>
    </xdr:from>
    <xdr:to>
      <xdr:col>60</xdr:col>
      <xdr:colOff>11206</xdr:colOff>
      <xdr:row>327</xdr:row>
      <xdr:rowOff>22411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16D685C1-D0B9-4888-A488-FE1DC0E4647B}"/>
            </a:ext>
          </a:extLst>
        </xdr:cNvPr>
        <xdr:cNvCxnSpPr/>
      </xdr:nvCxnSpPr>
      <xdr:spPr>
        <a:xfrm>
          <a:off x="35892442" y="56556088"/>
          <a:ext cx="2734235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340</xdr:row>
      <xdr:rowOff>0</xdr:rowOff>
    </xdr:from>
    <xdr:to>
      <xdr:col>51</xdr:col>
      <xdr:colOff>33616</xdr:colOff>
      <xdr:row>345</xdr:row>
      <xdr:rowOff>179294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6E610F7F-F191-45B0-931A-B13DB210E8D5}"/>
            </a:ext>
          </a:extLst>
        </xdr:cNvPr>
        <xdr:cNvCxnSpPr/>
      </xdr:nvCxnSpPr>
      <xdr:spPr>
        <a:xfrm flipV="1">
          <a:off x="42784058" y="56522471"/>
          <a:ext cx="2734234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340</xdr:row>
      <xdr:rowOff>33617</xdr:rowOff>
    </xdr:from>
    <xdr:to>
      <xdr:col>51</xdr:col>
      <xdr:colOff>11206</xdr:colOff>
      <xdr:row>346</xdr:row>
      <xdr:rowOff>22411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C2CC8B40-D6DE-4058-91D0-39FAC1ECBEB7}"/>
            </a:ext>
          </a:extLst>
        </xdr:cNvPr>
        <xdr:cNvCxnSpPr/>
      </xdr:nvCxnSpPr>
      <xdr:spPr>
        <a:xfrm>
          <a:off x="42784059" y="56556088"/>
          <a:ext cx="2711823" cy="116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340</xdr:row>
      <xdr:rowOff>0</xdr:rowOff>
    </xdr:from>
    <xdr:to>
      <xdr:col>60</xdr:col>
      <xdr:colOff>33616</xdr:colOff>
      <xdr:row>345</xdr:row>
      <xdr:rowOff>179294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BAFBE61F-4E13-44BE-9F4E-AF621278E731}"/>
            </a:ext>
          </a:extLst>
        </xdr:cNvPr>
        <xdr:cNvCxnSpPr/>
      </xdr:nvCxnSpPr>
      <xdr:spPr>
        <a:xfrm flipV="1">
          <a:off x="35892441" y="60366088"/>
          <a:ext cx="2756646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340</xdr:row>
      <xdr:rowOff>33617</xdr:rowOff>
    </xdr:from>
    <xdr:to>
      <xdr:col>60</xdr:col>
      <xdr:colOff>11206</xdr:colOff>
      <xdr:row>346</xdr:row>
      <xdr:rowOff>22411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908D4202-8994-497D-93B1-BF2452395C92}"/>
            </a:ext>
          </a:extLst>
        </xdr:cNvPr>
        <xdr:cNvCxnSpPr/>
      </xdr:nvCxnSpPr>
      <xdr:spPr>
        <a:xfrm>
          <a:off x="35892442" y="60399705"/>
          <a:ext cx="2734235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362</xdr:row>
      <xdr:rowOff>0</xdr:rowOff>
    </xdr:from>
    <xdr:to>
      <xdr:col>51</xdr:col>
      <xdr:colOff>33616</xdr:colOff>
      <xdr:row>364</xdr:row>
      <xdr:rowOff>179294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FFC1973A-0C99-418C-8753-A14DA9A6F692}"/>
            </a:ext>
          </a:extLst>
        </xdr:cNvPr>
        <xdr:cNvCxnSpPr/>
      </xdr:nvCxnSpPr>
      <xdr:spPr>
        <a:xfrm flipV="1">
          <a:off x="42784058" y="60366088"/>
          <a:ext cx="2734234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362</xdr:row>
      <xdr:rowOff>0</xdr:rowOff>
    </xdr:from>
    <xdr:to>
      <xdr:col>51</xdr:col>
      <xdr:colOff>11206</xdr:colOff>
      <xdr:row>365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24F704EC-B4AD-4E2D-AD1B-C802A348F8CD}"/>
            </a:ext>
          </a:extLst>
        </xdr:cNvPr>
        <xdr:cNvCxnSpPr/>
      </xdr:nvCxnSpPr>
      <xdr:spPr>
        <a:xfrm>
          <a:off x="42784059" y="60399705"/>
          <a:ext cx="2711823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362</xdr:row>
      <xdr:rowOff>0</xdr:rowOff>
    </xdr:from>
    <xdr:to>
      <xdr:col>60</xdr:col>
      <xdr:colOff>33616</xdr:colOff>
      <xdr:row>364</xdr:row>
      <xdr:rowOff>179294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4E87C4EC-A0F5-40D3-BBD8-62A351840DB7}"/>
            </a:ext>
          </a:extLst>
        </xdr:cNvPr>
        <xdr:cNvCxnSpPr/>
      </xdr:nvCxnSpPr>
      <xdr:spPr>
        <a:xfrm flipV="1">
          <a:off x="35892441" y="63604588"/>
          <a:ext cx="2756646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362</xdr:row>
      <xdr:rowOff>0</xdr:rowOff>
    </xdr:from>
    <xdr:to>
      <xdr:col>60</xdr:col>
      <xdr:colOff>11206</xdr:colOff>
      <xdr:row>365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F5E8E62C-6FB2-4BD6-889D-6DBFF4DFF6AE}"/>
            </a:ext>
          </a:extLst>
        </xdr:cNvPr>
        <xdr:cNvCxnSpPr/>
      </xdr:nvCxnSpPr>
      <xdr:spPr>
        <a:xfrm>
          <a:off x="35892442" y="63638205"/>
          <a:ext cx="2734235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375</xdr:row>
      <xdr:rowOff>0</xdr:rowOff>
    </xdr:from>
    <xdr:to>
      <xdr:col>51</xdr:col>
      <xdr:colOff>33616</xdr:colOff>
      <xdr:row>380</xdr:row>
      <xdr:rowOff>179294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9951B3A0-AA27-482E-A4B1-5115948AAA84}"/>
            </a:ext>
          </a:extLst>
        </xdr:cNvPr>
        <xdr:cNvCxnSpPr/>
      </xdr:nvCxnSpPr>
      <xdr:spPr>
        <a:xfrm flipV="1">
          <a:off x="42784058" y="63604588"/>
          <a:ext cx="2734234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375</xdr:row>
      <xdr:rowOff>33617</xdr:rowOff>
    </xdr:from>
    <xdr:to>
      <xdr:col>51</xdr:col>
      <xdr:colOff>11206</xdr:colOff>
      <xdr:row>381</xdr:row>
      <xdr:rowOff>22411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C2C4B5B7-D4B0-42DE-B648-71C70A3A470D}"/>
            </a:ext>
          </a:extLst>
        </xdr:cNvPr>
        <xdr:cNvCxnSpPr/>
      </xdr:nvCxnSpPr>
      <xdr:spPr>
        <a:xfrm>
          <a:off x="42784059" y="63638205"/>
          <a:ext cx="2711823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375</xdr:row>
      <xdr:rowOff>0</xdr:rowOff>
    </xdr:from>
    <xdr:to>
      <xdr:col>60</xdr:col>
      <xdr:colOff>33616</xdr:colOff>
      <xdr:row>380</xdr:row>
      <xdr:rowOff>179294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748C7F98-FE30-4D36-BBB4-7151AA20D390}"/>
            </a:ext>
          </a:extLst>
        </xdr:cNvPr>
        <xdr:cNvCxnSpPr/>
      </xdr:nvCxnSpPr>
      <xdr:spPr>
        <a:xfrm flipV="1">
          <a:off x="35892441" y="66843088"/>
          <a:ext cx="2756646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375</xdr:row>
      <xdr:rowOff>33617</xdr:rowOff>
    </xdr:from>
    <xdr:to>
      <xdr:col>60</xdr:col>
      <xdr:colOff>11206</xdr:colOff>
      <xdr:row>381</xdr:row>
      <xdr:rowOff>22411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BA9647F0-1EF7-429C-B64A-675203B816AD}"/>
            </a:ext>
          </a:extLst>
        </xdr:cNvPr>
        <xdr:cNvCxnSpPr/>
      </xdr:nvCxnSpPr>
      <xdr:spPr>
        <a:xfrm>
          <a:off x="35892442" y="66876705"/>
          <a:ext cx="2734235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257175</xdr:colOff>
      <xdr:row>306</xdr:row>
      <xdr:rowOff>171450</xdr:rowOff>
    </xdr:from>
    <xdr:to>
      <xdr:col>70</xdr:col>
      <xdr:colOff>447675</xdr:colOff>
      <xdr:row>308</xdr:row>
      <xdr:rowOff>38100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506CC2D1-9A7B-41BB-A985-F8D3E0BDC492}"/>
            </a:ext>
          </a:extLst>
        </xdr:cNvPr>
        <xdr:cNvCxnSpPr/>
      </xdr:nvCxnSpPr>
      <xdr:spPr>
        <a:xfrm>
          <a:off x="48863250" y="53644800"/>
          <a:ext cx="32385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447675</xdr:colOff>
      <xdr:row>308</xdr:row>
      <xdr:rowOff>19051</xdr:rowOff>
    </xdr:from>
    <xdr:to>
      <xdr:col>70</xdr:col>
      <xdr:colOff>447676</xdr:colOff>
      <xdr:row>309</xdr:row>
      <xdr:rowOff>66675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853EED7B-A7DE-4D4D-A435-9C66F779562E}"/>
            </a:ext>
          </a:extLst>
        </xdr:cNvPr>
        <xdr:cNvCxnSpPr/>
      </xdr:nvCxnSpPr>
      <xdr:spPr>
        <a:xfrm flipV="1">
          <a:off x="52101750" y="53882926"/>
          <a:ext cx="1" cy="2476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333375</xdr:colOff>
      <xdr:row>309</xdr:row>
      <xdr:rowOff>76200</xdr:rowOff>
    </xdr:from>
    <xdr:to>
      <xdr:col>70</xdr:col>
      <xdr:colOff>457200</xdr:colOff>
      <xdr:row>310</xdr:row>
      <xdr:rowOff>104775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7761459C-2A85-4D0C-9D26-19B7EF554FDC}"/>
            </a:ext>
          </a:extLst>
        </xdr:cNvPr>
        <xdr:cNvCxnSpPr/>
      </xdr:nvCxnSpPr>
      <xdr:spPr>
        <a:xfrm flipV="1">
          <a:off x="48939450" y="54140100"/>
          <a:ext cx="317182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19050</xdr:colOff>
      <xdr:row>306</xdr:row>
      <xdr:rowOff>161925</xdr:rowOff>
    </xdr:from>
    <xdr:to>
      <xdr:col>65</xdr:col>
      <xdr:colOff>228600</xdr:colOff>
      <xdr:row>306</xdr:row>
      <xdr:rowOff>161925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7206ADFB-EE2E-4120-B8AB-A4A21D89710C}"/>
            </a:ext>
          </a:extLst>
        </xdr:cNvPr>
        <xdr:cNvCxnSpPr/>
      </xdr:nvCxnSpPr>
      <xdr:spPr>
        <a:xfrm>
          <a:off x="48015525" y="53635275"/>
          <a:ext cx="819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66675</xdr:colOff>
      <xdr:row>310</xdr:row>
      <xdr:rowOff>104775</xdr:rowOff>
    </xdr:from>
    <xdr:to>
      <xdr:col>65</xdr:col>
      <xdr:colOff>371475</xdr:colOff>
      <xdr:row>310</xdr:row>
      <xdr:rowOff>104775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C4C325C2-4522-4BFF-86CC-9955A1898F7F}"/>
            </a:ext>
          </a:extLst>
        </xdr:cNvPr>
        <xdr:cNvCxnSpPr/>
      </xdr:nvCxnSpPr>
      <xdr:spPr>
        <a:xfrm>
          <a:off x="48063150" y="54359175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38099</xdr:colOff>
      <xdr:row>306</xdr:row>
      <xdr:rowOff>152401</xdr:rowOff>
    </xdr:from>
    <xdr:to>
      <xdr:col>64</xdr:col>
      <xdr:colOff>47625</xdr:colOff>
      <xdr:row>310</xdr:row>
      <xdr:rowOff>104775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7606744A-A7F3-42A8-BDF9-C10385411EFB}"/>
            </a:ext>
          </a:extLst>
        </xdr:cNvPr>
        <xdr:cNvCxnSpPr/>
      </xdr:nvCxnSpPr>
      <xdr:spPr>
        <a:xfrm flipH="1" flipV="1">
          <a:off x="48034574" y="53625751"/>
          <a:ext cx="9526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76200</xdr:colOff>
      <xdr:row>312</xdr:row>
      <xdr:rowOff>142875</xdr:rowOff>
    </xdr:from>
    <xdr:to>
      <xdr:col>70</xdr:col>
      <xdr:colOff>409575</xdr:colOff>
      <xdr:row>312</xdr:row>
      <xdr:rowOff>171450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777857F-62F7-4475-9882-A9C3F616D8C7}"/>
            </a:ext>
          </a:extLst>
        </xdr:cNvPr>
        <xdr:cNvCxnSpPr/>
      </xdr:nvCxnSpPr>
      <xdr:spPr>
        <a:xfrm flipV="1">
          <a:off x="48072675" y="54778275"/>
          <a:ext cx="414337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123825</xdr:colOff>
      <xdr:row>313</xdr:row>
      <xdr:rowOff>142875</xdr:rowOff>
    </xdr:from>
    <xdr:to>
      <xdr:col>70</xdr:col>
      <xdr:colOff>438150</xdr:colOff>
      <xdr:row>313</xdr:row>
      <xdr:rowOff>180976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F084B288-7386-4DC9-8973-08854A15370A}"/>
            </a:ext>
          </a:extLst>
        </xdr:cNvPr>
        <xdr:cNvCxnSpPr/>
      </xdr:nvCxnSpPr>
      <xdr:spPr>
        <a:xfrm flipV="1">
          <a:off x="48120300" y="54968775"/>
          <a:ext cx="4124325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66675</xdr:colOff>
      <xdr:row>313</xdr:row>
      <xdr:rowOff>0</xdr:rowOff>
    </xdr:from>
    <xdr:to>
      <xdr:col>64</xdr:col>
      <xdr:colOff>66675</xdr:colOff>
      <xdr:row>313</xdr:row>
      <xdr:rowOff>171450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45E0F8CB-F656-4AFC-8882-1041951D278C}"/>
            </a:ext>
          </a:extLst>
        </xdr:cNvPr>
        <xdr:cNvCxnSpPr/>
      </xdr:nvCxnSpPr>
      <xdr:spPr>
        <a:xfrm>
          <a:off x="48063150" y="54825900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428624</xdr:colOff>
      <xdr:row>312</xdr:row>
      <xdr:rowOff>161925</xdr:rowOff>
    </xdr:from>
    <xdr:to>
      <xdr:col>70</xdr:col>
      <xdr:colOff>428625</xdr:colOff>
      <xdr:row>313</xdr:row>
      <xdr:rowOff>123825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885744FF-FA01-4AFD-87F0-364D021C1A8A}"/>
            </a:ext>
          </a:extLst>
        </xdr:cNvPr>
        <xdr:cNvCxnSpPr/>
      </xdr:nvCxnSpPr>
      <xdr:spPr>
        <a:xfrm flipH="1" flipV="1">
          <a:off x="52235099" y="54797325"/>
          <a:ext cx="1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68036</xdr:colOff>
      <xdr:row>323</xdr:row>
      <xdr:rowOff>27214</xdr:rowOff>
    </xdr:from>
    <xdr:to>
      <xdr:col>66</xdr:col>
      <xdr:colOff>68036</xdr:colOff>
      <xdr:row>334</xdr:row>
      <xdr:rowOff>40822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E47B3F0A-11B2-4A53-A0AD-240C45B30710}"/>
            </a:ext>
          </a:extLst>
        </xdr:cNvPr>
        <xdr:cNvCxnSpPr>
          <a:endCxn id="111" idx="2"/>
        </xdr:cNvCxnSpPr>
      </xdr:nvCxnSpPr>
      <xdr:spPr>
        <a:xfrm flipV="1">
          <a:off x="49611643" y="56973107"/>
          <a:ext cx="0" cy="23404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244928</xdr:colOff>
      <xdr:row>323</xdr:row>
      <xdr:rowOff>27214</xdr:rowOff>
    </xdr:from>
    <xdr:to>
      <xdr:col>67</xdr:col>
      <xdr:colOff>244928</xdr:colOff>
      <xdr:row>333</xdr:row>
      <xdr:rowOff>163286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41742BB-C5DF-4413-BA08-8D1EA5F715DC}"/>
            </a:ext>
          </a:extLst>
        </xdr:cNvPr>
        <xdr:cNvCxnSpPr>
          <a:endCxn id="111" idx="6"/>
        </xdr:cNvCxnSpPr>
      </xdr:nvCxnSpPr>
      <xdr:spPr>
        <a:xfrm flipV="1">
          <a:off x="50400857" y="56973107"/>
          <a:ext cx="0" cy="22723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68036</xdr:colOff>
      <xdr:row>322</xdr:row>
      <xdr:rowOff>54428</xdr:rowOff>
    </xdr:from>
    <xdr:to>
      <xdr:col>67</xdr:col>
      <xdr:colOff>244928</xdr:colOff>
      <xdr:row>324</xdr:row>
      <xdr:rowOff>0</xdr:rowOff>
    </xdr:to>
    <xdr:sp macro="" textlink="">
      <xdr:nvSpPr>
        <xdr:cNvPr id="111" name="Oval 110">
          <a:extLst>
            <a:ext uri="{FF2B5EF4-FFF2-40B4-BE49-F238E27FC236}">
              <a16:creationId xmlns:a16="http://schemas.microsoft.com/office/drawing/2014/main" id="{6320B21A-F5AD-4E50-8A45-6B8B903CFCE6}"/>
            </a:ext>
          </a:extLst>
        </xdr:cNvPr>
        <xdr:cNvSpPr/>
      </xdr:nvSpPr>
      <xdr:spPr>
        <a:xfrm>
          <a:off x="49611643" y="56809821"/>
          <a:ext cx="789214" cy="32657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66</xdr:col>
      <xdr:colOff>79825</xdr:colOff>
      <xdr:row>333</xdr:row>
      <xdr:rowOff>160807</xdr:rowOff>
    </xdr:from>
    <xdr:to>
      <xdr:col>67</xdr:col>
      <xdr:colOff>250272</xdr:colOff>
      <xdr:row>334</xdr:row>
      <xdr:rowOff>146539</xdr:rowOff>
    </xdr:to>
    <xdr:sp macro="" textlink="">
      <xdr:nvSpPr>
        <xdr:cNvPr id="119" name="Freeform: Shape 118">
          <a:extLst>
            <a:ext uri="{FF2B5EF4-FFF2-40B4-BE49-F238E27FC236}">
              <a16:creationId xmlns:a16="http://schemas.microsoft.com/office/drawing/2014/main" id="{858C4569-86C5-43F9-BE2C-C86243A59CCE}"/>
            </a:ext>
          </a:extLst>
        </xdr:cNvPr>
        <xdr:cNvSpPr/>
      </xdr:nvSpPr>
      <xdr:spPr>
        <a:xfrm>
          <a:off x="49448633" y="59208480"/>
          <a:ext cx="778581" cy="176232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255</xdr:row>
      <xdr:rowOff>0</xdr:rowOff>
    </xdr:from>
    <xdr:to>
      <xdr:col>29</xdr:col>
      <xdr:colOff>9525</xdr:colOff>
      <xdr:row>259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1F1F082-6CC9-4AE5-A6BD-6D47D9B2424E}"/>
            </a:ext>
          </a:extLst>
        </xdr:cNvPr>
        <xdr:cNvCxnSpPr/>
      </xdr:nvCxnSpPr>
      <xdr:spPr>
        <a:xfrm>
          <a:off x="19173825" y="51701700"/>
          <a:ext cx="1952625" cy="1171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255</xdr:row>
      <xdr:rowOff>0</xdr:rowOff>
    </xdr:from>
    <xdr:to>
      <xdr:col>29</xdr:col>
      <xdr:colOff>28575</xdr:colOff>
      <xdr:row>259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AB84831-9011-4FC8-9A69-906EF5A10B46}"/>
            </a:ext>
          </a:extLst>
        </xdr:cNvPr>
        <xdr:cNvCxnSpPr/>
      </xdr:nvCxnSpPr>
      <xdr:spPr>
        <a:xfrm flipV="1">
          <a:off x="19173825" y="51701700"/>
          <a:ext cx="1971675" cy="1171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742950</xdr:colOff>
      <xdr:row>259</xdr:row>
      <xdr:rowOff>47625</xdr:rowOff>
    </xdr:from>
    <xdr:to>
      <xdr:col>29</xdr:col>
      <xdr:colOff>0</xdr:colOff>
      <xdr:row>259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44E66A7-7B6C-452B-A1C5-ABBC28153176}"/>
            </a:ext>
          </a:extLst>
        </xdr:cNvPr>
        <xdr:cNvCxnSpPr/>
      </xdr:nvCxnSpPr>
      <xdr:spPr>
        <a:xfrm flipH="1" flipV="1">
          <a:off x="19011900" y="52901850"/>
          <a:ext cx="2105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256</xdr:row>
      <xdr:rowOff>57150</xdr:rowOff>
    </xdr:from>
    <xdr:to>
      <xdr:col>35</xdr:col>
      <xdr:colOff>47625</xdr:colOff>
      <xdr:row>260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F77CF6D3-280C-4802-9F4F-42670F0593C3}"/>
            </a:ext>
          </a:extLst>
        </xdr:cNvPr>
        <xdr:cNvSpPr/>
      </xdr:nvSpPr>
      <xdr:spPr>
        <a:xfrm flipH="1">
          <a:off x="23774400" y="52339875"/>
          <a:ext cx="14001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38100</xdr:colOff>
      <xdr:row>256</xdr:row>
      <xdr:rowOff>66675</xdr:rowOff>
    </xdr:from>
    <xdr:to>
      <xdr:col>36</xdr:col>
      <xdr:colOff>85725</xdr:colOff>
      <xdr:row>260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9B51A6EA-CB35-4C65-A6AF-D6C586ED8161}"/>
            </a:ext>
          </a:extLst>
        </xdr:cNvPr>
        <xdr:cNvSpPr/>
      </xdr:nvSpPr>
      <xdr:spPr>
        <a:xfrm>
          <a:off x="25165050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256</xdr:row>
      <xdr:rowOff>66675</xdr:rowOff>
    </xdr:from>
    <xdr:to>
      <xdr:col>39</xdr:col>
      <xdr:colOff>257175</xdr:colOff>
      <xdr:row>260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58B06268-7F3E-4D96-A6A4-67985076F65D}"/>
            </a:ext>
          </a:extLst>
        </xdr:cNvPr>
        <xdr:cNvSpPr/>
      </xdr:nvSpPr>
      <xdr:spPr>
        <a:xfrm>
          <a:off x="26498550" y="5234940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256</xdr:row>
      <xdr:rowOff>66675</xdr:rowOff>
    </xdr:from>
    <xdr:to>
      <xdr:col>37</xdr:col>
      <xdr:colOff>142875</xdr:colOff>
      <xdr:row>260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D1B5A041-9F82-4FD9-8DC4-DDC58901E544}"/>
            </a:ext>
          </a:extLst>
        </xdr:cNvPr>
        <xdr:cNvSpPr/>
      </xdr:nvSpPr>
      <xdr:spPr>
        <a:xfrm flipH="1">
          <a:off x="25831800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44</xdr:col>
      <xdr:colOff>219075</xdr:colOff>
      <xdr:row>256</xdr:row>
      <xdr:rowOff>57150</xdr:rowOff>
    </xdr:from>
    <xdr:to>
      <xdr:col>46</xdr:col>
      <xdr:colOff>47625</xdr:colOff>
      <xdr:row>260</xdr:row>
      <xdr:rowOff>152399</xdr:rowOff>
    </xdr:to>
    <xdr:sp macro="" textlink="">
      <xdr:nvSpPr>
        <xdr:cNvPr id="9" name="Right Triangle 8">
          <a:extLst>
            <a:ext uri="{FF2B5EF4-FFF2-40B4-BE49-F238E27FC236}">
              <a16:creationId xmlns:a16="http://schemas.microsoft.com/office/drawing/2014/main" id="{CB4A6433-0787-4F75-ABC6-BF09817F0809}"/>
            </a:ext>
          </a:extLst>
        </xdr:cNvPr>
        <xdr:cNvSpPr/>
      </xdr:nvSpPr>
      <xdr:spPr>
        <a:xfrm flipH="1">
          <a:off x="30832425" y="52339875"/>
          <a:ext cx="15906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46</xdr:col>
      <xdr:colOff>38100</xdr:colOff>
      <xdr:row>256</xdr:row>
      <xdr:rowOff>66675</xdr:rowOff>
    </xdr:from>
    <xdr:to>
      <xdr:col>47</xdr:col>
      <xdr:colOff>85725</xdr:colOff>
      <xdr:row>260</xdr:row>
      <xdr:rowOff>152400</xdr:rowOff>
    </xdr:to>
    <xdr:sp macro="" textlink="">
      <xdr:nvSpPr>
        <xdr:cNvPr id="10" name="Right Triangle 9">
          <a:extLst>
            <a:ext uri="{FF2B5EF4-FFF2-40B4-BE49-F238E27FC236}">
              <a16:creationId xmlns:a16="http://schemas.microsoft.com/office/drawing/2014/main" id="{A94A24CD-3D1A-4B1B-8EF5-4C383DB68E44}"/>
            </a:ext>
          </a:extLst>
        </xdr:cNvPr>
        <xdr:cNvSpPr/>
      </xdr:nvSpPr>
      <xdr:spPr>
        <a:xfrm>
          <a:off x="32413575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152400</xdr:colOff>
      <xdr:row>256</xdr:row>
      <xdr:rowOff>66675</xdr:rowOff>
    </xdr:from>
    <xdr:to>
      <xdr:col>50</xdr:col>
      <xdr:colOff>257175</xdr:colOff>
      <xdr:row>260</xdr:row>
      <xdr:rowOff>161924</xdr:rowOff>
    </xdr:to>
    <xdr:sp macro="" textlink="">
      <xdr:nvSpPr>
        <xdr:cNvPr id="11" name="Right Triangle 10">
          <a:extLst>
            <a:ext uri="{FF2B5EF4-FFF2-40B4-BE49-F238E27FC236}">
              <a16:creationId xmlns:a16="http://schemas.microsoft.com/office/drawing/2014/main" id="{8C0F1253-2AD6-4CEE-90D9-EB4701C85997}"/>
            </a:ext>
          </a:extLst>
        </xdr:cNvPr>
        <xdr:cNvSpPr/>
      </xdr:nvSpPr>
      <xdr:spPr>
        <a:xfrm>
          <a:off x="33747075" y="5234940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95250</xdr:colOff>
      <xdr:row>256</xdr:row>
      <xdr:rowOff>66675</xdr:rowOff>
    </xdr:from>
    <xdr:to>
      <xdr:col>48</xdr:col>
      <xdr:colOff>142875</xdr:colOff>
      <xdr:row>260</xdr:row>
      <xdr:rowOff>152400</xdr:rowOff>
    </xdr:to>
    <xdr:sp macro="" textlink="">
      <xdr:nvSpPr>
        <xdr:cNvPr id="12" name="Right Triangle 11">
          <a:extLst>
            <a:ext uri="{FF2B5EF4-FFF2-40B4-BE49-F238E27FC236}">
              <a16:creationId xmlns:a16="http://schemas.microsoft.com/office/drawing/2014/main" id="{25EEBF1D-349A-43EB-BE9A-9B01B8A8DAAE}"/>
            </a:ext>
          </a:extLst>
        </xdr:cNvPr>
        <xdr:cNvSpPr/>
      </xdr:nvSpPr>
      <xdr:spPr>
        <a:xfrm flipH="1">
          <a:off x="33080325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55</xdr:col>
      <xdr:colOff>219075</xdr:colOff>
      <xdr:row>256</xdr:row>
      <xdr:rowOff>57150</xdr:rowOff>
    </xdr:from>
    <xdr:to>
      <xdr:col>57</xdr:col>
      <xdr:colOff>47625</xdr:colOff>
      <xdr:row>260</xdr:row>
      <xdr:rowOff>152399</xdr:rowOff>
    </xdr:to>
    <xdr:sp macro="" textlink="">
      <xdr:nvSpPr>
        <xdr:cNvPr id="13" name="Right Triangle 12">
          <a:extLst>
            <a:ext uri="{FF2B5EF4-FFF2-40B4-BE49-F238E27FC236}">
              <a16:creationId xmlns:a16="http://schemas.microsoft.com/office/drawing/2014/main" id="{099E9174-1D1E-4434-BAF0-81305D9E5C25}"/>
            </a:ext>
          </a:extLst>
        </xdr:cNvPr>
        <xdr:cNvSpPr/>
      </xdr:nvSpPr>
      <xdr:spPr>
        <a:xfrm flipH="1">
          <a:off x="38080950" y="52339875"/>
          <a:ext cx="15430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57</xdr:col>
      <xdr:colOff>38100</xdr:colOff>
      <xdr:row>256</xdr:row>
      <xdr:rowOff>66675</xdr:rowOff>
    </xdr:from>
    <xdr:to>
      <xdr:col>58</xdr:col>
      <xdr:colOff>85725</xdr:colOff>
      <xdr:row>260</xdr:row>
      <xdr:rowOff>152400</xdr:rowOff>
    </xdr:to>
    <xdr:sp macro="" textlink="">
      <xdr:nvSpPr>
        <xdr:cNvPr id="14" name="Right Triangle 13">
          <a:extLst>
            <a:ext uri="{FF2B5EF4-FFF2-40B4-BE49-F238E27FC236}">
              <a16:creationId xmlns:a16="http://schemas.microsoft.com/office/drawing/2014/main" id="{82603221-8351-4006-95B7-CEFC16873386}"/>
            </a:ext>
          </a:extLst>
        </xdr:cNvPr>
        <xdr:cNvSpPr/>
      </xdr:nvSpPr>
      <xdr:spPr>
        <a:xfrm>
          <a:off x="39614475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59</xdr:col>
      <xdr:colOff>152400</xdr:colOff>
      <xdr:row>256</xdr:row>
      <xdr:rowOff>66675</xdr:rowOff>
    </xdr:from>
    <xdr:to>
      <xdr:col>61</xdr:col>
      <xdr:colOff>257175</xdr:colOff>
      <xdr:row>260</xdr:row>
      <xdr:rowOff>161924</xdr:rowOff>
    </xdr:to>
    <xdr:sp macro="" textlink="">
      <xdr:nvSpPr>
        <xdr:cNvPr id="15" name="Right Triangle 14">
          <a:extLst>
            <a:ext uri="{FF2B5EF4-FFF2-40B4-BE49-F238E27FC236}">
              <a16:creationId xmlns:a16="http://schemas.microsoft.com/office/drawing/2014/main" id="{37B87B2E-46E7-478F-B8D8-FFA8FC97651D}"/>
            </a:ext>
          </a:extLst>
        </xdr:cNvPr>
        <xdr:cNvSpPr/>
      </xdr:nvSpPr>
      <xdr:spPr>
        <a:xfrm>
          <a:off x="40947975" y="5234940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58</xdr:col>
      <xdr:colOff>95250</xdr:colOff>
      <xdr:row>256</xdr:row>
      <xdr:rowOff>66675</xdr:rowOff>
    </xdr:from>
    <xdr:to>
      <xdr:col>59</xdr:col>
      <xdr:colOff>142875</xdr:colOff>
      <xdr:row>260</xdr:row>
      <xdr:rowOff>152400</xdr:rowOff>
    </xdr:to>
    <xdr:sp macro="" textlink="">
      <xdr:nvSpPr>
        <xdr:cNvPr id="16" name="Right Triangle 15">
          <a:extLst>
            <a:ext uri="{FF2B5EF4-FFF2-40B4-BE49-F238E27FC236}">
              <a16:creationId xmlns:a16="http://schemas.microsoft.com/office/drawing/2014/main" id="{EE6B6DCD-C2D4-4D85-801E-F73CE08A6591}"/>
            </a:ext>
          </a:extLst>
        </xdr:cNvPr>
        <xdr:cNvSpPr/>
      </xdr:nvSpPr>
      <xdr:spPr>
        <a:xfrm flipH="1">
          <a:off x="40281225" y="523494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58</xdr:col>
      <xdr:colOff>95250</xdr:colOff>
      <xdr:row>256</xdr:row>
      <xdr:rowOff>76200</xdr:rowOff>
    </xdr:from>
    <xdr:to>
      <xdr:col>58</xdr:col>
      <xdr:colOff>104775</xdr:colOff>
      <xdr:row>260</xdr:row>
      <xdr:rowOff>152400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53E15749-90FC-4BE2-96FD-D4DFEEFE5805}"/>
            </a:ext>
          </a:extLst>
        </xdr:cNvPr>
        <xdr:cNvCxnSpPr>
          <a:stCxn id="16" idx="4"/>
        </xdr:cNvCxnSpPr>
      </xdr:nvCxnSpPr>
      <xdr:spPr>
        <a:xfrm flipV="1">
          <a:off x="40281225" y="52358925"/>
          <a:ext cx="9525" cy="838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277</xdr:row>
      <xdr:rowOff>0</xdr:rowOff>
    </xdr:from>
    <xdr:to>
      <xdr:col>29</xdr:col>
      <xdr:colOff>9525</xdr:colOff>
      <xdr:row>281</xdr:row>
      <xdr:rowOff>19050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8430E008-0C74-4737-BD35-4FB7C29139C0}"/>
            </a:ext>
          </a:extLst>
        </xdr:cNvPr>
        <xdr:cNvCxnSpPr/>
      </xdr:nvCxnSpPr>
      <xdr:spPr>
        <a:xfrm>
          <a:off x="19173825" y="56321325"/>
          <a:ext cx="19526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277</xdr:row>
      <xdr:rowOff>0</xdr:rowOff>
    </xdr:from>
    <xdr:to>
      <xdr:col>29</xdr:col>
      <xdr:colOff>28575</xdr:colOff>
      <xdr:row>281</xdr:row>
      <xdr:rowOff>19050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DF98ED2-6610-474C-B336-658DC38F1D36}"/>
            </a:ext>
          </a:extLst>
        </xdr:cNvPr>
        <xdr:cNvCxnSpPr/>
      </xdr:nvCxnSpPr>
      <xdr:spPr>
        <a:xfrm flipV="1">
          <a:off x="19173825" y="56321325"/>
          <a:ext cx="197167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742950</xdr:colOff>
      <xdr:row>281</xdr:row>
      <xdr:rowOff>47625</xdr:rowOff>
    </xdr:from>
    <xdr:to>
      <xdr:col>29</xdr:col>
      <xdr:colOff>0</xdr:colOff>
      <xdr:row>281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2511518B-FE22-4228-AF22-83A2C2977B09}"/>
            </a:ext>
          </a:extLst>
        </xdr:cNvPr>
        <xdr:cNvCxnSpPr/>
      </xdr:nvCxnSpPr>
      <xdr:spPr>
        <a:xfrm flipH="1" flipV="1">
          <a:off x="19011900" y="57169050"/>
          <a:ext cx="2105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371475</xdr:colOff>
      <xdr:row>288</xdr:row>
      <xdr:rowOff>95250</xdr:rowOff>
    </xdr:from>
    <xdr:to>
      <xdr:col>38</xdr:col>
      <xdr:colOff>533400</xdr:colOff>
      <xdr:row>288</xdr:row>
      <xdr:rowOff>95250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C754D34E-EC46-4246-B281-621615EB174F}"/>
            </a:ext>
          </a:extLst>
        </xdr:cNvPr>
        <xdr:cNvCxnSpPr/>
      </xdr:nvCxnSpPr>
      <xdr:spPr>
        <a:xfrm>
          <a:off x="25498425" y="58931175"/>
          <a:ext cx="1990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256</xdr:row>
      <xdr:rowOff>0</xdr:rowOff>
    </xdr:from>
    <xdr:to>
      <xdr:col>26</xdr:col>
      <xdr:colOff>9525</xdr:colOff>
      <xdr:row>260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14658975" y="34318575"/>
          <a:ext cx="2171700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256</xdr:row>
      <xdr:rowOff>0</xdr:rowOff>
    </xdr:from>
    <xdr:to>
      <xdr:col>26</xdr:col>
      <xdr:colOff>28575</xdr:colOff>
      <xdr:row>260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flipV="1">
          <a:off x="14658975" y="34318575"/>
          <a:ext cx="2190750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742950</xdr:colOff>
      <xdr:row>260</xdr:row>
      <xdr:rowOff>47625</xdr:rowOff>
    </xdr:from>
    <xdr:to>
      <xdr:col>26</xdr:col>
      <xdr:colOff>0</xdr:colOff>
      <xdr:row>260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 flipV="1">
          <a:off x="14649450" y="35890200"/>
          <a:ext cx="21717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219075</xdr:colOff>
      <xdr:row>257</xdr:row>
      <xdr:rowOff>57150</xdr:rowOff>
    </xdr:from>
    <xdr:to>
      <xdr:col>32</xdr:col>
      <xdr:colOff>47625</xdr:colOff>
      <xdr:row>261</xdr:row>
      <xdr:rowOff>152399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 flipH="1">
          <a:off x="19478625" y="35328225"/>
          <a:ext cx="12477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38100</xdr:colOff>
      <xdr:row>257</xdr:row>
      <xdr:rowOff>66675</xdr:rowOff>
    </xdr:from>
    <xdr:to>
      <xdr:col>33</xdr:col>
      <xdr:colOff>85725</xdr:colOff>
      <xdr:row>261</xdr:row>
      <xdr:rowOff>152400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20716875" y="353377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152400</xdr:colOff>
      <xdr:row>257</xdr:row>
      <xdr:rowOff>66675</xdr:rowOff>
    </xdr:from>
    <xdr:to>
      <xdr:col>36</xdr:col>
      <xdr:colOff>257175</xdr:colOff>
      <xdr:row>261</xdr:row>
      <xdr:rowOff>161924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22050375" y="353377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95250</xdr:colOff>
      <xdr:row>257</xdr:row>
      <xdr:rowOff>66675</xdr:rowOff>
    </xdr:from>
    <xdr:to>
      <xdr:col>34</xdr:col>
      <xdr:colOff>142875</xdr:colOff>
      <xdr:row>261</xdr:row>
      <xdr:rowOff>152400</xdr:rowOff>
    </xdr:to>
    <xdr:sp macro="" textlink="">
      <xdr:nvSpPr>
        <xdr:cNvPr id="9" name="Right Triangl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 flipH="1">
          <a:off x="21383625" y="353377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41</xdr:col>
      <xdr:colOff>219075</xdr:colOff>
      <xdr:row>257</xdr:row>
      <xdr:rowOff>57150</xdr:rowOff>
    </xdr:from>
    <xdr:to>
      <xdr:col>43</xdr:col>
      <xdr:colOff>47625</xdr:colOff>
      <xdr:row>261</xdr:row>
      <xdr:rowOff>152399</xdr:rowOff>
    </xdr:to>
    <xdr:sp macro="" textlink="">
      <xdr:nvSpPr>
        <xdr:cNvPr id="11" name="Right Triangl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 flipH="1">
          <a:off x="18507075" y="35937825"/>
          <a:ext cx="10477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38100</xdr:colOff>
      <xdr:row>257</xdr:row>
      <xdr:rowOff>66675</xdr:rowOff>
    </xdr:from>
    <xdr:to>
      <xdr:col>44</xdr:col>
      <xdr:colOff>85725</xdr:colOff>
      <xdr:row>261</xdr:row>
      <xdr:rowOff>152400</xdr:rowOff>
    </xdr:to>
    <xdr:sp macro="" textlink="">
      <xdr:nvSpPr>
        <xdr:cNvPr id="12" name="Right Triangle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19545300" y="3594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45</xdr:col>
      <xdr:colOff>152400</xdr:colOff>
      <xdr:row>257</xdr:row>
      <xdr:rowOff>66675</xdr:rowOff>
    </xdr:from>
    <xdr:to>
      <xdr:col>47</xdr:col>
      <xdr:colOff>257175</xdr:colOff>
      <xdr:row>261</xdr:row>
      <xdr:rowOff>161924</xdr:rowOff>
    </xdr:to>
    <xdr:sp macro="" textlink="">
      <xdr:nvSpPr>
        <xdr:cNvPr id="13" name="Right Triangle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20878800" y="359473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44</xdr:col>
      <xdr:colOff>95250</xdr:colOff>
      <xdr:row>257</xdr:row>
      <xdr:rowOff>66675</xdr:rowOff>
    </xdr:from>
    <xdr:to>
      <xdr:col>45</xdr:col>
      <xdr:colOff>142875</xdr:colOff>
      <xdr:row>261</xdr:row>
      <xdr:rowOff>152400</xdr:rowOff>
    </xdr:to>
    <xdr:sp macro="" textlink="">
      <xdr:nvSpPr>
        <xdr:cNvPr id="14" name="Right Triangle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 flipH="1">
          <a:off x="20212050" y="3594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52</xdr:col>
      <xdr:colOff>219075</xdr:colOff>
      <xdr:row>257</xdr:row>
      <xdr:rowOff>57150</xdr:rowOff>
    </xdr:from>
    <xdr:to>
      <xdr:col>54</xdr:col>
      <xdr:colOff>47625</xdr:colOff>
      <xdr:row>261</xdr:row>
      <xdr:rowOff>152399</xdr:rowOff>
    </xdr:to>
    <xdr:sp macro="" textlink="">
      <xdr:nvSpPr>
        <xdr:cNvPr id="16" name="Right Triangle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 flipH="1">
          <a:off x="25736550" y="35937825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54</xdr:col>
      <xdr:colOff>38100</xdr:colOff>
      <xdr:row>257</xdr:row>
      <xdr:rowOff>66675</xdr:rowOff>
    </xdr:from>
    <xdr:to>
      <xdr:col>55</xdr:col>
      <xdr:colOff>85725</xdr:colOff>
      <xdr:row>261</xdr:row>
      <xdr:rowOff>152400</xdr:rowOff>
    </xdr:to>
    <xdr:sp macro="" textlink="">
      <xdr:nvSpPr>
        <xdr:cNvPr id="17" name="Right Triangle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27051000" y="3594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56</xdr:col>
      <xdr:colOff>152400</xdr:colOff>
      <xdr:row>257</xdr:row>
      <xdr:rowOff>66675</xdr:rowOff>
    </xdr:from>
    <xdr:to>
      <xdr:col>58</xdr:col>
      <xdr:colOff>257175</xdr:colOff>
      <xdr:row>261</xdr:row>
      <xdr:rowOff>161924</xdr:rowOff>
    </xdr:to>
    <xdr:sp macro="" textlink="">
      <xdr:nvSpPr>
        <xdr:cNvPr id="18" name="Right Triangle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28384500" y="359473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55</xdr:col>
      <xdr:colOff>95250</xdr:colOff>
      <xdr:row>257</xdr:row>
      <xdr:rowOff>66675</xdr:rowOff>
    </xdr:from>
    <xdr:to>
      <xdr:col>56</xdr:col>
      <xdr:colOff>142875</xdr:colOff>
      <xdr:row>261</xdr:row>
      <xdr:rowOff>152400</xdr:rowOff>
    </xdr:to>
    <xdr:sp macro="" textlink="">
      <xdr:nvSpPr>
        <xdr:cNvPr id="19" name="Right Triangle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 flipH="1">
          <a:off x="27717750" y="35947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55</xdr:col>
      <xdr:colOff>95250</xdr:colOff>
      <xdr:row>257</xdr:row>
      <xdr:rowOff>76200</xdr:rowOff>
    </xdr:from>
    <xdr:to>
      <xdr:col>55</xdr:col>
      <xdr:colOff>104775</xdr:colOff>
      <xdr:row>261</xdr:row>
      <xdr:rowOff>152400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>
          <a:stCxn id="19" idx="4"/>
        </xdr:cNvCxnSpPr>
      </xdr:nvCxnSpPr>
      <xdr:spPr>
        <a:xfrm flipV="1">
          <a:off x="27717750" y="35956875"/>
          <a:ext cx="9525" cy="838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278</xdr:row>
      <xdr:rowOff>0</xdr:rowOff>
    </xdr:from>
    <xdr:to>
      <xdr:col>26</xdr:col>
      <xdr:colOff>9525</xdr:colOff>
      <xdr:row>282</xdr:row>
      <xdr:rowOff>19050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>
          <a:off x="15725775" y="35652075"/>
          <a:ext cx="1952625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278</xdr:row>
      <xdr:rowOff>0</xdr:rowOff>
    </xdr:from>
    <xdr:to>
      <xdr:col>26</xdr:col>
      <xdr:colOff>28575</xdr:colOff>
      <xdr:row>282</xdr:row>
      <xdr:rowOff>19050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flipV="1">
          <a:off x="15725775" y="35652075"/>
          <a:ext cx="1971675" cy="1543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742950</xdr:colOff>
      <xdr:row>282</xdr:row>
      <xdr:rowOff>47625</xdr:rowOff>
    </xdr:from>
    <xdr:to>
      <xdr:col>26</xdr:col>
      <xdr:colOff>0</xdr:colOff>
      <xdr:row>282</xdr:row>
      <xdr:rowOff>57150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flipH="1" flipV="1">
          <a:off x="15678150" y="37223700"/>
          <a:ext cx="19907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371475</xdr:colOff>
      <xdr:row>289</xdr:row>
      <xdr:rowOff>95250</xdr:rowOff>
    </xdr:from>
    <xdr:to>
      <xdr:col>35</xdr:col>
      <xdr:colOff>533400</xdr:colOff>
      <xdr:row>289</xdr:row>
      <xdr:rowOff>95250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>
          <a:off x="25155525" y="47482125"/>
          <a:ext cx="1990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281</xdr:row>
      <xdr:rowOff>0</xdr:rowOff>
    </xdr:from>
    <xdr:to>
      <xdr:col>26</xdr:col>
      <xdr:colOff>9525</xdr:colOff>
      <xdr:row>285</xdr:row>
      <xdr:rowOff>19050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7678400" y="24050625"/>
          <a:ext cx="209550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281</xdr:row>
      <xdr:rowOff>0</xdr:rowOff>
    </xdr:from>
    <xdr:to>
      <xdr:col>26</xdr:col>
      <xdr:colOff>28575</xdr:colOff>
      <xdr:row>285</xdr:row>
      <xdr:rowOff>19050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17678400" y="24050625"/>
          <a:ext cx="211455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742950</xdr:colOff>
      <xdr:row>285</xdr:row>
      <xdr:rowOff>47625</xdr:rowOff>
    </xdr:from>
    <xdr:to>
      <xdr:col>26</xdr:col>
      <xdr:colOff>0</xdr:colOff>
      <xdr:row>285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 flipV="1">
          <a:off x="17668875" y="25241250"/>
          <a:ext cx="2095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280</xdr:row>
      <xdr:rowOff>161925</xdr:rowOff>
    </xdr:from>
    <xdr:to>
      <xdr:col>26</xdr:col>
      <xdr:colOff>47625</xdr:colOff>
      <xdr:row>280</xdr:row>
      <xdr:rowOff>161925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678400" y="24022050"/>
          <a:ext cx="2133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219075</xdr:colOff>
      <xdr:row>282</xdr:row>
      <xdr:rowOff>57150</xdr:rowOff>
    </xdr:from>
    <xdr:to>
      <xdr:col>32</xdr:col>
      <xdr:colOff>47625</xdr:colOff>
      <xdr:row>286</xdr:row>
      <xdr:rowOff>152399</xdr:rowOff>
    </xdr:to>
    <xdr:sp macro="" textlink="">
      <xdr:nvSpPr>
        <xdr:cNvPr id="22" name="Right Tri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flipH="1">
          <a:off x="22421850" y="24679275"/>
          <a:ext cx="137160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38100</xdr:colOff>
      <xdr:row>282</xdr:row>
      <xdr:rowOff>66675</xdr:rowOff>
    </xdr:from>
    <xdr:to>
      <xdr:col>33</xdr:col>
      <xdr:colOff>85725</xdr:colOff>
      <xdr:row>286</xdr:row>
      <xdr:rowOff>152400</xdr:rowOff>
    </xdr:to>
    <xdr:sp macro="" textlink="">
      <xdr:nvSpPr>
        <xdr:cNvPr id="23" name="Right Tri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3783925" y="246888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152400</xdr:colOff>
      <xdr:row>282</xdr:row>
      <xdr:rowOff>66675</xdr:rowOff>
    </xdr:from>
    <xdr:to>
      <xdr:col>36</xdr:col>
      <xdr:colOff>257175</xdr:colOff>
      <xdr:row>286</xdr:row>
      <xdr:rowOff>161924</xdr:rowOff>
    </xdr:to>
    <xdr:sp macro="" textlink="">
      <xdr:nvSpPr>
        <xdr:cNvPr id="24" name="Right Tri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117425" y="2468880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95250</xdr:colOff>
      <xdr:row>282</xdr:row>
      <xdr:rowOff>66675</xdr:rowOff>
    </xdr:from>
    <xdr:to>
      <xdr:col>34</xdr:col>
      <xdr:colOff>142875</xdr:colOff>
      <xdr:row>286</xdr:row>
      <xdr:rowOff>152400</xdr:rowOff>
    </xdr:to>
    <xdr:sp macro="" textlink="">
      <xdr:nvSpPr>
        <xdr:cNvPr id="25" name="Right Tri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flipH="1">
          <a:off x="24450675" y="246888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23</xdr:row>
      <xdr:rowOff>9525</xdr:rowOff>
    </xdr:from>
    <xdr:to>
      <xdr:col>29</xdr:col>
      <xdr:colOff>0</xdr:colOff>
      <xdr:row>27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2FFEEE4-A5A4-4E55-9CD1-76845EF4AD29}"/>
            </a:ext>
          </a:extLst>
        </xdr:cNvPr>
        <xdr:cNvCxnSpPr/>
      </xdr:nvCxnSpPr>
      <xdr:spPr>
        <a:xfrm>
          <a:off x="32270700" y="54359175"/>
          <a:ext cx="1352550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23</xdr:row>
      <xdr:rowOff>9525</xdr:rowOff>
    </xdr:from>
    <xdr:to>
      <xdr:col>27</xdr:col>
      <xdr:colOff>238125</xdr:colOff>
      <xdr:row>27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F05826C-63BC-4CC4-8F77-D7D9252D127F}"/>
            </a:ext>
          </a:extLst>
        </xdr:cNvPr>
        <xdr:cNvCxnSpPr/>
      </xdr:nvCxnSpPr>
      <xdr:spPr>
        <a:xfrm flipV="1">
          <a:off x="31232475" y="54359175"/>
          <a:ext cx="1028700" cy="781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47625</xdr:rowOff>
    </xdr:from>
    <xdr:to>
      <xdr:col>29</xdr:col>
      <xdr:colOff>6350</xdr:colOff>
      <xdr:row>27</xdr:row>
      <xdr:rowOff>50800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2298994-B3FE-49C8-B74F-8478DEEE5EF9}"/>
            </a:ext>
          </a:extLst>
        </xdr:cNvPr>
        <xdr:cNvCxnSpPr/>
      </xdr:nvCxnSpPr>
      <xdr:spPr>
        <a:xfrm flipH="1" flipV="1">
          <a:off x="15849600" y="15135225"/>
          <a:ext cx="1835150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24</xdr:row>
      <xdr:rowOff>57150</xdr:rowOff>
    </xdr:from>
    <xdr:to>
      <xdr:col>35</xdr:col>
      <xdr:colOff>47625</xdr:colOff>
      <xdr:row>28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F7486685-FC90-4B03-83C4-24577C712A25}"/>
            </a:ext>
          </a:extLst>
        </xdr:cNvPr>
        <xdr:cNvSpPr/>
      </xdr:nvSpPr>
      <xdr:spPr>
        <a:xfrm flipH="1">
          <a:off x="35994975" y="54606825"/>
          <a:ext cx="179070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24</xdr:row>
      <xdr:rowOff>66675</xdr:rowOff>
    </xdr:from>
    <xdr:to>
      <xdr:col>36</xdr:col>
      <xdr:colOff>108136</xdr:colOff>
      <xdr:row>28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70073803-E6B2-4EBA-A62B-B1CE2DC295E3}"/>
            </a:ext>
          </a:extLst>
        </xdr:cNvPr>
        <xdr:cNvSpPr/>
      </xdr:nvSpPr>
      <xdr:spPr>
        <a:xfrm>
          <a:off x="37798561" y="54616350"/>
          <a:ext cx="895350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24</xdr:row>
      <xdr:rowOff>66675</xdr:rowOff>
    </xdr:from>
    <xdr:to>
      <xdr:col>39</xdr:col>
      <xdr:colOff>257175</xdr:colOff>
      <xdr:row>28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50D27126-C173-45D8-B339-528951C57C1F}"/>
            </a:ext>
          </a:extLst>
        </xdr:cNvPr>
        <xdr:cNvSpPr/>
      </xdr:nvSpPr>
      <xdr:spPr>
        <a:xfrm>
          <a:off x="40005000" y="54616350"/>
          <a:ext cx="12858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24</xdr:row>
      <xdr:rowOff>66675</xdr:rowOff>
    </xdr:from>
    <xdr:to>
      <xdr:col>37</xdr:col>
      <xdr:colOff>142875</xdr:colOff>
      <xdr:row>28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FFFC867C-F5A6-4543-BB5E-23401FEED846}"/>
            </a:ext>
          </a:extLst>
        </xdr:cNvPr>
        <xdr:cNvSpPr/>
      </xdr:nvSpPr>
      <xdr:spPr>
        <a:xfrm flipH="1">
          <a:off x="38681025" y="54616350"/>
          <a:ext cx="1314450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47</xdr:row>
      <xdr:rowOff>0</xdr:rowOff>
    </xdr:from>
    <xdr:to>
      <xdr:col>29</xdr:col>
      <xdr:colOff>9525</xdr:colOff>
      <xdr:row>51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DD90E71B-31F2-4180-902A-029851E73D1B}"/>
            </a:ext>
          </a:extLst>
        </xdr:cNvPr>
        <xdr:cNvCxnSpPr/>
      </xdr:nvCxnSpPr>
      <xdr:spPr>
        <a:xfrm>
          <a:off x="31232475" y="58950225"/>
          <a:ext cx="2400300" cy="971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47</xdr:row>
      <xdr:rowOff>0</xdr:rowOff>
    </xdr:from>
    <xdr:to>
      <xdr:col>29</xdr:col>
      <xdr:colOff>28575</xdr:colOff>
      <xdr:row>51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D5ABF9BD-D231-4687-AA7D-1B9D3990ACBA}"/>
            </a:ext>
          </a:extLst>
        </xdr:cNvPr>
        <xdr:cNvCxnSpPr/>
      </xdr:nvCxnSpPr>
      <xdr:spPr>
        <a:xfrm flipV="1">
          <a:off x="31232475" y="58950225"/>
          <a:ext cx="2419350" cy="971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51</xdr:row>
      <xdr:rowOff>50800</xdr:rowOff>
    </xdr:from>
    <xdr:to>
      <xdr:col>29</xdr:col>
      <xdr:colOff>0</xdr:colOff>
      <xdr:row>51</xdr:row>
      <xdr:rowOff>57151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9B33AE81-DD23-486E-A11C-7E11278474E5}"/>
            </a:ext>
          </a:extLst>
        </xdr:cNvPr>
        <xdr:cNvCxnSpPr/>
      </xdr:nvCxnSpPr>
      <xdr:spPr>
        <a:xfrm flipH="1" flipV="1">
          <a:off x="15862300" y="21450300"/>
          <a:ext cx="1816100" cy="6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257175</xdr:colOff>
      <xdr:row>30</xdr:row>
      <xdr:rowOff>171450</xdr:rowOff>
    </xdr:from>
    <xdr:to>
      <xdr:col>57</xdr:col>
      <xdr:colOff>447675</xdr:colOff>
      <xdr:row>32</xdr:row>
      <xdr:rowOff>38100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3E61479D-B2E5-4AFF-A65E-098BF24B777E}"/>
            </a:ext>
          </a:extLst>
        </xdr:cNvPr>
        <xdr:cNvCxnSpPr/>
      </xdr:nvCxnSpPr>
      <xdr:spPr>
        <a:xfrm>
          <a:off x="57683400" y="55864125"/>
          <a:ext cx="283845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447675</xdr:colOff>
      <xdr:row>32</xdr:row>
      <xdr:rowOff>19051</xdr:rowOff>
    </xdr:from>
    <xdr:to>
      <xdr:col>57</xdr:col>
      <xdr:colOff>447676</xdr:colOff>
      <xdr:row>33</xdr:row>
      <xdr:rowOff>66675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4D4402ED-8108-48F2-BB5C-FD26D06B7D96}"/>
            </a:ext>
          </a:extLst>
        </xdr:cNvPr>
        <xdr:cNvCxnSpPr/>
      </xdr:nvCxnSpPr>
      <xdr:spPr>
        <a:xfrm flipV="1">
          <a:off x="60521850" y="56102251"/>
          <a:ext cx="1" cy="2476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333375</xdr:colOff>
      <xdr:row>33</xdr:row>
      <xdr:rowOff>76200</xdr:rowOff>
    </xdr:from>
    <xdr:to>
      <xdr:col>57</xdr:col>
      <xdr:colOff>457200</xdr:colOff>
      <xdr:row>34</xdr:row>
      <xdr:rowOff>104775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8E707056-85C3-4A44-8F65-AE6C56371FA9}"/>
            </a:ext>
          </a:extLst>
        </xdr:cNvPr>
        <xdr:cNvCxnSpPr/>
      </xdr:nvCxnSpPr>
      <xdr:spPr>
        <a:xfrm flipV="1">
          <a:off x="57759600" y="56359425"/>
          <a:ext cx="277177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19050</xdr:colOff>
      <xdr:row>30</xdr:row>
      <xdr:rowOff>161925</xdr:rowOff>
    </xdr:from>
    <xdr:to>
      <xdr:col>52</xdr:col>
      <xdr:colOff>228600</xdr:colOff>
      <xdr:row>30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810532EE-6122-486B-A719-881D10A75234}"/>
            </a:ext>
          </a:extLst>
        </xdr:cNvPr>
        <xdr:cNvCxnSpPr/>
      </xdr:nvCxnSpPr>
      <xdr:spPr>
        <a:xfrm>
          <a:off x="56149875" y="55854600"/>
          <a:ext cx="1504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66675</xdr:colOff>
      <xdr:row>34</xdr:row>
      <xdr:rowOff>104775</xdr:rowOff>
    </xdr:from>
    <xdr:to>
      <xdr:col>52</xdr:col>
      <xdr:colOff>371475</xdr:colOff>
      <xdr:row>34</xdr:row>
      <xdr:rowOff>104775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408513BB-0CAE-4E96-8C1A-399EEE0BDD33}"/>
            </a:ext>
          </a:extLst>
        </xdr:cNvPr>
        <xdr:cNvCxnSpPr/>
      </xdr:nvCxnSpPr>
      <xdr:spPr>
        <a:xfrm>
          <a:off x="56197500" y="565785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38099</xdr:colOff>
      <xdr:row>30</xdr:row>
      <xdr:rowOff>152401</xdr:rowOff>
    </xdr:from>
    <xdr:to>
      <xdr:col>51</xdr:col>
      <xdr:colOff>47625</xdr:colOff>
      <xdr:row>34</xdr:row>
      <xdr:rowOff>104775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59DB4DB5-4F61-435E-994F-636D851F0B41}"/>
            </a:ext>
          </a:extLst>
        </xdr:cNvPr>
        <xdr:cNvCxnSpPr/>
      </xdr:nvCxnSpPr>
      <xdr:spPr>
        <a:xfrm flipH="1" flipV="1">
          <a:off x="56168924" y="55845076"/>
          <a:ext cx="9526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76200</xdr:colOff>
      <xdr:row>36</xdr:row>
      <xdr:rowOff>142875</xdr:rowOff>
    </xdr:from>
    <xdr:to>
      <xdr:col>57</xdr:col>
      <xdr:colOff>409575</xdr:colOff>
      <xdr:row>36</xdr:row>
      <xdr:rowOff>171450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877D780B-C427-4287-8815-4D3951F4B2AF}"/>
            </a:ext>
          </a:extLst>
        </xdr:cNvPr>
        <xdr:cNvCxnSpPr/>
      </xdr:nvCxnSpPr>
      <xdr:spPr>
        <a:xfrm flipV="1">
          <a:off x="56207025" y="56997600"/>
          <a:ext cx="427672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123825</xdr:colOff>
      <xdr:row>37</xdr:row>
      <xdr:rowOff>142875</xdr:rowOff>
    </xdr:from>
    <xdr:to>
      <xdr:col>57</xdr:col>
      <xdr:colOff>438150</xdr:colOff>
      <xdr:row>37</xdr:row>
      <xdr:rowOff>180976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CA69BA59-D826-4AA7-A120-13F91848E9F3}"/>
            </a:ext>
          </a:extLst>
        </xdr:cNvPr>
        <xdr:cNvCxnSpPr/>
      </xdr:nvCxnSpPr>
      <xdr:spPr>
        <a:xfrm flipV="1">
          <a:off x="56254650" y="57188100"/>
          <a:ext cx="4257675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66675</xdr:colOff>
      <xdr:row>37</xdr:row>
      <xdr:rowOff>0</xdr:rowOff>
    </xdr:from>
    <xdr:to>
      <xdr:col>51</xdr:col>
      <xdr:colOff>66675</xdr:colOff>
      <xdr:row>37</xdr:row>
      <xdr:rowOff>171450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B67745B5-49B2-4B53-BC86-EB05544CD436}"/>
            </a:ext>
          </a:extLst>
        </xdr:cNvPr>
        <xdr:cNvCxnSpPr/>
      </xdr:nvCxnSpPr>
      <xdr:spPr>
        <a:xfrm>
          <a:off x="56197500" y="57045225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428624</xdr:colOff>
      <xdr:row>36</xdr:row>
      <xdr:rowOff>161925</xdr:rowOff>
    </xdr:from>
    <xdr:to>
      <xdr:col>57</xdr:col>
      <xdr:colOff>428625</xdr:colOff>
      <xdr:row>37</xdr:row>
      <xdr:rowOff>123825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A91D9F5-774E-47D6-B6B4-B902E766258D}"/>
            </a:ext>
          </a:extLst>
        </xdr:cNvPr>
        <xdr:cNvCxnSpPr/>
      </xdr:nvCxnSpPr>
      <xdr:spPr>
        <a:xfrm flipH="1" flipV="1">
          <a:off x="60502799" y="57016650"/>
          <a:ext cx="1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68036</xdr:colOff>
      <xdr:row>47</xdr:row>
      <xdr:rowOff>27214</xdr:rowOff>
    </xdr:from>
    <xdr:to>
      <xdr:col>53</xdr:col>
      <xdr:colOff>68036</xdr:colOff>
      <xdr:row>58</xdr:row>
      <xdr:rowOff>40822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5DAA559F-C3A6-4124-8CEF-A25A0126542F}"/>
            </a:ext>
          </a:extLst>
        </xdr:cNvPr>
        <xdr:cNvCxnSpPr>
          <a:endCxn id="35" idx="2"/>
        </xdr:cNvCxnSpPr>
      </xdr:nvCxnSpPr>
      <xdr:spPr>
        <a:xfrm flipV="1">
          <a:off x="58132436" y="58977439"/>
          <a:ext cx="0" cy="2299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244928</xdr:colOff>
      <xdr:row>47</xdr:row>
      <xdr:rowOff>27214</xdr:rowOff>
    </xdr:from>
    <xdr:to>
      <xdr:col>54</xdr:col>
      <xdr:colOff>244928</xdr:colOff>
      <xdr:row>57</xdr:row>
      <xdr:rowOff>163286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D7623723-DD55-4BD4-814A-1F5538F949E2}"/>
            </a:ext>
          </a:extLst>
        </xdr:cNvPr>
        <xdr:cNvCxnSpPr>
          <a:endCxn id="35" idx="6"/>
        </xdr:cNvCxnSpPr>
      </xdr:nvCxnSpPr>
      <xdr:spPr>
        <a:xfrm flipV="1">
          <a:off x="59109428" y="58977439"/>
          <a:ext cx="0" cy="2231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68036</xdr:colOff>
      <xdr:row>46</xdr:row>
      <xdr:rowOff>54428</xdr:rowOff>
    </xdr:from>
    <xdr:to>
      <xdr:col>54</xdr:col>
      <xdr:colOff>244928</xdr:colOff>
      <xdr:row>48</xdr:row>
      <xdr:rowOff>0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F0912DFE-E61B-4108-A803-704464AD34A9}"/>
            </a:ext>
          </a:extLst>
        </xdr:cNvPr>
        <xdr:cNvSpPr/>
      </xdr:nvSpPr>
      <xdr:spPr>
        <a:xfrm>
          <a:off x="58132436" y="58814153"/>
          <a:ext cx="976992" cy="32657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79825</xdr:colOff>
      <xdr:row>57</xdr:row>
      <xdr:rowOff>160807</xdr:rowOff>
    </xdr:from>
    <xdr:to>
      <xdr:col>54</xdr:col>
      <xdr:colOff>250272</xdr:colOff>
      <xdr:row>58</xdr:row>
      <xdr:rowOff>146539</xdr:rowOff>
    </xdr:to>
    <xdr:sp macro="" textlink="">
      <xdr:nvSpPr>
        <xdr:cNvPr id="36" name="Freeform: Shape 35">
          <a:extLst>
            <a:ext uri="{FF2B5EF4-FFF2-40B4-BE49-F238E27FC236}">
              <a16:creationId xmlns:a16="http://schemas.microsoft.com/office/drawing/2014/main" id="{54762125-E52C-4E7A-9E87-7B2FD0E39544}"/>
            </a:ext>
          </a:extLst>
        </xdr:cNvPr>
        <xdr:cNvSpPr/>
      </xdr:nvSpPr>
      <xdr:spPr>
        <a:xfrm>
          <a:off x="58144225" y="61206532"/>
          <a:ext cx="970547" cy="176232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23</xdr:row>
      <xdr:rowOff>9525</xdr:rowOff>
    </xdr:from>
    <xdr:to>
      <xdr:col>29</xdr:col>
      <xdr:colOff>0</xdr:colOff>
      <xdr:row>27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4455E6B-F8A6-4B53-9C63-C50820AC8C1A}"/>
            </a:ext>
          </a:extLst>
        </xdr:cNvPr>
        <xdr:cNvCxnSpPr/>
      </xdr:nvCxnSpPr>
      <xdr:spPr>
        <a:xfrm>
          <a:off x="20869275" y="13820775"/>
          <a:ext cx="97155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23</xdr:row>
      <xdr:rowOff>9525</xdr:rowOff>
    </xdr:from>
    <xdr:to>
      <xdr:col>27</xdr:col>
      <xdr:colOff>238125</xdr:colOff>
      <xdr:row>27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6AD79E4-D715-4C93-8E26-D001FD67543F}"/>
            </a:ext>
          </a:extLst>
        </xdr:cNvPr>
        <xdr:cNvCxnSpPr/>
      </xdr:nvCxnSpPr>
      <xdr:spPr>
        <a:xfrm flipV="1">
          <a:off x="19850100" y="13820775"/>
          <a:ext cx="1009650" cy="1162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47625</xdr:rowOff>
    </xdr:from>
    <xdr:to>
      <xdr:col>29</xdr:col>
      <xdr:colOff>6350</xdr:colOff>
      <xdr:row>27</xdr:row>
      <xdr:rowOff>50800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8E79FB2-2133-456D-BF74-E7E60D4B8ADB}"/>
            </a:ext>
          </a:extLst>
        </xdr:cNvPr>
        <xdr:cNvCxnSpPr/>
      </xdr:nvCxnSpPr>
      <xdr:spPr>
        <a:xfrm flipH="1" flipV="1">
          <a:off x="19840575" y="15011400"/>
          <a:ext cx="2006600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24</xdr:row>
      <xdr:rowOff>57150</xdr:rowOff>
    </xdr:from>
    <xdr:to>
      <xdr:col>35</xdr:col>
      <xdr:colOff>47625</xdr:colOff>
      <xdr:row>28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EC0E7BB3-EE68-4220-ABF1-45344802E8C5}"/>
            </a:ext>
          </a:extLst>
        </xdr:cNvPr>
        <xdr:cNvSpPr/>
      </xdr:nvSpPr>
      <xdr:spPr>
        <a:xfrm flipH="1">
          <a:off x="24498300" y="14449425"/>
          <a:ext cx="10477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24</xdr:row>
      <xdr:rowOff>66675</xdr:rowOff>
    </xdr:from>
    <xdr:to>
      <xdr:col>36</xdr:col>
      <xdr:colOff>108136</xdr:colOff>
      <xdr:row>28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C56845E7-DE5D-4EE9-BE27-7FB1D1DE0899}"/>
            </a:ext>
          </a:extLst>
        </xdr:cNvPr>
        <xdr:cNvSpPr/>
      </xdr:nvSpPr>
      <xdr:spPr>
        <a:xfrm>
          <a:off x="25558936" y="144589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24</xdr:row>
      <xdr:rowOff>66675</xdr:rowOff>
    </xdr:from>
    <xdr:to>
      <xdr:col>39</xdr:col>
      <xdr:colOff>257175</xdr:colOff>
      <xdr:row>28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6E28752F-2F6F-41BB-80E8-30220907762C}"/>
            </a:ext>
          </a:extLst>
        </xdr:cNvPr>
        <xdr:cNvSpPr/>
      </xdr:nvSpPr>
      <xdr:spPr>
        <a:xfrm>
          <a:off x="26870025" y="144589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24</xdr:row>
      <xdr:rowOff>66675</xdr:rowOff>
    </xdr:from>
    <xdr:to>
      <xdr:col>37</xdr:col>
      <xdr:colOff>142875</xdr:colOff>
      <xdr:row>28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9A0FF62F-1379-4145-AE9A-CDA7606BD05B}"/>
            </a:ext>
          </a:extLst>
        </xdr:cNvPr>
        <xdr:cNvSpPr/>
      </xdr:nvSpPr>
      <xdr:spPr>
        <a:xfrm flipH="1">
          <a:off x="26203275" y="144589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47</xdr:row>
      <xdr:rowOff>0</xdr:rowOff>
    </xdr:from>
    <xdr:to>
      <xdr:col>29</xdr:col>
      <xdr:colOff>9525</xdr:colOff>
      <xdr:row>51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57E2CA0-6552-497F-888E-5991F2FC84F2}"/>
            </a:ext>
          </a:extLst>
        </xdr:cNvPr>
        <xdr:cNvCxnSpPr/>
      </xdr:nvCxnSpPr>
      <xdr:spPr>
        <a:xfrm>
          <a:off x="19850100" y="19364325"/>
          <a:ext cx="2000250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47</xdr:row>
      <xdr:rowOff>0</xdr:rowOff>
    </xdr:from>
    <xdr:to>
      <xdr:col>29</xdr:col>
      <xdr:colOff>28575</xdr:colOff>
      <xdr:row>51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2E12209-6AB9-434F-A2E4-BD198D0733C7}"/>
            </a:ext>
          </a:extLst>
        </xdr:cNvPr>
        <xdr:cNvCxnSpPr/>
      </xdr:nvCxnSpPr>
      <xdr:spPr>
        <a:xfrm flipV="1">
          <a:off x="19850100" y="19364325"/>
          <a:ext cx="2019300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51</xdr:row>
      <xdr:rowOff>50800</xdr:rowOff>
    </xdr:from>
    <xdr:to>
      <xdr:col>29</xdr:col>
      <xdr:colOff>0</xdr:colOff>
      <xdr:row>51</xdr:row>
      <xdr:rowOff>57151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16DB0962-B9A0-4162-B3E0-DF4F21BF7403}"/>
            </a:ext>
          </a:extLst>
        </xdr:cNvPr>
        <xdr:cNvCxnSpPr/>
      </xdr:nvCxnSpPr>
      <xdr:spPr>
        <a:xfrm flipH="1" flipV="1">
          <a:off x="19853275" y="21320125"/>
          <a:ext cx="1987550" cy="6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257175</xdr:colOff>
      <xdr:row>30</xdr:row>
      <xdr:rowOff>171450</xdr:rowOff>
    </xdr:from>
    <xdr:to>
      <xdr:col>67</xdr:col>
      <xdr:colOff>447675</xdr:colOff>
      <xdr:row>32</xdr:row>
      <xdr:rowOff>38100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F1FF5F01-B369-4AE6-A4FE-EBF198545B53}"/>
            </a:ext>
          </a:extLst>
        </xdr:cNvPr>
        <xdr:cNvCxnSpPr/>
      </xdr:nvCxnSpPr>
      <xdr:spPr>
        <a:xfrm>
          <a:off x="44043600" y="15706725"/>
          <a:ext cx="32385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447675</xdr:colOff>
      <xdr:row>32</xdr:row>
      <xdr:rowOff>19051</xdr:rowOff>
    </xdr:from>
    <xdr:to>
      <xdr:col>67</xdr:col>
      <xdr:colOff>447676</xdr:colOff>
      <xdr:row>33</xdr:row>
      <xdr:rowOff>66675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51D1F618-84AD-48D7-AA62-BD88A8CD7EC9}"/>
            </a:ext>
          </a:extLst>
        </xdr:cNvPr>
        <xdr:cNvCxnSpPr/>
      </xdr:nvCxnSpPr>
      <xdr:spPr>
        <a:xfrm flipV="1">
          <a:off x="47282100" y="15944851"/>
          <a:ext cx="1" cy="2476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333375</xdr:colOff>
      <xdr:row>33</xdr:row>
      <xdr:rowOff>76200</xdr:rowOff>
    </xdr:from>
    <xdr:to>
      <xdr:col>67</xdr:col>
      <xdr:colOff>457200</xdr:colOff>
      <xdr:row>34</xdr:row>
      <xdr:rowOff>104775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372E8D74-B8C3-4A8E-A6F8-C43497BF2D2B}"/>
            </a:ext>
          </a:extLst>
        </xdr:cNvPr>
        <xdr:cNvCxnSpPr/>
      </xdr:nvCxnSpPr>
      <xdr:spPr>
        <a:xfrm flipV="1">
          <a:off x="44119800" y="16202025"/>
          <a:ext cx="317182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19050</xdr:colOff>
      <xdr:row>30</xdr:row>
      <xdr:rowOff>161925</xdr:rowOff>
    </xdr:from>
    <xdr:to>
      <xdr:col>62</xdr:col>
      <xdr:colOff>228600</xdr:colOff>
      <xdr:row>30</xdr:row>
      <xdr:rowOff>161925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8BFA0225-6B6F-4A38-9B66-9ACBE07244C9}"/>
            </a:ext>
          </a:extLst>
        </xdr:cNvPr>
        <xdr:cNvCxnSpPr/>
      </xdr:nvCxnSpPr>
      <xdr:spPr>
        <a:xfrm>
          <a:off x="43195875" y="15697200"/>
          <a:ext cx="819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66675</xdr:colOff>
      <xdr:row>34</xdr:row>
      <xdr:rowOff>104775</xdr:rowOff>
    </xdr:from>
    <xdr:to>
      <xdr:col>62</xdr:col>
      <xdr:colOff>371475</xdr:colOff>
      <xdr:row>34</xdr:row>
      <xdr:rowOff>104775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DC26D27B-7EE2-4209-890C-E1315F8F2FF9}"/>
            </a:ext>
          </a:extLst>
        </xdr:cNvPr>
        <xdr:cNvCxnSpPr/>
      </xdr:nvCxnSpPr>
      <xdr:spPr>
        <a:xfrm>
          <a:off x="43243500" y="16421100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38099</xdr:colOff>
      <xdr:row>30</xdr:row>
      <xdr:rowOff>152401</xdr:rowOff>
    </xdr:from>
    <xdr:to>
      <xdr:col>61</xdr:col>
      <xdr:colOff>47625</xdr:colOff>
      <xdr:row>34</xdr:row>
      <xdr:rowOff>104775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79B10984-A8B8-438C-B882-9F2AFC451BCC}"/>
            </a:ext>
          </a:extLst>
        </xdr:cNvPr>
        <xdr:cNvCxnSpPr/>
      </xdr:nvCxnSpPr>
      <xdr:spPr>
        <a:xfrm flipH="1" flipV="1">
          <a:off x="43214924" y="15687676"/>
          <a:ext cx="9526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76200</xdr:colOff>
      <xdr:row>36</xdr:row>
      <xdr:rowOff>142875</xdr:rowOff>
    </xdr:from>
    <xdr:to>
      <xdr:col>67</xdr:col>
      <xdr:colOff>409575</xdr:colOff>
      <xdr:row>36</xdr:row>
      <xdr:rowOff>171450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C04310C3-1A9F-4258-8E76-C18AD62A518B}"/>
            </a:ext>
          </a:extLst>
        </xdr:cNvPr>
        <xdr:cNvCxnSpPr/>
      </xdr:nvCxnSpPr>
      <xdr:spPr>
        <a:xfrm flipV="1">
          <a:off x="43253025" y="16840200"/>
          <a:ext cx="399097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123825</xdr:colOff>
      <xdr:row>37</xdr:row>
      <xdr:rowOff>142875</xdr:rowOff>
    </xdr:from>
    <xdr:to>
      <xdr:col>67</xdr:col>
      <xdr:colOff>438150</xdr:colOff>
      <xdr:row>37</xdr:row>
      <xdr:rowOff>180976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944C9494-1EFB-49BB-A0F7-10A3F31E6354}"/>
            </a:ext>
          </a:extLst>
        </xdr:cNvPr>
        <xdr:cNvCxnSpPr/>
      </xdr:nvCxnSpPr>
      <xdr:spPr>
        <a:xfrm flipV="1">
          <a:off x="43300650" y="17030700"/>
          <a:ext cx="3971925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66675</xdr:colOff>
      <xdr:row>37</xdr:row>
      <xdr:rowOff>0</xdr:rowOff>
    </xdr:from>
    <xdr:to>
      <xdr:col>61</xdr:col>
      <xdr:colOff>66675</xdr:colOff>
      <xdr:row>37</xdr:row>
      <xdr:rowOff>171450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F4430BC8-4C41-4368-B9DD-8599C7612B37}"/>
            </a:ext>
          </a:extLst>
        </xdr:cNvPr>
        <xdr:cNvCxnSpPr/>
      </xdr:nvCxnSpPr>
      <xdr:spPr>
        <a:xfrm>
          <a:off x="43243500" y="16887825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428624</xdr:colOff>
      <xdr:row>36</xdr:row>
      <xdr:rowOff>161925</xdr:rowOff>
    </xdr:from>
    <xdr:to>
      <xdr:col>67</xdr:col>
      <xdr:colOff>428625</xdr:colOff>
      <xdr:row>37</xdr:row>
      <xdr:rowOff>123825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32A7EE06-C780-4F68-A981-2A75A4B83C03}"/>
            </a:ext>
          </a:extLst>
        </xdr:cNvPr>
        <xdr:cNvCxnSpPr/>
      </xdr:nvCxnSpPr>
      <xdr:spPr>
        <a:xfrm flipH="1" flipV="1">
          <a:off x="47263049" y="16859250"/>
          <a:ext cx="1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68036</xdr:colOff>
      <xdr:row>47</xdr:row>
      <xdr:rowOff>27214</xdr:rowOff>
    </xdr:from>
    <xdr:to>
      <xdr:col>63</xdr:col>
      <xdr:colOff>68036</xdr:colOff>
      <xdr:row>58</xdr:row>
      <xdr:rowOff>40822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D3D7D10F-B517-499D-B049-D5EA83A27255}"/>
            </a:ext>
          </a:extLst>
        </xdr:cNvPr>
        <xdr:cNvCxnSpPr>
          <a:endCxn id="34" idx="2"/>
        </xdr:cNvCxnSpPr>
      </xdr:nvCxnSpPr>
      <xdr:spPr>
        <a:xfrm flipV="1">
          <a:off x="44464061" y="19391539"/>
          <a:ext cx="0" cy="3442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244928</xdr:colOff>
      <xdr:row>47</xdr:row>
      <xdr:rowOff>27214</xdr:rowOff>
    </xdr:from>
    <xdr:to>
      <xdr:col>64</xdr:col>
      <xdr:colOff>244928</xdr:colOff>
      <xdr:row>57</xdr:row>
      <xdr:rowOff>163286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1C8F043-1EB6-458D-8F69-4D75209F80F9}"/>
            </a:ext>
          </a:extLst>
        </xdr:cNvPr>
        <xdr:cNvCxnSpPr>
          <a:endCxn id="34" idx="6"/>
        </xdr:cNvCxnSpPr>
      </xdr:nvCxnSpPr>
      <xdr:spPr>
        <a:xfrm flipV="1">
          <a:off x="45250553" y="19391539"/>
          <a:ext cx="0" cy="3374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68036</xdr:colOff>
      <xdr:row>46</xdr:row>
      <xdr:rowOff>54428</xdr:rowOff>
    </xdr:from>
    <xdr:to>
      <xdr:col>64</xdr:col>
      <xdr:colOff>244928</xdr:colOff>
      <xdr:row>48</xdr:row>
      <xdr:rowOff>0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A53DFCBE-07E2-473F-96C4-E6AD585F597F}"/>
            </a:ext>
          </a:extLst>
        </xdr:cNvPr>
        <xdr:cNvSpPr/>
      </xdr:nvSpPr>
      <xdr:spPr>
        <a:xfrm>
          <a:off x="44464061" y="19228253"/>
          <a:ext cx="786492" cy="32657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63</xdr:col>
      <xdr:colOff>79825</xdr:colOff>
      <xdr:row>57</xdr:row>
      <xdr:rowOff>160807</xdr:rowOff>
    </xdr:from>
    <xdr:to>
      <xdr:col>64</xdr:col>
      <xdr:colOff>250272</xdr:colOff>
      <xdr:row>58</xdr:row>
      <xdr:rowOff>146539</xdr:rowOff>
    </xdr:to>
    <xdr:sp macro="" textlink="">
      <xdr:nvSpPr>
        <xdr:cNvPr id="35" name="Freeform: Shape 34">
          <a:extLst>
            <a:ext uri="{FF2B5EF4-FFF2-40B4-BE49-F238E27FC236}">
              <a16:creationId xmlns:a16="http://schemas.microsoft.com/office/drawing/2014/main" id="{083252AA-5B92-4C06-95FE-3D6AD5017172}"/>
            </a:ext>
          </a:extLst>
        </xdr:cNvPr>
        <xdr:cNvSpPr/>
      </xdr:nvSpPr>
      <xdr:spPr>
        <a:xfrm>
          <a:off x="44475850" y="22763632"/>
          <a:ext cx="780047" cy="176232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44</xdr:col>
      <xdr:colOff>219075</xdr:colOff>
      <xdr:row>23</xdr:row>
      <xdr:rowOff>57150</xdr:rowOff>
    </xdr:from>
    <xdr:to>
      <xdr:col>46</xdr:col>
      <xdr:colOff>47625</xdr:colOff>
      <xdr:row>27</xdr:row>
      <xdr:rowOff>152399</xdr:rowOff>
    </xdr:to>
    <xdr:sp macro="" textlink="">
      <xdr:nvSpPr>
        <xdr:cNvPr id="36" name="Right Triangle 35">
          <a:extLst>
            <a:ext uri="{FF2B5EF4-FFF2-40B4-BE49-F238E27FC236}">
              <a16:creationId xmlns:a16="http://schemas.microsoft.com/office/drawing/2014/main" id="{4631C7E6-A182-471F-99A1-9BAC0BB9033F}"/>
            </a:ext>
          </a:extLst>
        </xdr:cNvPr>
        <xdr:cNvSpPr/>
      </xdr:nvSpPr>
      <xdr:spPr>
        <a:xfrm flipH="1">
          <a:off x="26439495" y="9441180"/>
          <a:ext cx="1108710" cy="83438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46</xdr:col>
      <xdr:colOff>60511</xdr:colOff>
      <xdr:row>23</xdr:row>
      <xdr:rowOff>66675</xdr:rowOff>
    </xdr:from>
    <xdr:to>
      <xdr:col>47</xdr:col>
      <xdr:colOff>108136</xdr:colOff>
      <xdr:row>27</xdr:row>
      <xdr:rowOff>152400</xdr:rowOff>
    </xdr:to>
    <xdr:sp macro="" textlink="">
      <xdr:nvSpPr>
        <xdr:cNvPr id="37" name="Right Triangle 36">
          <a:extLst>
            <a:ext uri="{FF2B5EF4-FFF2-40B4-BE49-F238E27FC236}">
              <a16:creationId xmlns:a16="http://schemas.microsoft.com/office/drawing/2014/main" id="{6643CEA1-E5AB-4A86-81F3-11FD4D1F6173}"/>
            </a:ext>
          </a:extLst>
        </xdr:cNvPr>
        <xdr:cNvSpPr/>
      </xdr:nvSpPr>
      <xdr:spPr>
        <a:xfrm>
          <a:off x="27561091" y="9450705"/>
          <a:ext cx="687705" cy="82486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48</xdr:col>
      <xdr:colOff>152401</xdr:colOff>
      <xdr:row>23</xdr:row>
      <xdr:rowOff>66675</xdr:rowOff>
    </xdr:from>
    <xdr:to>
      <xdr:col>49</xdr:col>
      <xdr:colOff>95251</xdr:colOff>
      <xdr:row>27</xdr:row>
      <xdr:rowOff>144780</xdr:rowOff>
    </xdr:to>
    <xdr:sp macro="" textlink="">
      <xdr:nvSpPr>
        <xdr:cNvPr id="38" name="Right Triangle 37">
          <a:extLst>
            <a:ext uri="{FF2B5EF4-FFF2-40B4-BE49-F238E27FC236}">
              <a16:creationId xmlns:a16="http://schemas.microsoft.com/office/drawing/2014/main" id="{09E597AB-9948-4DE8-BAA4-FBDEEFF2EAF5}"/>
            </a:ext>
          </a:extLst>
        </xdr:cNvPr>
        <xdr:cNvSpPr/>
      </xdr:nvSpPr>
      <xdr:spPr>
        <a:xfrm>
          <a:off x="35974021" y="9264015"/>
          <a:ext cx="1116330" cy="82105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95250</xdr:colOff>
      <xdr:row>23</xdr:row>
      <xdr:rowOff>66675</xdr:rowOff>
    </xdr:from>
    <xdr:to>
      <xdr:col>48</xdr:col>
      <xdr:colOff>142875</xdr:colOff>
      <xdr:row>27</xdr:row>
      <xdr:rowOff>152400</xdr:rowOff>
    </xdr:to>
    <xdr:sp macro="" textlink="">
      <xdr:nvSpPr>
        <xdr:cNvPr id="39" name="Right Triangle 38">
          <a:extLst>
            <a:ext uri="{FF2B5EF4-FFF2-40B4-BE49-F238E27FC236}">
              <a16:creationId xmlns:a16="http://schemas.microsoft.com/office/drawing/2014/main" id="{839993F4-0B0B-4BBF-BF30-4F8D43C8E473}"/>
            </a:ext>
          </a:extLst>
        </xdr:cNvPr>
        <xdr:cNvSpPr/>
      </xdr:nvSpPr>
      <xdr:spPr>
        <a:xfrm flipH="1">
          <a:off x="28235910" y="9450705"/>
          <a:ext cx="687705" cy="82486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100966</xdr:colOff>
      <xdr:row>23</xdr:row>
      <xdr:rowOff>68580</xdr:rowOff>
    </xdr:from>
    <xdr:to>
      <xdr:col>47</xdr:col>
      <xdr:colOff>106680</xdr:colOff>
      <xdr:row>27</xdr:row>
      <xdr:rowOff>158114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97570B0-D4E2-4633-B34F-4A6AA35969FB}"/>
            </a:ext>
          </a:extLst>
        </xdr:cNvPr>
        <xdr:cNvCxnSpPr/>
      </xdr:nvCxnSpPr>
      <xdr:spPr>
        <a:xfrm flipV="1">
          <a:off x="35282506" y="9265920"/>
          <a:ext cx="5714" cy="8324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23</xdr:row>
      <xdr:rowOff>9525</xdr:rowOff>
    </xdr:from>
    <xdr:to>
      <xdr:col>29</xdr:col>
      <xdr:colOff>0</xdr:colOff>
      <xdr:row>27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39751B5-16B2-453F-90AC-3C840411961F}"/>
            </a:ext>
          </a:extLst>
        </xdr:cNvPr>
        <xdr:cNvCxnSpPr/>
      </xdr:nvCxnSpPr>
      <xdr:spPr>
        <a:xfrm>
          <a:off x="20869275" y="13820775"/>
          <a:ext cx="97155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23</xdr:row>
      <xdr:rowOff>9525</xdr:rowOff>
    </xdr:from>
    <xdr:to>
      <xdr:col>27</xdr:col>
      <xdr:colOff>238125</xdr:colOff>
      <xdr:row>27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63189AC-130F-470D-9A53-467EA8B217A3}"/>
            </a:ext>
          </a:extLst>
        </xdr:cNvPr>
        <xdr:cNvCxnSpPr/>
      </xdr:nvCxnSpPr>
      <xdr:spPr>
        <a:xfrm flipV="1">
          <a:off x="19850100" y="13820775"/>
          <a:ext cx="1009650" cy="1162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47625</xdr:rowOff>
    </xdr:from>
    <xdr:to>
      <xdr:col>29</xdr:col>
      <xdr:colOff>6350</xdr:colOff>
      <xdr:row>27</xdr:row>
      <xdr:rowOff>50800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67A3975-9DE6-44FD-8C1D-9548D00D9C2D}"/>
            </a:ext>
          </a:extLst>
        </xdr:cNvPr>
        <xdr:cNvCxnSpPr/>
      </xdr:nvCxnSpPr>
      <xdr:spPr>
        <a:xfrm flipH="1" flipV="1">
          <a:off x="19840575" y="15011400"/>
          <a:ext cx="2006600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24</xdr:row>
      <xdr:rowOff>57150</xdr:rowOff>
    </xdr:from>
    <xdr:to>
      <xdr:col>35</xdr:col>
      <xdr:colOff>47625</xdr:colOff>
      <xdr:row>28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9352A11C-A5F4-466E-BFD2-59E9F05A92F0}"/>
            </a:ext>
          </a:extLst>
        </xdr:cNvPr>
        <xdr:cNvSpPr/>
      </xdr:nvSpPr>
      <xdr:spPr>
        <a:xfrm flipH="1">
          <a:off x="24498300" y="14449425"/>
          <a:ext cx="10477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24</xdr:row>
      <xdr:rowOff>66675</xdr:rowOff>
    </xdr:from>
    <xdr:to>
      <xdr:col>36</xdr:col>
      <xdr:colOff>108136</xdr:colOff>
      <xdr:row>28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62006BDA-4490-4F8D-8691-18759A5C61A4}"/>
            </a:ext>
          </a:extLst>
        </xdr:cNvPr>
        <xdr:cNvSpPr/>
      </xdr:nvSpPr>
      <xdr:spPr>
        <a:xfrm>
          <a:off x="25558936" y="144589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24</xdr:row>
      <xdr:rowOff>66675</xdr:rowOff>
    </xdr:from>
    <xdr:to>
      <xdr:col>39</xdr:col>
      <xdr:colOff>257175</xdr:colOff>
      <xdr:row>28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F00DC118-9BE9-473E-A864-93F5C7363F33}"/>
            </a:ext>
          </a:extLst>
        </xdr:cNvPr>
        <xdr:cNvSpPr/>
      </xdr:nvSpPr>
      <xdr:spPr>
        <a:xfrm>
          <a:off x="26870025" y="144589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24</xdr:row>
      <xdr:rowOff>66675</xdr:rowOff>
    </xdr:from>
    <xdr:to>
      <xdr:col>37</xdr:col>
      <xdr:colOff>142875</xdr:colOff>
      <xdr:row>28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6B6116D3-E947-40C5-96EA-846D7F73B6B8}"/>
            </a:ext>
          </a:extLst>
        </xdr:cNvPr>
        <xdr:cNvSpPr/>
      </xdr:nvSpPr>
      <xdr:spPr>
        <a:xfrm flipH="1">
          <a:off x="26203275" y="144589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47</xdr:row>
      <xdr:rowOff>0</xdr:rowOff>
    </xdr:from>
    <xdr:to>
      <xdr:col>29</xdr:col>
      <xdr:colOff>9525</xdr:colOff>
      <xdr:row>51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FA56BB21-A928-4C8D-BC21-5DD3209E0287}"/>
            </a:ext>
          </a:extLst>
        </xdr:cNvPr>
        <xdr:cNvCxnSpPr/>
      </xdr:nvCxnSpPr>
      <xdr:spPr>
        <a:xfrm>
          <a:off x="19850100" y="19364325"/>
          <a:ext cx="2000250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47</xdr:row>
      <xdr:rowOff>0</xdr:rowOff>
    </xdr:from>
    <xdr:to>
      <xdr:col>29</xdr:col>
      <xdr:colOff>28575</xdr:colOff>
      <xdr:row>51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D02C13E-0785-4703-8B64-52F204DD5B2E}"/>
            </a:ext>
          </a:extLst>
        </xdr:cNvPr>
        <xdr:cNvCxnSpPr/>
      </xdr:nvCxnSpPr>
      <xdr:spPr>
        <a:xfrm flipV="1">
          <a:off x="19850100" y="19364325"/>
          <a:ext cx="2019300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51</xdr:row>
      <xdr:rowOff>50800</xdr:rowOff>
    </xdr:from>
    <xdr:to>
      <xdr:col>29</xdr:col>
      <xdr:colOff>0</xdr:colOff>
      <xdr:row>51</xdr:row>
      <xdr:rowOff>57151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82A2D83E-4B1F-4BD5-BC39-BEDE231B4EFB}"/>
            </a:ext>
          </a:extLst>
        </xdr:cNvPr>
        <xdr:cNvCxnSpPr/>
      </xdr:nvCxnSpPr>
      <xdr:spPr>
        <a:xfrm flipH="1" flipV="1">
          <a:off x="19853275" y="21320125"/>
          <a:ext cx="1987550" cy="6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593912</xdr:colOff>
      <xdr:row>27</xdr:row>
      <xdr:rowOff>0</xdr:rowOff>
    </xdr:from>
    <xdr:to>
      <xdr:col>48</xdr:col>
      <xdr:colOff>0</xdr:colOff>
      <xdr:row>33</xdr:row>
      <xdr:rowOff>22411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5C7F9005-F2F2-4F92-8D84-F64AA852B62A}"/>
            </a:ext>
          </a:extLst>
        </xdr:cNvPr>
        <xdr:cNvCxnSpPr/>
      </xdr:nvCxnSpPr>
      <xdr:spPr>
        <a:xfrm>
          <a:off x="33407537" y="14963775"/>
          <a:ext cx="1855694" cy="11844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257175</xdr:colOff>
      <xdr:row>30</xdr:row>
      <xdr:rowOff>171450</xdr:rowOff>
    </xdr:from>
    <xdr:to>
      <xdr:col>57</xdr:col>
      <xdr:colOff>447675</xdr:colOff>
      <xdr:row>32</xdr:row>
      <xdr:rowOff>38100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39508B6B-8F3E-4D38-8450-4A4F92246042}"/>
            </a:ext>
          </a:extLst>
        </xdr:cNvPr>
        <xdr:cNvCxnSpPr/>
      </xdr:nvCxnSpPr>
      <xdr:spPr>
        <a:xfrm>
          <a:off x="44043600" y="15706725"/>
          <a:ext cx="32385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447675</xdr:colOff>
      <xdr:row>32</xdr:row>
      <xdr:rowOff>19051</xdr:rowOff>
    </xdr:from>
    <xdr:to>
      <xdr:col>57</xdr:col>
      <xdr:colOff>447676</xdr:colOff>
      <xdr:row>33</xdr:row>
      <xdr:rowOff>66675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4E29115C-228E-45F5-9180-83FC20A05E28}"/>
            </a:ext>
          </a:extLst>
        </xdr:cNvPr>
        <xdr:cNvCxnSpPr/>
      </xdr:nvCxnSpPr>
      <xdr:spPr>
        <a:xfrm flipV="1">
          <a:off x="47282100" y="15944851"/>
          <a:ext cx="1" cy="2476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333375</xdr:colOff>
      <xdr:row>33</xdr:row>
      <xdr:rowOff>76200</xdr:rowOff>
    </xdr:from>
    <xdr:to>
      <xdr:col>57</xdr:col>
      <xdr:colOff>457200</xdr:colOff>
      <xdr:row>34</xdr:row>
      <xdr:rowOff>104775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63D188C-0333-4D17-A9CA-D3CD359862D2}"/>
            </a:ext>
          </a:extLst>
        </xdr:cNvPr>
        <xdr:cNvCxnSpPr/>
      </xdr:nvCxnSpPr>
      <xdr:spPr>
        <a:xfrm flipV="1">
          <a:off x="44119800" y="16202025"/>
          <a:ext cx="317182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19050</xdr:colOff>
      <xdr:row>30</xdr:row>
      <xdr:rowOff>161925</xdr:rowOff>
    </xdr:from>
    <xdr:to>
      <xdr:col>52</xdr:col>
      <xdr:colOff>228600</xdr:colOff>
      <xdr:row>30</xdr:row>
      <xdr:rowOff>161925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C8F827F5-B1C1-414D-A2F7-577A02E5DE7A}"/>
            </a:ext>
          </a:extLst>
        </xdr:cNvPr>
        <xdr:cNvCxnSpPr/>
      </xdr:nvCxnSpPr>
      <xdr:spPr>
        <a:xfrm>
          <a:off x="43195875" y="15697200"/>
          <a:ext cx="819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66675</xdr:colOff>
      <xdr:row>34</xdr:row>
      <xdr:rowOff>104775</xdr:rowOff>
    </xdr:from>
    <xdr:to>
      <xdr:col>52</xdr:col>
      <xdr:colOff>371475</xdr:colOff>
      <xdr:row>34</xdr:row>
      <xdr:rowOff>104775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83DCC76A-57B5-43BD-B596-E04FEA1DD72F}"/>
            </a:ext>
          </a:extLst>
        </xdr:cNvPr>
        <xdr:cNvCxnSpPr/>
      </xdr:nvCxnSpPr>
      <xdr:spPr>
        <a:xfrm>
          <a:off x="43243500" y="16421100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38099</xdr:colOff>
      <xdr:row>30</xdr:row>
      <xdr:rowOff>152401</xdr:rowOff>
    </xdr:from>
    <xdr:to>
      <xdr:col>51</xdr:col>
      <xdr:colOff>47625</xdr:colOff>
      <xdr:row>34</xdr:row>
      <xdr:rowOff>104775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F4524776-61D8-4D60-86EE-363E3259BDB3}"/>
            </a:ext>
          </a:extLst>
        </xdr:cNvPr>
        <xdr:cNvCxnSpPr/>
      </xdr:nvCxnSpPr>
      <xdr:spPr>
        <a:xfrm flipH="1" flipV="1">
          <a:off x="43214924" y="15687676"/>
          <a:ext cx="9526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76200</xdr:colOff>
      <xdr:row>36</xdr:row>
      <xdr:rowOff>142875</xdr:rowOff>
    </xdr:from>
    <xdr:to>
      <xdr:col>57</xdr:col>
      <xdr:colOff>409575</xdr:colOff>
      <xdr:row>36</xdr:row>
      <xdr:rowOff>171450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18037917-AC6D-417B-8CBD-57127BC908FC}"/>
            </a:ext>
          </a:extLst>
        </xdr:cNvPr>
        <xdr:cNvCxnSpPr/>
      </xdr:nvCxnSpPr>
      <xdr:spPr>
        <a:xfrm flipV="1">
          <a:off x="43253025" y="16840200"/>
          <a:ext cx="399097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123825</xdr:colOff>
      <xdr:row>37</xdr:row>
      <xdr:rowOff>142875</xdr:rowOff>
    </xdr:from>
    <xdr:to>
      <xdr:col>57</xdr:col>
      <xdr:colOff>438150</xdr:colOff>
      <xdr:row>37</xdr:row>
      <xdr:rowOff>180976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7A5BFDF6-5ABC-4534-9AD8-541ED47AFA6D}"/>
            </a:ext>
          </a:extLst>
        </xdr:cNvPr>
        <xdr:cNvCxnSpPr/>
      </xdr:nvCxnSpPr>
      <xdr:spPr>
        <a:xfrm flipV="1">
          <a:off x="43300650" y="17030700"/>
          <a:ext cx="3971925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66675</xdr:colOff>
      <xdr:row>37</xdr:row>
      <xdr:rowOff>0</xdr:rowOff>
    </xdr:from>
    <xdr:to>
      <xdr:col>51</xdr:col>
      <xdr:colOff>66675</xdr:colOff>
      <xdr:row>37</xdr:row>
      <xdr:rowOff>171450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B9121C2A-C7EB-43F2-BD0B-984A9F8D3EA3}"/>
            </a:ext>
          </a:extLst>
        </xdr:cNvPr>
        <xdr:cNvCxnSpPr/>
      </xdr:nvCxnSpPr>
      <xdr:spPr>
        <a:xfrm>
          <a:off x="43243500" y="16887825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428624</xdr:colOff>
      <xdr:row>36</xdr:row>
      <xdr:rowOff>161925</xdr:rowOff>
    </xdr:from>
    <xdr:to>
      <xdr:col>57</xdr:col>
      <xdr:colOff>428625</xdr:colOff>
      <xdr:row>37</xdr:row>
      <xdr:rowOff>123825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646984C5-0C58-4D2D-A7B4-E442AE92F780}"/>
            </a:ext>
          </a:extLst>
        </xdr:cNvPr>
        <xdr:cNvCxnSpPr/>
      </xdr:nvCxnSpPr>
      <xdr:spPr>
        <a:xfrm flipH="1" flipV="1">
          <a:off x="47263049" y="16859250"/>
          <a:ext cx="1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68036</xdr:colOff>
      <xdr:row>47</xdr:row>
      <xdr:rowOff>27214</xdr:rowOff>
    </xdr:from>
    <xdr:to>
      <xdr:col>53</xdr:col>
      <xdr:colOff>68036</xdr:colOff>
      <xdr:row>58</xdr:row>
      <xdr:rowOff>40822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186B5DFC-4868-4C09-9071-DB6F32ED1E82}"/>
            </a:ext>
          </a:extLst>
        </xdr:cNvPr>
        <xdr:cNvCxnSpPr>
          <a:endCxn id="34" idx="2"/>
        </xdr:cNvCxnSpPr>
      </xdr:nvCxnSpPr>
      <xdr:spPr>
        <a:xfrm flipV="1">
          <a:off x="44464061" y="19391539"/>
          <a:ext cx="0" cy="3442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244928</xdr:colOff>
      <xdr:row>47</xdr:row>
      <xdr:rowOff>27214</xdr:rowOff>
    </xdr:from>
    <xdr:to>
      <xdr:col>54</xdr:col>
      <xdr:colOff>244928</xdr:colOff>
      <xdr:row>57</xdr:row>
      <xdr:rowOff>163286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CD6A3C08-CAC9-4364-B9FC-F4803F1263A9}"/>
            </a:ext>
          </a:extLst>
        </xdr:cNvPr>
        <xdr:cNvCxnSpPr>
          <a:endCxn id="34" idx="6"/>
        </xdr:cNvCxnSpPr>
      </xdr:nvCxnSpPr>
      <xdr:spPr>
        <a:xfrm flipV="1">
          <a:off x="45250553" y="19391539"/>
          <a:ext cx="0" cy="3374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68036</xdr:colOff>
      <xdr:row>46</xdr:row>
      <xdr:rowOff>54428</xdr:rowOff>
    </xdr:from>
    <xdr:to>
      <xdr:col>54</xdr:col>
      <xdr:colOff>244928</xdr:colOff>
      <xdr:row>48</xdr:row>
      <xdr:rowOff>0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2FF1CF3C-5E70-4CE6-B308-1BAC5B959085}"/>
            </a:ext>
          </a:extLst>
        </xdr:cNvPr>
        <xdr:cNvSpPr/>
      </xdr:nvSpPr>
      <xdr:spPr>
        <a:xfrm>
          <a:off x="44464061" y="19228253"/>
          <a:ext cx="786492" cy="32657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79825</xdr:colOff>
      <xdr:row>57</xdr:row>
      <xdr:rowOff>160807</xdr:rowOff>
    </xdr:from>
    <xdr:to>
      <xdr:col>54</xdr:col>
      <xdr:colOff>250272</xdr:colOff>
      <xdr:row>58</xdr:row>
      <xdr:rowOff>146539</xdr:rowOff>
    </xdr:to>
    <xdr:sp macro="" textlink="">
      <xdr:nvSpPr>
        <xdr:cNvPr id="35" name="Freeform: Shape 34">
          <a:extLst>
            <a:ext uri="{FF2B5EF4-FFF2-40B4-BE49-F238E27FC236}">
              <a16:creationId xmlns:a16="http://schemas.microsoft.com/office/drawing/2014/main" id="{4A571167-FEDB-4C7C-A645-809509E3EFCD}"/>
            </a:ext>
          </a:extLst>
        </xdr:cNvPr>
        <xdr:cNvSpPr/>
      </xdr:nvSpPr>
      <xdr:spPr>
        <a:xfrm>
          <a:off x="44475850" y="22763632"/>
          <a:ext cx="780047" cy="176232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23</xdr:row>
      <xdr:rowOff>9525</xdr:rowOff>
    </xdr:from>
    <xdr:to>
      <xdr:col>29</xdr:col>
      <xdr:colOff>0</xdr:colOff>
      <xdr:row>27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A7229A7-095D-4464-9AAA-F8E6CCA1C18F}"/>
            </a:ext>
          </a:extLst>
        </xdr:cNvPr>
        <xdr:cNvCxnSpPr/>
      </xdr:nvCxnSpPr>
      <xdr:spPr>
        <a:xfrm>
          <a:off x="20869275" y="10391775"/>
          <a:ext cx="97155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23</xdr:row>
      <xdr:rowOff>9525</xdr:rowOff>
    </xdr:from>
    <xdr:to>
      <xdr:col>27</xdr:col>
      <xdr:colOff>238125</xdr:colOff>
      <xdr:row>27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7EE05F1-2F8F-4C9E-9237-5E9CE91A67A2}"/>
            </a:ext>
          </a:extLst>
        </xdr:cNvPr>
        <xdr:cNvCxnSpPr/>
      </xdr:nvCxnSpPr>
      <xdr:spPr>
        <a:xfrm flipV="1">
          <a:off x="19850100" y="10391775"/>
          <a:ext cx="1009650" cy="1162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47625</xdr:rowOff>
    </xdr:from>
    <xdr:to>
      <xdr:col>29</xdr:col>
      <xdr:colOff>6350</xdr:colOff>
      <xdr:row>27</xdr:row>
      <xdr:rowOff>50800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858DB2C-970B-4F0D-87FE-5DF40A56534E}"/>
            </a:ext>
          </a:extLst>
        </xdr:cNvPr>
        <xdr:cNvCxnSpPr/>
      </xdr:nvCxnSpPr>
      <xdr:spPr>
        <a:xfrm flipH="1" flipV="1">
          <a:off x="19840575" y="11582400"/>
          <a:ext cx="2006600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24</xdr:row>
      <xdr:rowOff>57150</xdr:rowOff>
    </xdr:from>
    <xdr:to>
      <xdr:col>35</xdr:col>
      <xdr:colOff>47625</xdr:colOff>
      <xdr:row>28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507371DF-BDB1-4259-803C-1B6DD202CDF2}"/>
            </a:ext>
          </a:extLst>
        </xdr:cNvPr>
        <xdr:cNvSpPr/>
      </xdr:nvSpPr>
      <xdr:spPr>
        <a:xfrm flipH="1">
          <a:off x="24498300" y="11020425"/>
          <a:ext cx="10477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24</xdr:row>
      <xdr:rowOff>66675</xdr:rowOff>
    </xdr:from>
    <xdr:to>
      <xdr:col>36</xdr:col>
      <xdr:colOff>108136</xdr:colOff>
      <xdr:row>28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8C34C377-50EF-4D7D-85DF-C0002F61AD41}"/>
            </a:ext>
          </a:extLst>
        </xdr:cNvPr>
        <xdr:cNvSpPr/>
      </xdr:nvSpPr>
      <xdr:spPr>
        <a:xfrm>
          <a:off x="25558936" y="110299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24</xdr:row>
      <xdr:rowOff>66675</xdr:rowOff>
    </xdr:from>
    <xdr:to>
      <xdr:col>39</xdr:col>
      <xdr:colOff>257175</xdr:colOff>
      <xdr:row>28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3B374CDC-1107-48C0-B425-A177CAE5F315}"/>
            </a:ext>
          </a:extLst>
        </xdr:cNvPr>
        <xdr:cNvSpPr/>
      </xdr:nvSpPr>
      <xdr:spPr>
        <a:xfrm>
          <a:off x="26870025" y="110299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24</xdr:row>
      <xdr:rowOff>66675</xdr:rowOff>
    </xdr:from>
    <xdr:to>
      <xdr:col>37</xdr:col>
      <xdr:colOff>142875</xdr:colOff>
      <xdr:row>28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CC1CF135-0688-41FB-9042-E83EFE84B865}"/>
            </a:ext>
          </a:extLst>
        </xdr:cNvPr>
        <xdr:cNvSpPr/>
      </xdr:nvSpPr>
      <xdr:spPr>
        <a:xfrm flipH="1">
          <a:off x="26203275" y="110299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47</xdr:row>
      <xdr:rowOff>0</xdr:rowOff>
    </xdr:from>
    <xdr:to>
      <xdr:col>29</xdr:col>
      <xdr:colOff>9525</xdr:colOff>
      <xdr:row>51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C8F6BA3-60E9-4DA6-B137-EDA63286ED0C}"/>
            </a:ext>
          </a:extLst>
        </xdr:cNvPr>
        <xdr:cNvCxnSpPr/>
      </xdr:nvCxnSpPr>
      <xdr:spPr>
        <a:xfrm>
          <a:off x="19850100" y="15744825"/>
          <a:ext cx="2000250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47</xdr:row>
      <xdr:rowOff>0</xdr:rowOff>
    </xdr:from>
    <xdr:to>
      <xdr:col>29</xdr:col>
      <xdr:colOff>28575</xdr:colOff>
      <xdr:row>51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3B59BD5-8977-4112-AD89-9D18315CBA73}"/>
            </a:ext>
          </a:extLst>
        </xdr:cNvPr>
        <xdr:cNvCxnSpPr/>
      </xdr:nvCxnSpPr>
      <xdr:spPr>
        <a:xfrm flipV="1">
          <a:off x="19850100" y="15744825"/>
          <a:ext cx="2019300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51</xdr:row>
      <xdr:rowOff>50800</xdr:rowOff>
    </xdr:from>
    <xdr:to>
      <xdr:col>29</xdr:col>
      <xdr:colOff>0</xdr:colOff>
      <xdr:row>51</xdr:row>
      <xdr:rowOff>57151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276C3854-5AC4-4106-A4ED-331B6FF2C7D8}"/>
            </a:ext>
          </a:extLst>
        </xdr:cNvPr>
        <xdr:cNvCxnSpPr/>
      </xdr:nvCxnSpPr>
      <xdr:spPr>
        <a:xfrm flipH="1" flipV="1">
          <a:off x="19853275" y="17700625"/>
          <a:ext cx="1987550" cy="6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593912</xdr:colOff>
      <xdr:row>27</xdr:row>
      <xdr:rowOff>0</xdr:rowOff>
    </xdr:from>
    <xdr:to>
      <xdr:col>48</xdr:col>
      <xdr:colOff>0</xdr:colOff>
      <xdr:row>33</xdr:row>
      <xdr:rowOff>22411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5C359EF1-D17B-43FE-BFDF-096FAA374A74}"/>
            </a:ext>
          </a:extLst>
        </xdr:cNvPr>
        <xdr:cNvCxnSpPr/>
      </xdr:nvCxnSpPr>
      <xdr:spPr>
        <a:xfrm>
          <a:off x="33407537" y="11534775"/>
          <a:ext cx="1855694" cy="11844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257175</xdr:colOff>
      <xdr:row>30</xdr:row>
      <xdr:rowOff>171450</xdr:rowOff>
    </xdr:from>
    <xdr:to>
      <xdr:col>57</xdr:col>
      <xdr:colOff>447675</xdr:colOff>
      <xdr:row>32</xdr:row>
      <xdr:rowOff>38100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616B3FFF-8C5B-4F84-A9BA-F14D049E9F2F}"/>
            </a:ext>
          </a:extLst>
        </xdr:cNvPr>
        <xdr:cNvCxnSpPr/>
      </xdr:nvCxnSpPr>
      <xdr:spPr>
        <a:xfrm>
          <a:off x="44043600" y="12277725"/>
          <a:ext cx="32385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447675</xdr:colOff>
      <xdr:row>32</xdr:row>
      <xdr:rowOff>19051</xdr:rowOff>
    </xdr:from>
    <xdr:to>
      <xdr:col>57</xdr:col>
      <xdr:colOff>447676</xdr:colOff>
      <xdr:row>33</xdr:row>
      <xdr:rowOff>66675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6050BF10-FA1A-4630-9CE6-B3657554BF73}"/>
            </a:ext>
          </a:extLst>
        </xdr:cNvPr>
        <xdr:cNvCxnSpPr/>
      </xdr:nvCxnSpPr>
      <xdr:spPr>
        <a:xfrm flipV="1">
          <a:off x="47282100" y="12515851"/>
          <a:ext cx="1" cy="2476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333375</xdr:colOff>
      <xdr:row>33</xdr:row>
      <xdr:rowOff>76200</xdr:rowOff>
    </xdr:from>
    <xdr:to>
      <xdr:col>57</xdr:col>
      <xdr:colOff>457200</xdr:colOff>
      <xdr:row>34</xdr:row>
      <xdr:rowOff>104775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7DB6557A-1AE5-4D19-99FD-D2ECBE5D3455}"/>
            </a:ext>
          </a:extLst>
        </xdr:cNvPr>
        <xdr:cNvCxnSpPr/>
      </xdr:nvCxnSpPr>
      <xdr:spPr>
        <a:xfrm flipV="1">
          <a:off x="44119800" y="12773025"/>
          <a:ext cx="317182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19050</xdr:colOff>
      <xdr:row>30</xdr:row>
      <xdr:rowOff>161925</xdr:rowOff>
    </xdr:from>
    <xdr:to>
      <xdr:col>52</xdr:col>
      <xdr:colOff>228600</xdr:colOff>
      <xdr:row>30</xdr:row>
      <xdr:rowOff>161925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864561DD-C5AE-4A02-9E50-EE80A2D39486}"/>
            </a:ext>
          </a:extLst>
        </xdr:cNvPr>
        <xdr:cNvCxnSpPr/>
      </xdr:nvCxnSpPr>
      <xdr:spPr>
        <a:xfrm>
          <a:off x="43195875" y="12268200"/>
          <a:ext cx="819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66675</xdr:colOff>
      <xdr:row>34</xdr:row>
      <xdr:rowOff>104775</xdr:rowOff>
    </xdr:from>
    <xdr:to>
      <xdr:col>52</xdr:col>
      <xdr:colOff>371475</xdr:colOff>
      <xdr:row>34</xdr:row>
      <xdr:rowOff>104775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DC03DF67-9D72-43FC-A71B-0990B31D8006}"/>
            </a:ext>
          </a:extLst>
        </xdr:cNvPr>
        <xdr:cNvCxnSpPr/>
      </xdr:nvCxnSpPr>
      <xdr:spPr>
        <a:xfrm>
          <a:off x="43243500" y="12992100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38099</xdr:colOff>
      <xdr:row>30</xdr:row>
      <xdr:rowOff>152401</xdr:rowOff>
    </xdr:from>
    <xdr:to>
      <xdr:col>51</xdr:col>
      <xdr:colOff>47625</xdr:colOff>
      <xdr:row>34</xdr:row>
      <xdr:rowOff>104775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D1946343-536D-47C6-A5E8-BAAEEF28C5F5}"/>
            </a:ext>
          </a:extLst>
        </xdr:cNvPr>
        <xdr:cNvCxnSpPr/>
      </xdr:nvCxnSpPr>
      <xdr:spPr>
        <a:xfrm flipH="1" flipV="1">
          <a:off x="43214924" y="12258676"/>
          <a:ext cx="9526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76200</xdr:colOff>
      <xdr:row>36</xdr:row>
      <xdr:rowOff>142875</xdr:rowOff>
    </xdr:from>
    <xdr:to>
      <xdr:col>57</xdr:col>
      <xdr:colOff>409575</xdr:colOff>
      <xdr:row>36</xdr:row>
      <xdr:rowOff>171450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DCD48987-CEA0-4269-849F-B4774F52B028}"/>
            </a:ext>
          </a:extLst>
        </xdr:cNvPr>
        <xdr:cNvCxnSpPr/>
      </xdr:nvCxnSpPr>
      <xdr:spPr>
        <a:xfrm flipV="1">
          <a:off x="43253025" y="13411200"/>
          <a:ext cx="399097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123825</xdr:colOff>
      <xdr:row>37</xdr:row>
      <xdr:rowOff>142875</xdr:rowOff>
    </xdr:from>
    <xdr:to>
      <xdr:col>57</xdr:col>
      <xdr:colOff>438150</xdr:colOff>
      <xdr:row>37</xdr:row>
      <xdr:rowOff>180976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4714B229-633D-448F-B1D4-714929888D6F}"/>
            </a:ext>
          </a:extLst>
        </xdr:cNvPr>
        <xdr:cNvCxnSpPr/>
      </xdr:nvCxnSpPr>
      <xdr:spPr>
        <a:xfrm flipV="1">
          <a:off x="43300650" y="13601700"/>
          <a:ext cx="3971925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66675</xdr:colOff>
      <xdr:row>37</xdr:row>
      <xdr:rowOff>0</xdr:rowOff>
    </xdr:from>
    <xdr:to>
      <xdr:col>51</xdr:col>
      <xdr:colOff>66675</xdr:colOff>
      <xdr:row>37</xdr:row>
      <xdr:rowOff>171450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B4AF0715-805B-416A-A757-0D44A6F2511E}"/>
            </a:ext>
          </a:extLst>
        </xdr:cNvPr>
        <xdr:cNvCxnSpPr/>
      </xdr:nvCxnSpPr>
      <xdr:spPr>
        <a:xfrm>
          <a:off x="43243500" y="13458825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428624</xdr:colOff>
      <xdr:row>36</xdr:row>
      <xdr:rowOff>161925</xdr:rowOff>
    </xdr:from>
    <xdr:to>
      <xdr:col>57</xdr:col>
      <xdr:colOff>428625</xdr:colOff>
      <xdr:row>37</xdr:row>
      <xdr:rowOff>123825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8C6FAB9B-CB00-4985-85CF-8BBE87FB3A6D}"/>
            </a:ext>
          </a:extLst>
        </xdr:cNvPr>
        <xdr:cNvCxnSpPr/>
      </xdr:nvCxnSpPr>
      <xdr:spPr>
        <a:xfrm flipH="1" flipV="1">
          <a:off x="47263049" y="13430250"/>
          <a:ext cx="1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68036</xdr:colOff>
      <xdr:row>47</xdr:row>
      <xdr:rowOff>27214</xdr:rowOff>
    </xdr:from>
    <xdr:to>
      <xdr:col>53</xdr:col>
      <xdr:colOff>68036</xdr:colOff>
      <xdr:row>58</xdr:row>
      <xdr:rowOff>40822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EACBB06F-9B33-4D1E-B91A-103AD7BAC62C}"/>
            </a:ext>
          </a:extLst>
        </xdr:cNvPr>
        <xdr:cNvCxnSpPr>
          <a:endCxn id="34" idx="2"/>
        </xdr:cNvCxnSpPr>
      </xdr:nvCxnSpPr>
      <xdr:spPr>
        <a:xfrm flipV="1">
          <a:off x="44464061" y="15772039"/>
          <a:ext cx="0" cy="3442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244928</xdr:colOff>
      <xdr:row>47</xdr:row>
      <xdr:rowOff>27214</xdr:rowOff>
    </xdr:from>
    <xdr:to>
      <xdr:col>54</xdr:col>
      <xdr:colOff>244928</xdr:colOff>
      <xdr:row>57</xdr:row>
      <xdr:rowOff>163286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4B0647A-0675-48F4-89D3-BB629A130B70}"/>
            </a:ext>
          </a:extLst>
        </xdr:cNvPr>
        <xdr:cNvCxnSpPr>
          <a:endCxn id="34" idx="6"/>
        </xdr:cNvCxnSpPr>
      </xdr:nvCxnSpPr>
      <xdr:spPr>
        <a:xfrm flipV="1">
          <a:off x="45250553" y="15772039"/>
          <a:ext cx="0" cy="3374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68036</xdr:colOff>
      <xdr:row>46</xdr:row>
      <xdr:rowOff>54428</xdr:rowOff>
    </xdr:from>
    <xdr:to>
      <xdr:col>54</xdr:col>
      <xdr:colOff>244928</xdr:colOff>
      <xdr:row>48</xdr:row>
      <xdr:rowOff>0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4DDB699F-B0EE-47E6-8BD8-0A2C5339694E}"/>
            </a:ext>
          </a:extLst>
        </xdr:cNvPr>
        <xdr:cNvSpPr/>
      </xdr:nvSpPr>
      <xdr:spPr>
        <a:xfrm>
          <a:off x="44464061" y="15608753"/>
          <a:ext cx="786492" cy="32657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79825</xdr:colOff>
      <xdr:row>57</xdr:row>
      <xdr:rowOff>160807</xdr:rowOff>
    </xdr:from>
    <xdr:to>
      <xdr:col>54</xdr:col>
      <xdr:colOff>250272</xdr:colOff>
      <xdr:row>58</xdr:row>
      <xdr:rowOff>146539</xdr:rowOff>
    </xdr:to>
    <xdr:sp macro="" textlink="">
      <xdr:nvSpPr>
        <xdr:cNvPr id="35" name="Freeform: Shape 34">
          <a:extLst>
            <a:ext uri="{FF2B5EF4-FFF2-40B4-BE49-F238E27FC236}">
              <a16:creationId xmlns:a16="http://schemas.microsoft.com/office/drawing/2014/main" id="{A40CECDF-209A-4F85-A54E-D31910B187A0}"/>
            </a:ext>
          </a:extLst>
        </xdr:cNvPr>
        <xdr:cNvSpPr/>
      </xdr:nvSpPr>
      <xdr:spPr>
        <a:xfrm>
          <a:off x="44475850" y="19144132"/>
          <a:ext cx="780047" cy="176232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23</xdr:row>
      <xdr:rowOff>9525</xdr:rowOff>
    </xdr:from>
    <xdr:to>
      <xdr:col>29</xdr:col>
      <xdr:colOff>0</xdr:colOff>
      <xdr:row>27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88AF19F-9C2D-4B61-9BED-A3E4A0F0BAA5}"/>
            </a:ext>
          </a:extLst>
        </xdr:cNvPr>
        <xdr:cNvCxnSpPr/>
      </xdr:nvCxnSpPr>
      <xdr:spPr>
        <a:xfrm>
          <a:off x="20869275" y="10391775"/>
          <a:ext cx="97155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23</xdr:row>
      <xdr:rowOff>9525</xdr:rowOff>
    </xdr:from>
    <xdr:to>
      <xdr:col>27</xdr:col>
      <xdr:colOff>238125</xdr:colOff>
      <xdr:row>27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E702A2E-6D86-4B58-B4A0-2A9304683DC6}"/>
            </a:ext>
          </a:extLst>
        </xdr:cNvPr>
        <xdr:cNvCxnSpPr/>
      </xdr:nvCxnSpPr>
      <xdr:spPr>
        <a:xfrm flipV="1">
          <a:off x="19850100" y="10391775"/>
          <a:ext cx="1009650" cy="1162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47625</xdr:rowOff>
    </xdr:from>
    <xdr:to>
      <xdr:col>29</xdr:col>
      <xdr:colOff>6350</xdr:colOff>
      <xdr:row>27</xdr:row>
      <xdr:rowOff>50800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558B580-D82F-41E1-9512-9F1927FB6ABF}"/>
            </a:ext>
          </a:extLst>
        </xdr:cNvPr>
        <xdr:cNvCxnSpPr/>
      </xdr:nvCxnSpPr>
      <xdr:spPr>
        <a:xfrm flipH="1" flipV="1">
          <a:off x="19840575" y="11582400"/>
          <a:ext cx="2006600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24</xdr:row>
      <xdr:rowOff>57150</xdr:rowOff>
    </xdr:from>
    <xdr:to>
      <xdr:col>35</xdr:col>
      <xdr:colOff>47625</xdr:colOff>
      <xdr:row>28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4E594314-ED9C-41C1-A44F-DF80F66DC2E6}"/>
            </a:ext>
          </a:extLst>
        </xdr:cNvPr>
        <xdr:cNvSpPr/>
      </xdr:nvSpPr>
      <xdr:spPr>
        <a:xfrm flipH="1">
          <a:off x="24498300" y="11020425"/>
          <a:ext cx="10477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24</xdr:row>
      <xdr:rowOff>66675</xdr:rowOff>
    </xdr:from>
    <xdr:to>
      <xdr:col>36</xdr:col>
      <xdr:colOff>108136</xdr:colOff>
      <xdr:row>28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D1DC056F-2039-415A-8BF1-F5C641FE8D3C}"/>
            </a:ext>
          </a:extLst>
        </xdr:cNvPr>
        <xdr:cNvSpPr/>
      </xdr:nvSpPr>
      <xdr:spPr>
        <a:xfrm>
          <a:off x="25558936" y="110299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24</xdr:row>
      <xdr:rowOff>66675</xdr:rowOff>
    </xdr:from>
    <xdr:to>
      <xdr:col>39</xdr:col>
      <xdr:colOff>257175</xdr:colOff>
      <xdr:row>28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9C9EEA0D-E89C-47C4-85B7-2DE6B773AB9C}"/>
            </a:ext>
          </a:extLst>
        </xdr:cNvPr>
        <xdr:cNvSpPr/>
      </xdr:nvSpPr>
      <xdr:spPr>
        <a:xfrm>
          <a:off x="26870025" y="110299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24</xdr:row>
      <xdr:rowOff>66675</xdr:rowOff>
    </xdr:from>
    <xdr:to>
      <xdr:col>37</xdr:col>
      <xdr:colOff>142875</xdr:colOff>
      <xdr:row>28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F9F82CF0-15CD-4103-A500-C633CB148A74}"/>
            </a:ext>
          </a:extLst>
        </xdr:cNvPr>
        <xdr:cNvSpPr/>
      </xdr:nvSpPr>
      <xdr:spPr>
        <a:xfrm flipH="1">
          <a:off x="26203275" y="110299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47</xdr:row>
      <xdr:rowOff>0</xdr:rowOff>
    </xdr:from>
    <xdr:to>
      <xdr:col>29</xdr:col>
      <xdr:colOff>9525</xdr:colOff>
      <xdr:row>51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7DAE899D-1DC4-44A6-BAE7-B4D553D38C01}"/>
            </a:ext>
          </a:extLst>
        </xdr:cNvPr>
        <xdr:cNvCxnSpPr/>
      </xdr:nvCxnSpPr>
      <xdr:spPr>
        <a:xfrm>
          <a:off x="19850100" y="15744825"/>
          <a:ext cx="2000250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47</xdr:row>
      <xdr:rowOff>0</xdr:rowOff>
    </xdr:from>
    <xdr:to>
      <xdr:col>29</xdr:col>
      <xdr:colOff>28575</xdr:colOff>
      <xdr:row>51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B9ACBDD-E553-448F-B78A-A0B6A84B85A4}"/>
            </a:ext>
          </a:extLst>
        </xdr:cNvPr>
        <xdr:cNvCxnSpPr/>
      </xdr:nvCxnSpPr>
      <xdr:spPr>
        <a:xfrm flipV="1">
          <a:off x="19850100" y="15744825"/>
          <a:ext cx="2019300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51</xdr:row>
      <xdr:rowOff>50800</xdr:rowOff>
    </xdr:from>
    <xdr:to>
      <xdr:col>29</xdr:col>
      <xdr:colOff>0</xdr:colOff>
      <xdr:row>51</xdr:row>
      <xdr:rowOff>57151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21A275D-D854-46A3-B0F9-C2286A52D7FD}"/>
            </a:ext>
          </a:extLst>
        </xdr:cNvPr>
        <xdr:cNvCxnSpPr/>
      </xdr:nvCxnSpPr>
      <xdr:spPr>
        <a:xfrm flipH="1" flipV="1">
          <a:off x="19853275" y="17700625"/>
          <a:ext cx="1987550" cy="6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593912</xdr:colOff>
      <xdr:row>27</xdr:row>
      <xdr:rowOff>0</xdr:rowOff>
    </xdr:from>
    <xdr:to>
      <xdr:col>48</xdr:col>
      <xdr:colOff>0</xdr:colOff>
      <xdr:row>33</xdr:row>
      <xdr:rowOff>22411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F00A8AF-BDDD-49EC-924A-C0856BD6ECC1}"/>
            </a:ext>
          </a:extLst>
        </xdr:cNvPr>
        <xdr:cNvCxnSpPr/>
      </xdr:nvCxnSpPr>
      <xdr:spPr>
        <a:xfrm>
          <a:off x="33407537" y="11534775"/>
          <a:ext cx="1855694" cy="11844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257175</xdr:colOff>
      <xdr:row>30</xdr:row>
      <xdr:rowOff>171450</xdr:rowOff>
    </xdr:from>
    <xdr:to>
      <xdr:col>57</xdr:col>
      <xdr:colOff>447675</xdr:colOff>
      <xdr:row>32</xdr:row>
      <xdr:rowOff>38100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8CEC0406-2D87-4ED4-B288-E3032E1CAD7D}"/>
            </a:ext>
          </a:extLst>
        </xdr:cNvPr>
        <xdr:cNvCxnSpPr/>
      </xdr:nvCxnSpPr>
      <xdr:spPr>
        <a:xfrm>
          <a:off x="44043600" y="12277725"/>
          <a:ext cx="32385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447675</xdr:colOff>
      <xdr:row>32</xdr:row>
      <xdr:rowOff>19051</xdr:rowOff>
    </xdr:from>
    <xdr:to>
      <xdr:col>57</xdr:col>
      <xdr:colOff>447676</xdr:colOff>
      <xdr:row>33</xdr:row>
      <xdr:rowOff>66675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8D109C4F-E74C-41AD-B88C-11218F873241}"/>
            </a:ext>
          </a:extLst>
        </xdr:cNvPr>
        <xdr:cNvCxnSpPr/>
      </xdr:nvCxnSpPr>
      <xdr:spPr>
        <a:xfrm flipV="1">
          <a:off x="47282100" y="12515851"/>
          <a:ext cx="1" cy="2476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333375</xdr:colOff>
      <xdr:row>33</xdr:row>
      <xdr:rowOff>76200</xdr:rowOff>
    </xdr:from>
    <xdr:to>
      <xdr:col>57</xdr:col>
      <xdr:colOff>457200</xdr:colOff>
      <xdr:row>34</xdr:row>
      <xdr:rowOff>104775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3D4D1A68-38F4-4140-ADFB-17D24039D1A4}"/>
            </a:ext>
          </a:extLst>
        </xdr:cNvPr>
        <xdr:cNvCxnSpPr/>
      </xdr:nvCxnSpPr>
      <xdr:spPr>
        <a:xfrm flipV="1">
          <a:off x="44119800" y="12773025"/>
          <a:ext cx="317182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19050</xdr:colOff>
      <xdr:row>30</xdr:row>
      <xdr:rowOff>161925</xdr:rowOff>
    </xdr:from>
    <xdr:to>
      <xdr:col>52</xdr:col>
      <xdr:colOff>228600</xdr:colOff>
      <xdr:row>30</xdr:row>
      <xdr:rowOff>161925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78F32820-E007-44CA-9AB2-57D8BFE91E75}"/>
            </a:ext>
          </a:extLst>
        </xdr:cNvPr>
        <xdr:cNvCxnSpPr/>
      </xdr:nvCxnSpPr>
      <xdr:spPr>
        <a:xfrm>
          <a:off x="43195875" y="12268200"/>
          <a:ext cx="819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66675</xdr:colOff>
      <xdr:row>34</xdr:row>
      <xdr:rowOff>104775</xdr:rowOff>
    </xdr:from>
    <xdr:to>
      <xdr:col>52</xdr:col>
      <xdr:colOff>371475</xdr:colOff>
      <xdr:row>34</xdr:row>
      <xdr:rowOff>104775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ED4EC454-A986-4F24-B35E-F3195C18D7C0}"/>
            </a:ext>
          </a:extLst>
        </xdr:cNvPr>
        <xdr:cNvCxnSpPr/>
      </xdr:nvCxnSpPr>
      <xdr:spPr>
        <a:xfrm>
          <a:off x="43243500" y="12992100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38099</xdr:colOff>
      <xdr:row>30</xdr:row>
      <xdr:rowOff>152401</xdr:rowOff>
    </xdr:from>
    <xdr:to>
      <xdr:col>51</xdr:col>
      <xdr:colOff>47625</xdr:colOff>
      <xdr:row>34</xdr:row>
      <xdr:rowOff>104775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6B82B5E1-5006-4EFD-A9BA-E96C5037D72C}"/>
            </a:ext>
          </a:extLst>
        </xdr:cNvPr>
        <xdr:cNvCxnSpPr/>
      </xdr:nvCxnSpPr>
      <xdr:spPr>
        <a:xfrm flipH="1" flipV="1">
          <a:off x="43214924" y="12258676"/>
          <a:ext cx="9526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76200</xdr:colOff>
      <xdr:row>36</xdr:row>
      <xdr:rowOff>142875</xdr:rowOff>
    </xdr:from>
    <xdr:to>
      <xdr:col>57</xdr:col>
      <xdr:colOff>409575</xdr:colOff>
      <xdr:row>36</xdr:row>
      <xdr:rowOff>171450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F36C5423-3740-4B1A-948A-F4FB71E3AEC0}"/>
            </a:ext>
          </a:extLst>
        </xdr:cNvPr>
        <xdr:cNvCxnSpPr/>
      </xdr:nvCxnSpPr>
      <xdr:spPr>
        <a:xfrm flipV="1">
          <a:off x="43253025" y="13411200"/>
          <a:ext cx="399097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123825</xdr:colOff>
      <xdr:row>37</xdr:row>
      <xdr:rowOff>142875</xdr:rowOff>
    </xdr:from>
    <xdr:to>
      <xdr:col>57</xdr:col>
      <xdr:colOff>438150</xdr:colOff>
      <xdr:row>37</xdr:row>
      <xdr:rowOff>180976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5660A766-3B35-41EF-BE3F-FE88A5896304}"/>
            </a:ext>
          </a:extLst>
        </xdr:cNvPr>
        <xdr:cNvCxnSpPr/>
      </xdr:nvCxnSpPr>
      <xdr:spPr>
        <a:xfrm flipV="1">
          <a:off x="43300650" y="13601700"/>
          <a:ext cx="3971925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66675</xdr:colOff>
      <xdr:row>37</xdr:row>
      <xdr:rowOff>0</xdr:rowOff>
    </xdr:from>
    <xdr:to>
      <xdr:col>51</xdr:col>
      <xdr:colOff>66675</xdr:colOff>
      <xdr:row>37</xdr:row>
      <xdr:rowOff>171450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B41FCB1-B271-442C-813F-7A5081EFB9ED}"/>
            </a:ext>
          </a:extLst>
        </xdr:cNvPr>
        <xdr:cNvCxnSpPr/>
      </xdr:nvCxnSpPr>
      <xdr:spPr>
        <a:xfrm>
          <a:off x="43243500" y="13458825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428624</xdr:colOff>
      <xdr:row>36</xdr:row>
      <xdr:rowOff>161925</xdr:rowOff>
    </xdr:from>
    <xdr:to>
      <xdr:col>57</xdr:col>
      <xdr:colOff>428625</xdr:colOff>
      <xdr:row>37</xdr:row>
      <xdr:rowOff>123825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9A29E8A5-4A06-4FCB-8296-60F2E60EC67C}"/>
            </a:ext>
          </a:extLst>
        </xdr:cNvPr>
        <xdr:cNvCxnSpPr/>
      </xdr:nvCxnSpPr>
      <xdr:spPr>
        <a:xfrm flipH="1" flipV="1">
          <a:off x="47263049" y="13430250"/>
          <a:ext cx="1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68036</xdr:colOff>
      <xdr:row>47</xdr:row>
      <xdr:rowOff>27214</xdr:rowOff>
    </xdr:from>
    <xdr:to>
      <xdr:col>53</xdr:col>
      <xdr:colOff>68036</xdr:colOff>
      <xdr:row>58</xdr:row>
      <xdr:rowOff>40822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59F2F973-E1CB-4756-A1C5-76098514D13F}"/>
            </a:ext>
          </a:extLst>
        </xdr:cNvPr>
        <xdr:cNvCxnSpPr>
          <a:endCxn id="34" idx="2"/>
        </xdr:cNvCxnSpPr>
      </xdr:nvCxnSpPr>
      <xdr:spPr>
        <a:xfrm flipV="1">
          <a:off x="44464061" y="15772039"/>
          <a:ext cx="0" cy="3442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244928</xdr:colOff>
      <xdr:row>47</xdr:row>
      <xdr:rowOff>27214</xdr:rowOff>
    </xdr:from>
    <xdr:to>
      <xdr:col>54</xdr:col>
      <xdr:colOff>244928</xdr:colOff>
      <xdr:row>57</xdr:row>
      <xdr:rowOff>163286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9628015B-8891-4CA5-98F7-99988601F87D}"/>
            </a:ext>
          </a:extLst>
        </xdr:cNvPr>
        <xdr:cNvCxnSpPr>
          <a:endCxn id="34" idx="6"/>
        </xdr:cNvCxnSpPr>
      </xdr:nvCxnSpPr>
      <xdr:spPr>
        <a:xfrm flipV="1">
          <a:off x="45250553" y="15772039"/>
          <a:ext cx="0" cy="3374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68036</xdr:colOff>
      <xdr:row>46</xdr:row>
      <xdr:rowOff>54428</xdr:rowOff>
    </xdr:from>
    <xdr:to>
      <xdr:col>54</xdr:col>
      <xdr:colOff>244928</xdr:colOff>
      <xdr:row>48</xdr:row>
      <xdr:rowOff>0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129DE317-FCD0-442E-A247-BBE493575B65}"/>
            </a:ext>
          </a:extLst>
        </xdr:cNvPr>
        <xdr:cNvSpPr/>
      </xdr:nvSpPr>
      <xdr:spPr>
        <a:xfrm>
          <a:off x="44464061" y="15608753"/>
          <a:ext cx="786492" cy="32657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79825</xdr:colOff>
      <xdr:row>57</xdr:row>
      <xdr:rowOff>160807</xdr:rowOff>
    </xdr:from>
    <xdr:to>
      <xdr:col>54</xdr:col>
      <xdr:colOff>250272</xdr:colOff>
      <xdr:row>58</xdr:row>
      <xdr:rowOff>146539</xdr:rowOff>
    </xdr:to>
    <xdr:sp macro="" textlink="">
      <xdr:nvSpPr>
        <xdr:cNvPr id="35" name="Freeform: Shape 34">
          <a:extLst>
            <a:ext uri="{FF2B5EF4-FFF2-40B4-BE49-F238E27FC236}">
              <a16:creationId xmlns:a16="http://schemas.microsoft.com/office/drawing/2014/main" id="{04BF0F4B-E5B4-448A-BB32-BA64A4951DE1}"/>
            </a:ext>
          </a:extLst>
        </xdr:cNvPr>
        <xdr:cNvSpPr/>
      </xdr:nvSpPr>
      <xdr:spPr>
        <a:xfrm>
          <a:off x="44475850" y="19144132"/>
          <a:ext cx="780047" cy="176232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190</xdr:row>
      <xdr:rowOff>0</xdr:rowOff>
    </xdr:from>
    <xdr:to>
      <xdr:col>26</xdr:col>
      <xdr:colOff>9525</xdr:colOff>
      <xdr:row>194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1E82850-C95D-4738-8B28-6F613E9A325A}"/>
            </a:ext>
          </a:extLst>
        </xdr:cNvPr>
        <xdr:cNvCxnSpPr/>
      </xdr:nvCxnSpPr>
      <xdr:spPr>
        <a:xfrm>
          <a:off x="19250025" y="51311175"/>
          <a:ext cx="1952625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190</xdr:row>
      <xdr:rowOff>0</xdr:rowOff>
    </xdr:from>
    <xdr:to>
      <xdr:col>26</xdr:col>
      <xdr:colOff>28575</xdr:colOff>
      <xdr:row>194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B23148F-0527-41FA-B403-2B7F346AED0F}"/>
            </a:ext>
          </a:extLst>
        </xdr:cNvPr>
        <xdr:cNvCxnSpPr/>
      </xdr:nvCxnSpPr>
      <xdr:spPr>
        <a:xfrm flipV="1">
          <a:off x="19250025" y="51311175"/>
          <a:ext cx="1971675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742950</xdr:colOff>
      <xdr:row>194</xdr:row>
      <xdr:rowOff>47625</xdr:rowOff>
    </xdr:from>
    <xdr:to>
      <xdr:col>26</xdr:col>
      <xdr:colOff>0</xdr:colOff>
      <xdr:row>194</xdr:row>
      <xdr:rowOff>57150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9FC679D-81E5-42AF-9CF3-B91D64AED27B}"/>
            </a:ext>
          </a:extLst>
        </xdr:cNvPr>
        <xdr:cNvCxnSpPr/>
      </xdr:nvCxnSpPr>
      <xdr:spPr>
        <a:xfrm flipH="1" flipV="1">
          <a:off x="19088100" y="52501800"/>
          <a:ext cx="2105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219075</xdr:colOff>
      <xdr:row>191</xdr:row>
      <xdr:rowOff>57150</xdr:rowOff>
    </xdr:from>
    <xdr:to>
      <xdr:col>32</xdr:col>
      <xdr:colOff>47625</xdr:colOff>
      <xdr:row>195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09F496C3-F61A-4059-BA04-1F7D7609C99E}"/>
            </a:ext>
          </a:extLst>
        </xdr:cNvPr>
        <xdr:cNvSpPr/>
      </xdr:nvSpPr>
      <xdr:spPr>
        <a:xfrm flipH="1">
          <a:off x="23850600" y="51939825"/>
          <a:ext cx="14001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38100</xdr:colOff>
      <xdr:row>191</xdr:row>
      <xdr:rowOff>66675</xdr:rowOff>
    </xdr:from>
    <xdr:to>
      <xdr:col>33</xdr:col>
      <xdr:colOff>85725</xdr:colOff>
      <xdr:row>195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D146CF8B-9B71-4471-B6E1-82AE7FFA7722}"/>
            </a:ext>
          </a:extLst>
        </xdr:cNvPr>
        <xdr:cNvSpPr/>
      </xdr:nvSpPr>
      <xdr:spPr>
        <a:xfrm>
          <a:off x="25241250" y="51949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152400</xdr:colOff>
      <xdr:row>191</xdr:row>
      <xdr:rowOff>66675</xdr:rowOff>
    </xdr:from>
    <xdr:to>
      <xdr:col>36</xdr:col>
      <xdr:colOff>257175</xdr:colOff>
      <xdr:row>195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2C9DA67C-3827-49F9-BE6C-15943254117C}"/>
            </a:ext>
          </a:extLst>
        </xdr:cNvPr>
        <xdr:cNvSpPr/>
      </xdr:nvSpPr>
      <xdr:spPr>
        <a:xfrm>
          <a:off x="26574750" y="519493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95250</xdr:colOff>
      <xdr:row>191</xdr:row>
      <xdr:rowOff>66675</xdr:rowOff>
    </xdr:from>
    <xdr:to>
      <xdr:col>34</xdr:col>
      <xdr:colOff>142875</xdr:colOff>
      <xdr:row>195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3C0726A1-E9B9-4341-B52A-83E0FE5286E8}"/>
            </a:ext>
          </a:extLst>
        </xdr:cNvPr>
        <xdr:cNvSpPr/>
      </xdr:nvSpPr>
      <xdr:spPr>
        <a:xfrm flipH="1">
          <a:off x="25908000" y="51949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41</xdr:col>
      <xdr:colOff>219075</xdr:colOff>
      <xdr:row>191</xdr:row>
      <xdr:rowOff>57150</xdr:rowOff>
    </xdr:from>
    <xdr:to>
      <xdr:col>43</xdr:col>
      <xdr:colOff>47625</xdr:colOff>
      <xdr:row>195</xdr:row>
      <xdr:rowOff>152399</xdr:rowOff>
    </xdr:to>
    <xdr:sp macro="" textlink="">
      <xdr:nvSpPr>
        <xdr:cNvPr id="9" name="Right Triangle 8">
          <a:extLst>
            <a:ext uri="{FF2B5EF4-FFF2-40B4-BE49-F238E27FC236}">
              <a16:creationId xmlns:a16="http://schemas.microsoft.com/office/drawing/2014/main" id="{275ACAA9-F280-44BC-8122-71989BFFCA19}"/>
            </a:ext>
          </a:extLst>
        </xdr:cNvPr>
        <xdr:cNvSpPr/>
      </xdr:nvSpPr>
      <xdr:spPr>
        <a:xfrm flipH="1">
          <a:off x="30908625" y="51939825"/>
          <a:ext cx="15906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38100</xdr:colOff>
      <xdr:row>191</xdr:row>
      <xdr:rowOff>66675</xdr:rowOff>
    </xdr:from>
    <xdr:to>
      <xdr:col>44</xdr:col>
      <xdr:colOff>85725</xdr:colOff>
      <xdr:row>195</xdr:row>
      <xdr:rowOff>152400</xdr:rowOff>
    </xdr:to>
    <xdr:sp macro="" textlink="">
      <xdr:nvSpPr>
        <xdr:cNvPr id="10" name="Right Triangle 9">
          <a:extLst>
            <a:ext uri="{FF2B5EF4-FFF2-40B4-BE49-F238E27FC236}">
              <a16:creationId xmlns:a16="http://schemas.microsoft.com/office/drawing/2014/main" id="{0CDB5B1B-8E26-4DB2-9834-B7E9AD3098EF}"/>
            </a:ext>
          </a:extLst>
        </xdr:cNvPr>
        <xdr:cNvSpPr/>
      </xdr:nvSpPr>
      <xdr:spPr>
        <a:xfrm>
          <a:off x="32489775" y="51949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45</xdr:col>
      <xdr:colOff>152400</xdr:colOff>
      <xdr:row>191</xdr:row>
      <xdr:rowOff>66675</xdr:rowOff>
    </xdr:from>
    <xdr:to>
      <xdr:col>47</xdr:col>
      <xdr:colOff>257175</xdr:colOff>
      <xdr:row>195</xdr:row>
      <xdr:rowOff>161924</xdr:rowOff>
    </xdr:to>
    <xdr:sp macro="" textlink="">
      <xdr:nvSpPr>
        <xdr:cNvPr id="11" name="Right Triangle 10">
          <a:extLst>
            <a:ext uri="{FF2B5EF4-FFF2-40B4-BE49-F238E27FC236}">
              <a16:creationId xmlns:a16="http://schemas.microsoft.com/office/drawing/2014/main" id="{94F26B4A-C963-4DAA-8A0B-32BC0CD01F3E}"/>
            </a:ext>
          </a:extLst>
        </xdr:cNvPr>
        <xdr:cNvSpPr/>
      </xdr:nvSpPr>
      <xdr:spPr>
        <a:xfrm>
          <a:off x="33823275" y="519493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44</xdr:col>
      <xdr:colOff>95250</xdr:colOff>
      <xdr:row>191</xdr:row>
      <xdr:rowOff>66675</xdr:rowOff>
    </xdr:from>
    <xdr:to>
      <xdr:col>45</xdr:col>
      <xdr:colOff>142875</xdr:colOff>
      <xdr:row>195</xdr:row>
      <xdr:rowOff>152400</xdr:rowOff>
    </xdr:to>
    <xdr:sp macro="" textlink="">
      <xdr:nvSpPr>
        <xdr:cNvPr id="12" name="Right Triangle 11">
          <a:extLst>
            <a:ext uri="{FF2B5EF4-FFF2-40B4-BE49-F238E27FC236}">
              <a16:creationId xmlns:a16="http://schemas.microsoft.com/office/drawing/2014/main" id="{DC827295-63DF-4509-A04C-2C78C61FC11A}"/>
            </a:ext>
          </a:extLst>
        </xdr:cNvPr>
        <xdr:cNvSpPr/>
      </xdr:nvSpPr>
      <xdr:spPr>
        <a:xfrm flipH="1">
          <a:off x="33156525" y="51949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52</xdr:col>
      <xdr:colOff>219075</xdr:colOff>
      <xdr:row>191</xdr:row>
      <xdr:rowOff>57150</xdr:rowOff>
    </xdr:from>
    <xdr:to>
      <xdr:col>54</xdr:col>
      <xdr:colOff>47625</xdr:colOff>
      <xdr:row>195</xdr:row>
      <xdr:rowOff>152399</xdr:rowOff>
    </xdr:to>
    <xdr:sp macro="" textlink="">
      <xdr:nvSpPr>
        <xdr:cNvPr id="13" name="Right Triangle 12">
          <a:extLst>
            <a:ext uri="{FF2B5EF4-FFF2-40B4-BE49-F238E27FC236}">
              <a16:creationId xmlns:a16="http://schemas.microsoft.com/office/drawing/2014/main" id="{F5067788-8DC5-43D1-BB62-79FBA018C24B}"/>
            </a:ext>
          </a:extLst>
        </xdr:cNvPr>
        <xdr:cNvSpPr/>
      </xdr:nvSpPr>
      <xdr:spPr>
        <a:xfrm flipH="1">
          <a:off x="38157150" y="51939825"/>
          <a:ext cx="15430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54</xdr:col>
      <xdr:colOff>38100</xdr:colOff>
      <xdr:row>191</xdr:row>
      <xdr:rowOff>66675</xdr:rowOff>
    </xdr:from>
    <xdr:to>
      <xdr:col>55</xdr:col>
      <xdr:colOff>85725</xdr:colOff>
      <xdr:row>195</xdr:row>
      <xdr:rowOff>152400</xdr:rowOff>
    </xdr:to>
    <xdr:sp macro="" textlink="">
      <xdr:nvSpPr>
        <xdr:cNvPr id="14" name="Right Triangle 13">
          <a:extLst>
            <a:ext uri="{FF2B5EF4-FFF2-40B4-BE49-F238E27FC236}">
              <a16:creationId xmlns:a16="http://schemas.microsoft.com/office/drawing/2014/main" id="{B4914A29-29A5-4C3C-B655-2EB05720869E}"/>
            </a:ext>
          </a:extLst>
        </xdr:cNvPr>
        <xdr:cNvSpPr/>
      </xdr:nvSpPr>
      <xdr:spPr>
        <a:xfrm>
          <a:off x="39690675" y="51949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56</xdr:col>
      <xdr:colOff>152400</xdr:colOff>
      <xdr:row>191</xdr:row>
      <xdr:rowOff>66675</xdr:rowOff>
    </xdr:from>
    <xdr:to>
      <xdr:col>58</xdr:col>
      <xdr:colOff>257175</xdr:colOff>
      <xdr:row>195</xdr:row>
      <xdr:rowOff>161924</xdr:rowOff>
    </xdr:to>
    <xdr:sp macro="" textlink="">
      <xdr:nvSpPr>
        <xdr:cNvPr id="15" name="Right Triangle 14">
          <a:extLst>
            <a:ext uri="{FF2B5EF4-FFF2-40B4-BE49-F238E27FC236}">
              <a16:creationId xmlns:a16="http://schemas.microsoft.com/office/drawing/2014/main" id="{188820DC-AE4B-4C37-8A5B-D88317BE423C}"/>
            </a:ext>
          </a:extLst>
        </xdr:cNvPr>
        <xdr:cNvSpPr/>
      </xdr:nvSpPr>
      <xdr:spPr>
        <a:xfrm>
          <a:off x="41024175" y="519493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55</xdr:col>
      <xdr:colOff>95250</xdr:colOff>
      <xdr:row>191</xdr:row>
      <xdr:rowOff>66675</xdr:rowOff>
    </xdr:from>
    <xdr:to>
      <xdr:col>56</xdr:col>
      <xdr:colOff>142875</xdr:colOff>
      <xdr:row>195</xdr:row>
      <xdr:rowOff>152400</xdr:rowOff>
    </xdr:to>
    <xdr:sp macro="" textlink="">
      <xdr:nvSpPr>
        <xdr:cNvPr id="16" name="Right Triangle 15">
          <a:extLst>
            <a:ext uri="{FF2B5EF4-FFF2-40B4-BE49-F238E27FC236}">
              <a16:creationId xmlns:a16="http://schemas.microsoft.com/office/drawing/2014/main" id="{CB9613F8-67F1-4887-A764-0356C03865E4}"/>
            </a:ext>
          </a:extLst>
        </xdr:cNvPr>
        <xdr:cNvSpPr/>
      </xdr:nvSpPr>
      <xdr:spPr>
        <a:xfrm flipH="1">
          <a:off x="40357425" y="519493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55</xdr:col>
      <xdr:colOff>95250</xdr:colOff>
      <xdr:row>191</xdr:row>
      <xdr:rowOff>76200</xdr:rowOff>
    </xdr:from>
    <xdr:to>
      <xdr:col>55</xdr:col>
      <xdr:colOff>104775</xdr:colOff>
      <xdr:row>195</xdr:row>
      <xdr:rowOff>152400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BDFCBF42-4037-4B10-9BCF-60D1B7180F18}"/>
            </a:ext>
          </a:extLst>
        </xdr:cNvPr>
        <xdr:cNvCxnSpPr>
          <a:stCxn id="16" idx="4"/>
        </xdr:cNvCxnSpPr>
      </xdr:nvCxnSpPr>
      <xdr:spPr>
        <a:xfrm flipV="1">
          <a:off x="40357425" y="51958875"/>
          <a:ext cx="9525" cy="838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212</xdr:row>
      <xdr:rowOff>0</xdr:rowOff>
    </xdr:from>
    <xdr:to>
      <xdr:col>26</xdr:col>
      <xdr:colOff>9525</xdr:colOff>
      <xdr:row>216</xdr:row>
      <xdr:rowOff>19050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BB87DE38-57EE-4E67-BDAD-4AC53BBB062A}"/>
            </a:ext>
          </a:extLst>
        </xdr:cNvPr>
        <xdr:cNvCxnSpPr/>
      </xdr:nvCxnSpPr>
      <xdr:spPr>
        <a:xfrm>
          <a:off x="19250025" y="55921275"/>
          <a:ext cx="19526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212</xdr:row>
      <xdr:rowOff>0</xdr:rowOff>
    </xdr:from>
    <xdr:to>
      <xdr:col>26</xdr:col>
      <xdr:colOff>28575</xdr:colOff>
      <xdr:row>216</xdr:row>
      <xdr:rowOff>19050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3F1E2E1B-DFC3-4DB7-8E56-5182E6D9F4C7}"/>
            </a:ext>
          </a:extLst>
        </xdr:cNvPr>
        <xdr:cNvCxnSpPr/>
      </xdr:nvCxnSpPr>
      <xdr:spPr>
        <a:xfrm flipV="1">
          <a:off x="19250025" y="55921275"/>
          <a:ext cx="197167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742950</xdr:colOff>
      <xdr:row>216</xdr:row>
      <xdr:rowOff>47625</xdr:rowOff>
    </xdr:from>
    <xdr:to>
      <xdr:col>26</xdr:col>
      <xdr:colOff>0</xdr:colOff>
      <xdr:row>216</xdr:row>
      <xdr:rowOff>57150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A96BE03-F56E-4776-92A6-F35259EE55FC}"/>
            </a:ext>
          </a:extLst>
        </xdr:cNvPr>
        <xdr:cNvCxnSpPr/>
      </xdr:nvCxnSpPr>
      <xdr:spPr>
        <a:xfrm flipH="1" flipV="1">
          <a:off x="19088100" y="56769000"/>
          <a:ext cx="2105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371475</xdr:colOff>
      <xdr:row>223</xdr:row>
      <xdr:rowOff>95250</xdr:rowOff>
    </xdr:from>
    <xdr:to>
      <xdr:col>35</xdr:col>
      <xdr:colOff>533400</xdr:colOff>
      <xdr:row>223</xdr:row>
      <xdr:rowOff>95250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5044406-B434-4CBA-8BA5-28B053A35F87}"/>
            </a:ext>
          </a:extLst>
        </xdr:cNvPr>
        <xdr:cNvCxnSpPr/>
      </xdr:nvCxnSpPr>
      <xdr:spPr>
        <a:xfrm>
          <a:off x="25574625" y="58531125"/>
          <a:ext cx="1990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264</xdr:row>
      <xdr:rowOff>9525</xdr:rowOff>
    </xdr:from>
    <xdr:to>
      <xdr:col>29</xdr:col>
      <xdr:colOff>0</xdr:colOff>
      <xdr:row>268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1D443F6-621D-4BBB-92EE-0AA99E67B185}"/>
            </a:ext>
          </a:extLst>
        </xdr:cNvPr>
        <xdr:cNvCxnSpPr/>
      </xdr:nvCxnSpPr>
      <xdr:spPr>
        <a:xfrm>
          <a:off x="26117550" y="37899975"/>
          <a:ext cx="133350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264</xdr:row>
      <xdr:rowOff>9525</xdr:rowOff>
    </xdr:from>
    <xdr:to>
      <xdr:col>27</xdr:col>
      <xdr:colOff>238125</xdr:colOff>
      <xdr:row>268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4F89A5B-2B84-46FC-B7E5-A7A7E61A95A6}"/>
            </a:ext>
          </a:extLst>
        </xdr:cNvPr>
        <xdr:cNvCxnSpPr/>
      </xdr:nvCxnSpPr>
      <xdr:spPr>
        <a:xfrm flipV="1">
          <a:off x="25012650" y="37899975"/>
          <a:ext cx="1095375" cy="1162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268</xdr:row>
      <xdr:rowOff>47625</xdr:rowOff>
    </xdr:from>
    <xdr:to>
      <xdr:col>29</xdr:col>
      <xdr:colOff>0</xdr:colOff>
      <xdr:row>268</xdr:row>
      <xdr:rowOff>57151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6F8B19D-5506-4F66-8D96-8028364C9931}"/>
            </a:ext>
          </a:extLst>
        </xdr:cNvPr>
        <xdr:cNvCxnSpPr/>
      </xdr:nvCxnSpPr>
      <xdr:spPr>
        <a:xfrm flipH="1" flipV="1">
          <a:off x="25003125" y="39090600"/>
          <a:ext cx="24479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265</xdr:row>
      <xdr:rowOff>57150</xdr:rowOff>
    </xdr:from>
    <xdr:to>
      <xdr:col>35</xdr:col>
      <xdr:colOff>47625</xdr:colOff>
      <xdr:row>269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7B0A1E3A-33F1-40A6-A91A-CB1B662F5D08}"/>
            </a:ext>
          </a:extLst>
        </xdr:cNvPr>
        <xdr:cNvSpPr/>
      </xdr:nvSpPr>
      <xdr:spPr>
        <a:xfrm flipH="1">
          <a:off x="30108525" y="38528625"/>
          <a:ext cx="10477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265</xdr:row>
      <xdr:rowOff>66675</xdr:rowOff>
    </xdr:from>
    <xdr:to>
      <xdr:col>36</xdr:col>
      <xdr:colOff>108136</xdr:colOff>
      <xdr:row>269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ABF9DC0C-3B59-4C64-8E1B-01EC512D09D0}"/>
            </a:ext>
          </a:extLst>
        </xdr:cNvPr>
        <xdr:cNvSpPr/>
      </xdr:nvSpPr>
      <xdr:spPr>
        <a:xfrm>
          <a:off x="31169161" y="385381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265</xdr:row>
      <xdr:rowOff>66675</xdr:rowOff>
    </xdr:from>
    <xdr:to>
      <xdr:col>39</xdr:col>
      <xdr:colOff>257175</xdr:colOff>
      <xdr:row>269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E6D1D4A1-86D4-49CC-A574-786D46FDE4C2}"/>
            </a:ext>
          </a:extLst>
        </xdr:cNvPr>
        <xdr:cNvSpPr/>
      </xdr:nvSpPr>
      <xdr:spPr>
        <a:xfrm>
          <a:off x="32480250" y="385381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265</xdr:row>
      <xdr:rowOff>66675</xdr:rowOff>
    </xdr:from>
    <xdr:to>
      <xdr:col>37</xdr:col>
      <xdr:colOff>142875</xdr:colOff>
      <xdr:row>269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A4DE774B-FCC3-460C-AB43-A22C868B5E5B}"/>
            </a:ext>
          </a:extLst>
        </xdr:cNvPr>
        <xdr:cNvSpPr/>
      </xdr:nvSpPr>
      <xdr:spPr>
        <a:xfrm flipH="1">
          <a:off x="31813500" y="385381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288</xdr:row>
      <xdr:rowOff>0</xdr:rowOff>
    </xdr:from>
    <xdr:to>
      <xdr:col>29</xdr:col>
      <xdr:colOff>9525</xdr:colOff>
      <xdr:row>292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C8839E44-CAEE-4B6C-81EC-8BE10949C691}"/>
            </a:ext>
          </a:extLst>
        </xdr:cNvPr>
        <xdr:cNvCxnSpPr/>
      </xdr:nvCxnSpPr>
      <xdr:spPr>
        <a:xfrm>
          <a:off x="25012650" y="43253025"/>
          <a:ext cx="2447925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288</xdr:row>
      <xdr:rowOff>0</xdr:rowOff>
    </xdr:from>
    <xdr:to>
      <xdr:col>29</xdr:col>
      <xdr:colOff>28575</xdr:colOff>
      <xdr:row>292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A209BA61-CDC7-4F81-B467-8B05C82A7805}"/>
            </a:ext>
          </a:extLst>
        </xdr:cNvPr>
        <xdr:cNvCxnSpPr/>
      </xdr:nvCxnSpPr>
      <xdr:spPr>
        <a:xfrm flipV="1">
          <a:off x="25012650" y="43253025"/>
          <a:ext cx="2466975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292</xdr:row>
      <xdr:rowOff>57150</xdr:rowOff>
    </xdr:from>
    <xdr:to>
      <xdr:col>29</xdr:col>
      <xdr:colOff>0</xdr:colOff>
      <xdr:row>292</xdr:row>
      <xdr:rowOff>57151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BF9CA015-8AF7-484A-872E-B7784DEB5BAB}"/>
            </a:ext>
          </a:extLst>
        </xdr:cNvPr>
        <xdr:cNvCxnSpPr/>
      </xdr:nvCxnSpPr>
      <xdr:spPr>
        <a:xfrm flipH="1" flipV="1">
          <a:off x="31632525" y="59731275"/>
          <a:ext cx="23812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371475</xdr:colOff>
      <xdr:row>299</xdr:row>
      <xdr:rowOff>95250</xdr:rowOff>
    </xdr:from>
    <xdr:to>
      <xdr:col>38</xdr:col>
      <xdr:colOff>533400</xdr:colOff>
      <xdr:row>299</xdr:row>
      <xdr:rowOff>95250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ED06600-5286-485C-B5B1-F5692239D7FD}"/>
            </a:ext>
          </a:extLst>
        </xdr:cNvPr>
        <xdr:cNvCxnSpPr/>
      </xdr:nvCxnSpPr>
      <xdr:spPr>
        <a:xfrm>
          <a:off x="31480125" y="46777275"/>
          <a:ext cx="1990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268</xdr:row>
      <xdr:rowOff>22411</xdr:rowOff>
    </xdr:from>
    <xdr:to>
      <xdr:col>51</xdr:col>
      <xdr:colOff>0</xdr:colOff>
      <xdr:row>274</xdr:row>
      <xdr:rowOff>11205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417DB999-4848-46E8-A723-537EEE3C0E51}"/>
            </a:ext>
          </a:extLst>
        </xdr:cNvPr>
        <xdr:cNvCxnSpPr/>
      </xdr:nvCxnSpPr>
      <xdr:spPr>
        <a:xfrm flipV="1">
          <a:off x="39033450" y="39065386"/>
          <a:ext cx="1828800" cy="11508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593912</xdr:colOff>
      <xdr:row>268</xdr:row>
      <xdr:rowOff>0</xdr:rowOff>
    </xdr:from>
    <xdr:to>
      <xdr:col>51</xdr:col>
      <xdr:colOff>11206</xdr:colOff>
      <xdr:row>274</xdr:row>
      <xdr:rowOff>22411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AC9CFA8A-DC55-4E0F-88E3-63498F1C1A19}"/>
            </a:ext>
          </a:extLst>
        </xdr:cNvPr>
        <xdr:cNvCxnSpPr/>
      </xdr:nvCxnSpPr>
      <xdr:spPr>
        <a:xfrm>
          <a:off x="39017762" y="39042975"/>
          <a:ext cx="1855694" cy="11844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268</xdr:row>
      <xdr:rowOff>0</xdr:rowOff>
    </xdr:from>
    <xdr:to>
      <xdr:col>60</xdr:col>
      <xdr:colOff>33616</xdr:colOff>
      <xdr:row>273</xdr:row>
      <xdr:rowOff>179294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4E2BC19A-B194-4AAA-8B68-028091055D59}"/>
            </a:ext>
          </a:extLst>
        </xdr:cNvPr>
        <xdr:cNvCxnSpPr/>
      </xdr:nvCxnSpPr>
      <xdr:spPr>
        <a:xfrm flipV="1">
          <a:off x="44553467" y="39042975"/>
          <a:ext cx="1828799" cy="114131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268</xdr:row>
      <xdr:rowOff>33617</xdr:rowOff>
    </xdr:from>
    <xdr:to>
      <xdr:col>60</xdr:col>
      <xdr:colOff>11206</xdr:colOff>
      <xdr:row>274</xdr:row>
      <xdr:rowOff>22411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16F1B9F0-E851-4D50-BF43-260DD4A67976}"/>
            </a:ext>
          </a:extLst>
        </xdr:cNvPr>
        <xdr:cNvCxnSpPr/>
      </xdr:nvCxnSpPr>
      <xdr:spPr>
        <a:xfrm>
          <a:off x="44553468" y="39076592"/>
          <a:ext cx="1806388" cy="11508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286</xdr:row>
      <xdr:rowOff>0</xdr:rowOff>
    </xdr:from>
    <xdr:to>
      <xdr:col>51</xdr:col>
      <xdr:colOff>33616</xdr:colOff>
      <xdr:row>291</xdr:row>
      <xdr:rowOff>179294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6038AF6-1278-45CA-A6CF-C3D393E2C3E5}"/>
            </a:ext>
          </a:extLst>
        </xdr:cNvPr>
        <xdr:cNvCxnSpPr/>
      </xdr:nvCxnSpPr>
      <xdr:spPr>
        <a:xfrm flipV="1">
          <a:off x="39067067" y="42872025"/>
          <a:ext cx="1828799" cy="2274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286</xdr:row>
      <xdr:rowOff>33617</xdr:rowOff>
    </xdr:from>
    <xdr:to>
      <xdr:col>51</xdr:col>
      <xdr:colOff>11206</xdr:colOff>
      <xdr:row>292</xdr:row>
      <xdr:rowOff>22411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2DF916C3-0239-4CCE-850F-D3073CE2AD56}"/>
            </a:ext>
          </a:extLst>
        </xdr:cNvPr>
        <xdr:cNvCxnSpPr/>
      </xdr:nvCxnSpPr>
      <xdr:spPr>
        <a:xfrm>
          <a:off x="39067068" y="42905642"/>
          <a:ext cx="1806388" cy="2274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286</xdr:row>
      <xdr:rowOff>0</xdr:rowOff>
    </xdr:from>
    <xdr:to>
      <xdr:col>60</xdr:col>
      <xdr:colOff>33616</xdr:colOff>
      <xdr:row>291</xdr:row>
      <xdr:rowOff>179294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43CE4DB5-9677-4080-A602-06D35E9643B2}"/>
            </a:ext>
          </a:extLst>
        </xdr:cNvPr>
        <xdr:cNvCxnSpPr/>
      </xdr:nvCxnSpPr>
      <xdr:spPr>
        <a:xfrm flipV="1">
          <a:off x="44553467" y="42872025"/>
          <a:ext cx="1828799" cy="2274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286</xdr:row>
      <xdr:rowOff>33617</xdr:rowOff>
    </xdr:from>
    <xdr:to>
      <xdr:col>60</xdr:col>
      <xdr:colOff>11206</xdr:colOff>
      <xdr:row>292</xdr:row>
      <xdr:rowOff>22411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446A013C-D2CD-45EE-B24F-D740A0662EC3}"/>
            </a:ext>
          </a:extLst>
        </xdr:cNvPr>
        <xdr:cNvCxnSpPr/>
      </xdr:nvCxnSpPr>
      <xdr:spPr>
        <a:xfrm>
          <a:off x="44553468" y="42905642"/>
          <a:ext cx="1806388" cy="2274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305</xdr:row>
      <xdr:rowOff>0</xdr:rowOff>
    </xdr:from>
    <xdr:to>
      <xdr:col>51</xdr:col>
      <xdr:colOff>33616</xdr:colOff>
      <xdr:row>310</xdr:row>
      <xdr:rowOff>179294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14BA3D9C-8AE1-425F-AE45-966044B84609}"/>
            </a:ext>
          </a:extLst>
        </xdr:cNvPr>
        <xdr:cNvCxnSpPr/>
      </xdr:nvCxnSpPr>
      <xdr:spPr>
        <a:xfrm flipV="1">
          <a:off x="39067067" y="48206025"/>
          <a:ext cx="1828799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305</xdr:row>
      <xdr:rowOff>33617</xdr:rowOff>
    </xdr:from>
    <xdr:to>
      <xdr:col>51</xdr:col>
      <xdr:colOff>11206</xdr:colOff>
      <xdr:row>311</xdr:row>
      <xdr:rowOff>22411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B38CF1AA-1BFC-4CEB-96D7-3FC4ACB74EF8}"/>
            </a:ext>
          </a:extLst>
        </xdr:cNvPr>
        <xdr:cNvCxnSpPr/>
      </xdr:nvCxnSpPr>
      <xdr:spPr>
        <a:xfrm>
          <a:off x="39067068" y="48239642"/>
          <a:ext cx="1806388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305</xdr:row>
      <xdr:rowOff>0</xdr:rowOff>
    </xdr:from>
    <xdr:to>
      <xdr:col>60</xdr:col>
      <xdr:colOff>33616</xdr:colOff>
      <xdr:row>310</xdr:row>
      <xdr:rowOff>179294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3B07730D-0115-4B9F-88FA-8C650F87E7D5}"/>
            </a:ext>
          </a:extLst>
        </xdr:cNvPr>
        <xdr:cNvCxnSpPr/>
      </xdr:nvCxnSpPr>
      <xdr:spPr>
        <a:xfrm flipV="1">
          <a:off x="44553467" y="48206025"/>
          <a:ext cx="1828799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305</xdr:row>
      <xdr:rowOff>33617</xdr:rowOff>
    </xdr:from>
    <xdr:to>
      <xdr:col>60</xdr:col>
      <xdr:colOff>11206</xdr:colOff>
      <xdr:row>311</xdr:row>
      <xdr:rowOff>22411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A66EAD4F-31C8-4AA3-8041-5AF66DF80BA8}"/>
            </a:ext>
          </a:extLst>
        </xdr:cNvPr>
        <xdr:cNvCxnSpPr/>
      </xdr:nvCxnSpPr>
      <xdr:spPr>
        <a:xfrm>
          <a:off x="44553468" y="48239642"/>
          <a:ext cx="1806388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325</xdr:row>
      <xdr:rowOff>0</xdr:rowOff>
    </xdr:from>
    <xdr:to>
      <xdr:col>51</xdr:col>
      <xdr:colOff>33616</xdr:colOff>
      <xdr:row>335</xdr:row>
      <xdr:rowOff>179294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CB5F8385-66B9-497D-986E-E753960583DD}"/>
            </a:ext>
          </a:extLst>
        </xdr:cNvPr>
        <xdr:cNvCxnSpPr/>
      </xdr:nvCxnSpPr>
      <xdr:spPr>
        <a:xfrm flipV="1">
          <a:off x="39067067" y="52778025"/>
          <a:ext cx="1828799" cy="560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325</xdr:row>
      <xdr:rowOff>0</xdr:rowOff>
    </xdr:from>
    <xdr:to>
      <xdr:col>51</xdr:col>
      <xdr:colOff>11206</xdr:colOff>
      <xdr:row>336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3FBB0E6C-997A-463C-BD9F-7D7809B8DA2A}"/>
            </a:ext>
          </a:extLst>
        </xdr:cNvPr>
        <xdr:cNvCxnSpPr/>
      </xdr:nvCxnSpPr>
      <xdr:spPr>
        <a:xfrm>
          <a:off x="39067068" y="52778025"/>
          <a:ext cx="1806388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325</xdr:row>
      <xdr:rowOff>0</xdr:rowOff>
    </xdr:from>
    <xdr:to>
      <xdr:col>60</xdr:col>
      <xdr:colOff>33616</xdr:colOff>
      <xdr:row>335</xdr:row>
      <xdr:rowOff>179294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5A32B4B8-BE08-428A-80E2-109FEB430629}"/>
            </a:ext>
          </a:extLst>
        </xdr:cNvPr>
        <xdr:cNvCxnSpPr/>
      </xdr:nvCxnSpPr>
      <xdr:spPr>
        <a:xfrm flipV="1">
          <a:off x="44553467" y="52778025"/>
          <a:ext cx="1828799" cy="560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325</xdr:row>
      <xdr:rowOff>0</xdr:rowOff>
    </xdr:from>
    <xdr:to>
      <xdr:col>60</xdr:col>
      <xdr:colOff>11206</xdr:colOff>
      <xdr:row>336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61432D5A-5BDF-4221-BD31-6B74F57D3576}"/>
            </a:ext>
          </a:extLst>
        </xdr:cNvPr>
        <xdr:cNvCxnSpPr/>
      </xdr:nvCxnSpPr>
      <xdr:spPr>
        <a:xfrm>
          <a:off x="44553468" y="52778025"/>
          <a:ext cx="1806388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346</xdr:row>
      <xdr:rowOff>0</xdr:rowOff>
    </xdr:from>
    <xdr:to>
      <xdr:col>51</xdr:col>
      <xdr:colOff>33616</xdr:colOff>
      <xdr:row>351</xdr:row>
      <xdr:rowOff>179294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594BAEB1-F858-4351-864B-88DC84740BFD}"/>
            </a:ext>
          </a:extLst>
        </xdr:cNvPr>
        <xdr:cNvCxnSpPr/>
      </xdr:nvCxnSpPr>
      <xdr:spPr>
        <a:xfrm flipV="1">
          <a:off x="39067067" y="55635525"/>
          <a:ext cx="1828799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346</xdr:row>
      <xdr:rowOff>33617</xdr:rowOff>
    </xdr:from>
    <xdr:to>
      <xdr:col>51</xdr:col>
      <xdr:colOff>11206</xdr:colOff>
      <xdr:row>352</xdr:row>
      <xdr:rowOff>22411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A925C8A3-C13C-4DE6-BF9A-5A19F12DAD19}"/>
            </a:ext>
          </a:extLst>
        </xdr:cNvPr>
        <xdr:cNvCxnSpPr/>
      </xdr:nvCxnSpPr>
      <xdr:spPr>
        <a:xfrm>
          <a:off x="39067068" y="55669142"/>
          <a:ext cx="1806388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346</xdr:row>
      <xdr:rowOff>0</xdr:rowOff>
    </xdr:from>
    <xdr:to>
      <xdr:col>60</xdr:col>
      <xdr:colOff>33616</xdr:colOff>
      <xdr:row>351</xdr:row>
      <xdr:rowOff>179294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F9DEE891-D5C8-4520-9844-FC2761CEF642}"/>
            </a:ext>
          </a:extLst>
        </xdr:cNvPr>
        <xdr:cNvCxnSpPr/>
      </xdr:nvCxnSpPr>
      <xdr:spPr>
        <a:xfrm flipV="1">
          <a:off x="44553467" y="55635525"/>
          <a:ext cx="1828799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346</xdr:row>
      <xdr:rowOff>33617</xdr:rowOff>
    </xdr:from>
    <xdr:to>
      <xdr:col>60</xdr:col>
      <xdr:colOff>11206</xdr:colOff>
      <xdr:row>352</xdr:row>
      <xdr:rowOff>22411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159B7CE2-8C2D-46D0-B8D8-A07F55BA534F}"/>
            </a:ext>
          </a:extLst>
        </xdr:cNvPr>
        <xdr:cNvCxnSpPr/>
      </xdr:nvCxnSpPr>
      <xdr:spPr>
        <a:xfrm>
          <a:off x="44553468" y="55669142"/>
          <a:ext cx="1806388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257175</xdr:colOff>
      <xdr:row>271</xdr:row>
      <xdr:rowOff>171450</xdr:rowOff>
    </xdr:from>
    <xdr:to>
      <xdr:col>70</xdr:col>
      <xdr:colOff>447675</xdr:colOff>
      <xdr:row>273</xdr:row>
      <xdr:rowOff>38100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791D7EA2-8C52-4CB6-9394-DFEFDDA426D4}"/>
            </a:ext>
          </a:extLst>
        </xdr:cNvPr>
        <xdr:cNvCxnSpPr/>
      </xdr:nvCxnSpPr>
      <xdr:spPr>
        <a:xfrm>
          <a:off x="49653825" y="39785925"/>
          <a:ext cx="32385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447675</xdr:colOff>
      <xdr:row>273</xdr:row>
      <xdr:rowOff>19051</xdr:rowOff>
    </xdr:from>
    <xdr:to>
      <xdr:col>70</xdr:col>
      <xdr:colOff>447676</xdr:colOff>
      <xdr:row>274</xdr:row>
      <xdr:rowOff>66675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1C6C024D-811C-4869-A131-614AF8680B91}"/>
            </a:ext>
          </a:extLst>
        </xdr:cNvPr>
        <xdr:cNvCxnSpPr/>
      </xdr:nvCxnSpPr>
      <xdr:spPr>
        <a:xfrm flipV="1">
          <a:off x="52892325" y="40024051"/>
          <a:ext cx="1" cy="2476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333375</xdr:colOff>
      <xdr:row>274</xdr:row>
      <xdr:rowOff>76200</xdr:rowOff>
    </xdr:from>
    <xdr:to>
      <xdr:col>70</xdr:col>
      <xdr:colOff>457200</xdr:colOff>
      <xdr:row>275</xdr:row>
      <xdr:rowOff>104775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1600C2F2-1FB2-4889-AE2B-F7B0C03FBE85}"/>
            </a:ext>
          </a:extLst>
        </xdr:cNvPr>
        <xdr:cNvCxnSpPr/>
      </xdr:nvCxnSpPr>
      <xdr:spPr>
        <a:xfrm flipV="1">
          <a:off x="49730025" y="40281225"/>
          <a:ext cx="317182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19050</xdr:colOff>
      <xdr:row>271</xdr:row>
      <xdr:rowOff>161925</xdr:rowOff>
    </xdr:from>
    <xdr:to>
      <xdr:col>65</xdr:col>
      <xdr:colOff>228600</xdr:colOff>
      <xdr:row>271</xdr:row>
      <xdr:rowOff>161925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9FAFB2E5-F4C9-4A5C-865D-9EC8CF2DCD07}"/>
            </a:ext>
          </a:extLst>
        </xdr:cNvPr>
        <xdr:cNvCxnSpPr/>
      </xdr:nvCxnSpPr>
      <xdr:spPr>
        <a:xfrm>
          <a:off x="48806100" y="39776400"/>
          <a:ext cx="819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66675</xdr:colOff>
      <xdr:row>275</xdr:row>
      <xdr:rowOff>104775</xdr:rowOff>
    </xdr:from>
    <xdr:to>
      <xdr:col>65</xdr:col>
      <xdr:colOff>371475</xdr:colOff>
      <xdr:row>275</xdr:row>
      <xdr:rowOff>104775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82D5CFCB-E8F0-4984-9B01-97C9A6CAD883}"/>
            </a:ext>
          </a:extLst>
        </xdr:cNvPr>
        <xdr:cNvCxnSpPr/>
      </xdr:nvCxnSpPr>
      <xdr:spPr>
        <a:xfrm>
          <a:off x="48853725" y="40500300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38099</xdr:colOff>
      <xdr:row>271</xdr:row>
      <xdr:rowOff>152401</xdr:rowOff>
    </xdr:from>
    <xdr:to>
      <xdr:col>64</xdr:col>
      <xdr:colOff>47625</xdr:colOff>
      <xdr:row>275</xdr:row>
      <xdr:rowOff>104775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9B39BF9C-84E7-4114-A1E0-41F6223F9685}"/>
            </a:ext>
          </a:extLst>
        </xdr:cNvPr>
        <xdr:cNvCxnSpPr/>
      </xdr:nvCxnSpPr>
      <xdr:spPr>
        <a:xfrm flipH="1" flipV="1">
          <a:off x="48825149" y="39766876"/>
          <a:ext cx="9526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76200</xdr:colOff>
      <xdr:row>277</xdr:row>
      <xdr:rowOff>142875</xdr:rowOff>
    </xdr:from>
    <xdr:to>
      <xdr:col>70</xdr:col>
      <xdr:colOff>409575</xdr:colOff>
      <xdr:row>277</xdr:row>
      <xdr:rowOff>171450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B0CCF71B-0910-4C5B-AB53-BD91C0A8D4CD}"/>
            </a:ext>
          </a:extLst>
        </xdr:cNvPr>
        <xdr:cNvCxnSpPr/>
      </xdr:nvCxnSpPr>
      <xdr:spPr>
        <a:xfrm flipV="1">
          <a:off x="48863250" y="40919400"/>
          <a:ext cx="399097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123825</xdr:colOff>
      <xdr:row>278</xdr:row>
      <xdr:rowOff>142875</xdr:rowOff>
    </xdr:from>
    <xdr:to>
      <xdr:col>70</xdr:col>
      <xdr:colOff>438150</xdr:colOff>
      <xdr:row>278</xdr:row>
      <xdr:rowOff>180976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3CD855C9-6FDE-4CED-8F73-81396B464739}"/>
            </a:ext>
          </a:extLst>
        </xdr:cNvPr>
        <xdr:cNvCxnSpPr/>
      </xdr:nvCxnSpPr>
      <xdr:spPr>
        <a:xfrm flipV="1">
          <a:off x="48910875" y="41109900"/>
          <a:ext cx="3971925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66675</xdr:colOff>
      <xdr:row>278</xdr:row>
      <xdr:rowOff>0</xdr:rowOff>
    </xdr:from>
    <xdr:to>
      <xdr:col>64</xdr:col>
      <xdr:colOff>66675</xdr:colOff>
      <xdr:row>278</xdr:row>
      <xdr:rowOff>171450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8C0F77FB-08D7-4836-A4EF-5895B67B7933}"/>
            </a:ext>
          </a:extLst>
        </xdr:cNvPr>
        <xdr:cNvCxnSpPr/>
      </xdr:nvCxnSpPr>
      <xdr:spPr>
        <a:xfrm>
          <a:off x="48853725" y="40967025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428624</xdr:colOff>
      <xdr:row>277</xdr:row>
      <xdr:rowOff>161925</xdr:rowOff>
    </xdr:from>
    <xdr:to>
      <xdr:col>70</xdr:col>
      <xdr:colOff>428625</xdr:colOff>
      <xdr:row>278</xdr:row>
      <xdr:rowOff>123825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E1370FE8-E2B8-478C-9FB7-916AE899D876}"/>
            </a:ext>
          </a:extLst>
        </xdr:cNvPr>
        <xdr:cNvCxnSpPr/>
      </xdr:nvCxnSpPr>
      <xdr:spPr>
        <a:xfrm flipH="1" flipV="1">
          <a:off x="52873274" y="40938450"/>
          <a:ext cx="1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68036</xdr:colOff>
      <xdr:row>288</xdr:row>
      <xdr:rowOff>27214</xdr:rowOff>
    </xdr:from>
    <xdr:to>
      <xdr:col>66</xdr:col>
      <xdr:colOff>68036</xdr:colOff>
      <xdr:row>299</xdr:row>
      <xdr:rowOff>40822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30115198-0F6F-4157-8B02-BA92C5EAD177}"/>
            </a:ext>
          </a:extLst>
        </xdr:cNvPr>
        <xdr:cNvCxnSpPr>
          <a:endCxn id="45" idx="2"/>
        </xdr:cNvCxnSpPr>
      </xdr:nvCxnSpPr>
      <xdr:spPr>
        <a:xfrm flipV="1">
          <a:off x="50074286" y="43280239"/>
          <a:ext cx="0" cy="3442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244928</xdr:colOff>
      <xdr:row>288</xdr:row>
      <xdr:rowOff>27214</xdr:rowOff>
    </xdr:from>
    <xdr:to>
      <xdr:col>67</xdr:col>
      <xdr:colOff>244928</xdr:colOff>
      <xdr:row>298</xdr:row>
      <xdr:rowOff>163286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E6A44128-564B-477C-8FBE-3333CA80BBD0}"/>
            </a:ext>
          </a:extLst>
        </xdr:cNvPr>
        <xdr:cNvCxnSpPr>
          <a:endCxn id="45" idx="6"/>
        </xdr:cNvCxnSpPr>
      </xdr:nvCxnSpPr>
      <xdr:spPr>
        <a:xfrm flipV="1">
          <a:off x="50860778" y="43280239"/>
          <a:ext cx="0" cy="3374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68036</xdr:colOff>
      <xdr:row>287</xdr:row>
      <xdr:rowOff>54428</xdr:rowOff>
    </xdr:from>
    <xdr:to>
      <xdr:col>67</xdr:col>
      <xdr:colOff>244928</xdr:colOff>
      <xdr:row>289</xdr:row>
      <xdr:rowOff>0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B7D7A4DD-31B1-4EC5-BE1F-92CBCE046FE1}"/>
            </a:ext>
          </a:extLst>
        </xdr:cNvPr>
        <xdr:cNvSpPr/>
      </xdr:nvSpPr>
      <xdr:spPr>
        <a:xfrm>
          <a:off x="50074286" y="43116953"/>
          <a:ext cx="786492" cy="32657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66</xdr:col>
      <xdr:colOff>79825</xdr:colOff>
      <xdr:row>298</xdr:row>
      <xdr:rowOff>160807</xdr:rowOff>
    </xdr:from>
    <xdr:to>
      <xdr:col>67</xdr:col>
      <xdr:colOff>250272</xdr:colOff>
      <xdr:row>299</xdr:row>
      <xdr:rowOff>146539</xdr:rowOff>
    </xdr:to>
    <xdr:sp macro="" textlink="">
      <xdr:nvSpPr>
        <xdr:cNvPr id="46" name="Freeform: Shape 45">
          <a:extLst>
            <a:ext uri="{FF2B5EF4-FFF2-40B4-BE49-F238E27FC236}">
              <a16:creationId xmlns:a16="http://schemas.microsoft.com/office/drawing/2014/main" id="{9D41784F-F185-4ACD-9997-272C4A2C1657}"/>
            </a:ext>
          </a:extLst>
        </xdr:cNvPr>
        <xdr:cNvSpPr/>
      </xdr:nvSpPr>
      <xdr:spPr>
        <a:xfrm>
          <a:off x="50086075" y="46652332"/>
          <a:ext cx="780047" cy="176232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266</xdr:row>
      <xdr:rowOff>9525</xdr:rowOff>
    </xdr:from>
    <xdr:to>
      <xdr:col>29</xdr:col>
      <xdr:colOff>0</xdr:colOff>
      <xdr:row>270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7869EDF-AEE9-40E4-97DD-224688AE96C7}"/>
            </a:ext>
          </a:extLst>
        </xdr:cNvPr>
        <xdr:cNvCxnSpPr/>
      </xdr:nvCxnSpPr>
      <xdr:spPr>
        <a:xfrm>
          <a:off x="26117550" y="37899975"/>
          <a:ext cx="133350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266</xdr:row>
      <xdr:rowOff>9525</xdr:rowOff>
    </xdr:from>
    <xdr:to>
      <xdr:col>27</xdr:col>
      <xdr:colOff>238125</xdr:colOff>
      <xdr:row>270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6E472BF-ACF5-4158-A57D-8444DA07A2F8}"/>
            </a:ext>
          </a:extLst>
        </xdr:cNvPr>
        <xdr:cNvCxnSpPr/>
      </xdr:nvCxnSpPr>
      <xdr:spPr>
        <a:xfrm flipV="1">
          <a:off x="25012650" y="37899975"/>
          <a:ext cx="1095375" cy="1162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270</xdr:row>
      <xdr:rowOff>47625</xdr:rowOff>
    </xdr:from>
    <xdr:to>
      <xdr:col>29</xdr:col>
      <xdr:colOff>0</xdr:colOff>
      <xdr:row>270</xdr:row>
      <xdr:rowOff>57151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E4C7AFF-9C16-4875-A758-89042322D831}"/>
            </a:ext>
          </a:extLst>
        </xdr:cNvPr>
        <xdr:cNvCxnSpPr/>
      </xdr:nvCxnSpPr>
      <xdr:spPr>
        <a:xfrm flipH="1" flipV="1">
          <a:off x="25003125" y="39090600"/>
          <a:ext cx="24479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267</xdr:row>
      <xdr:rowOff>57150</xdr:rowOff>
    </xdr:from>
    <xdr:to>
      <xdr:col>35</xdr:col>
      <xdr:colOff>47625</xdr:colOff>
      <xdr:row>271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3F3A7110-4DD9-4952-AB1E-33E65CE14418}"/>
            </a:ext>
          </a:extLst>
        </xdr:cNvPr>
        <xdr:cNvSpPr/>
      </xdr:nvSpPr>
      <xdr:spPr>
        <a:xfrm flipH="1">
          <a:off x="30108525" y="38528625"/>
          <a:ext cx="10477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267</xdr:row>
      <xdr:rowOff>66675</xdr:rowOff>
    </xdr:from>
    <xdr:to>
      <xdr:col>36</xdr:col>
      <xdr:colOff>108136</xdr:colOff>
      <xdr:row>271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221BE949-7AD7-4AB1-890D-BF1425687AE8}"/>
            </a:ext>
          </a:extLst>
        </xdr:cNvPr>
        <xdr:cNvSpPr/>
      </xdr:nvSpPr>
      <xdr:spPr>
        <a:xfrm>
          <a:off x="31169161" y="385381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267</xdr:row>
      <xdr:rowOff>66675</xdr:rowOff>
    </xdr:from>
    <xdr:to>
      <xdr:col>39</xdr:col>
      <xdr:colOff>257175</xdr:colOff>
      <xdr:row>271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BED54E30-72BA-42BA-A766-A2158A0AAC88}"/>
            </a:ext>
          </a:extLst>
        </xdr:cNvPr>
        <xdr:cNvSpPr/>
      </xdr:nvSpPr>
      <xdr:spPr>
        <a:xfrm>
          <a:off x="32480250" y="3853815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267</xdr:row>
      <xdr:rowOff>66675</xdr:rowOff>
    </xdr:from>
    <xdr:to>
      <xdr:col>37</xdr:col>
      <xdr:colOff>142875</xdr:colOff>
      <xdr:row>271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56B6AD30-096B-44CF-B543-BE8F48444EB1}"/>
            </a:ext>
          </a:extLst>
        </xdr:cNvPr>
        <xdr:cNvSpPr/>
      </xdr:nvSpPr>
      <xdr:spPr>
        <a:xfrm flipH="1">
          <a:off x="31813500" y="3853815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290</xdr:row>
      <xdr:rowOff>0</xdr:rowOff>
    </xdr:from>
    <xdr:to>
      <xdr:col>29</xdr:col>
      <xdr:colOff>9525</xdr:colOff>
      <xdr:row>294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5816F3D-BE6B-4178-B52D-9E1EA5B62DF3}"/>
            </a:ext>
          </a:extLst>
        </xdr:cNvPr>
        <xdr:cNvCxnSpPr/>
      </xdr:nvCxnSpPr>
      <xdr:spPr>
        <a:xfrm>
          <a:off x="25012650" y="43253025"/>
          <a:ext cx="2447925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290</xdr:row>
      <xdr:rowOff>0</xdr:rowOff>
    </xdr:from>
    <xdr:to>
      <xdr:col>29</xdr:col>
      <xdr:colOff>28575</xdr:colOff>
      <xdr:row>294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E3BB6036-AA0E-4B5B-95BF-A893A7C18097}"/>
            </a:ext>
          </a:extLst>
        </xdr:cNvPr>
        <xdr:cNvCxnSpPr/>
      </xdr:nvCxnSpPr>
      <xdr:spPr>
        <a:xfrm flipV="1">
          <a:off x="25012650" y="43253025"/>
          <a:ext cx="2466975" cy="192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294</xdr:row>
      <xdr:rowOff>57151</xdr:rowOff>
    </xdr:from>
    <xdr:to>
      <xdr:col>29</xdr:col>
      <xdr:colOff>0</xdr:colOff>
      <xdr:row>294</xdr:row>
      <xdr:rowOff>77932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3D057C37-EC9F-45CA-A4CE-CE971FEDBEA7}"/>
            </a:ext>
          </a:extLst>
        </xdr:cNvPr>
        <xdr:cNvCxnSpPr/>
      </xdr:nvCxnSpPr>
      <xdr:spPr>
        <a:xfrm flipH="1">
          <a:off x="31164068" y="59571083"/>
          <a:ext cx="2389909" cy="207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371475</xdr:colOff>
      <xdr:row>301</xdr:row>
      <xdr:rowOff>95250</xdr:rowOff>
    </xdr:from>
    <xdr:to>
      <xdr:col>38</xdr:col>
      <xdr:colOff>533400</xdr:colOff>
      <xdr:row>301</xdr:row>
      <xdr:rowOff>95250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A5556328-D328-4169-A2AF-801251C6E7D8}"/>
            </a:ext>
          </a:extLst>
        </xdr:cNvPr>
        <xdr:cNvCxnSpPr/>
      </xdr:nvCxnSpPr>
      <xdr:spPr>
        <a:xfrm>
          <a:off x="31480125" y="46777275"/>
          <a:ext cx="1990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270</xdr:row>
      <xdr:rowOff>22411</xdr:rowOff>
    </xdr:from>
    <xdr:to>
      <xdr:col>51</xdr:col>
      <xdr:colOff>0</xdr:colOff>
      <xdr:row>276</xdr:row>
      <xdr:rowOff>11205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77D7EBFB-A0FD-4267-B375-B5309B278DC6}"/>
            </a:ext>
          </a:extLst>
        </xdr:cNvPr>
        <xdr:cNvCxnSpPr/>
      </xdr:nvCxnSpPr>
      <xdr:spPr>
        <a:xfrm flipV="1">
          <a:off x="39033450" y="39065386"/>
          <a:ext cx="1828800" cy="11508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593912</xdr:colOff>
      <xdr:row>270</xdr:row>
      <xdr:rowOff>0</xdr:rowOff>
    </xdr:from>
    <xdr:to>
      <xdr:col>51</xdr:col>
      <xdr:colOff>11206</xdr:colOff>
      <xdr:row>276</xdr:row>
      <xdr:rowOff>22411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8CA0D1BF-528E-4803-8434-C6C894567AA1}"/>
            </a:ext>
          </a:extLst>
        </xdr:cNvPr>
        <xdr:cNvCxnSpPr/>
      </xdr:nvCxnSpPr>
      <xdr:spPr>
        <a:xfrm>
          <a:off x="39017762" y="39042975"/>
          <a:ext cx="1855694" cy="11844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270</xdr:row>
      <xdr:rowOff>0</xdr:rowOff>
    </xdr:from>
    <xdr:to>
      <xdr:col>60</xdr:col>
      <xdr:colOff>33616</xdr:colOff>
      <xdr:row>275</xdr:row>
      <xdr:rowOff>179294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386C1154-DCDA-4D0B-8C0E-5C6BD7D20B7D}"/>
            </a:ext>
          </a:extLst>
        </xdr:cNvPr>
        <xdr:cNvCxnSpPr/>
      </xdr:nvCxnSpPr>
      <xdr:spPr>
        <a:xfrm flipV="1">
          <a:off x="44553467" y="39042975"/>
          <a:ext cx="1828799" cy="114131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270</xdr:row>
      <xdr:rowOff>33617</xdr:rowOff>
    </xdr:from>
    <xdr:to>
      <xdr:col>60</xdr:col>
      <xdr:colOff>11206</xdr:colOff>
      <xdr:row>276</xdr:row>
      <xdr:rowOff>22411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6E65CE91-F176-4F23-998B-52F1598B1FAA}"/>
            </a:ext>
          </a:extLst>
        </xdr:cNvPr>
        <xdr:cNvCxnSpPr/>
      </xdr:nvCxnSpPr>
      <xdr:spPr>
        <a:xfrm>
          <a:off x="44553468" y="39076592"/>
          <a:ext cx="1806388" cy="11508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288</xdr:row>
      <xdr:rowOff>0</xdr:rowOff>
    </xdr:from>
    <xdr:to>
      <xdr:col>51</xdr:col>
      <xdr:colOff>33616</xdr:colOff>
      <xdr:row>293</xdr:row>
      <xdr:rowOff>179294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8A0801E-7541-4B8C-B180-41063C332CBC}"/>
            </a:ext>
          </a:extLst>
        </xdr:cNvPr>
        <xdr:cNvCxnSpPr/>
      </xdr:nvCxnSpPr>
      <xdr:spPr>
        <a:xfrm flipV="1">
          <a:off x="39067067" y="42872025"/>
          <a:ext cx="1828799" cy="2274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288</xdr:row>
      <xdr:rowOff>33617</xdr:rowOff>
    </xdr:from>
    <xdr:to>
      <xdr:col>51</xdr:col>
      <xdr:colOff>11206</xdr:colOff>
      <xdr:row>294</xdr:row>
      <xdr:rowOff>22411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6A1AD90-A416-4DF7-A051-11CA633B5206}"/>
            </a:ext>
          </a:extLst>
        </xdr:cNvPr>
        <xdr:cNvCxnSpPr/>
      </xdr:nvCxnSpPr>
      <xdr:spPr>
        <a:xfrm>
          <a:off x="39067068" y="42905642"/>
          <a:ext cx="1806388" cy="2274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288</xdr:row>
      <xdr:rowOff>0</xdr:rowOff>
    </xdr:from>
    <xdr:to>
      <xdr:col>60</xdr:col>
      <xdr:colOff>33616</xdr:colOff>
      <xdr:row>293</xdr:row>
      <xdr:rowOff>179294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CAFED38E-76CB-4CE7-A301-12E80AF2EE64}"/>
            </a:ext>
          </a:extLst>
        </xdr:cNvPr>
        <xdr:cNvCxnSpPr/>
      </xdr:nvCxnSpPr>
      <xdr:spPr>
        <a:xfrm flipV="1">
          <a:off x="44553467" y="42872025"/>
          <a:ext cx="1828799" cy="2274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288</xdr:row>
      <xdr:rowOff>33617</xdr:rowOff>
    </xdr:from>
    <xdr:to>
      <xdr:col>60</xdr:col>
      <xdr:colOff>11206</xdr:colOff>
      <xdr:row>294</xdr:row>
      <xdr:rowOff>22411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97E06DBA-F0DC-4340-AD8D-8E6849B931B3}"/>
            </a:ext>
          </a:extLst>
        </xdr:cNvPr>
        <xdr:cNvCxnSpPr/>
      </xdr:nvCxnSpPr>
      <xdr:spPr>
        <a:xfrm>
          <a:off x="44553468" y="42905642"/>
          <a:ext cx="1806388" cy="2274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307</xdr:row>
      <xdr:rowOff>0</xdr:rowOff>
    </xdr:from>
    <xdr:to>
      <xdr:col>51</xdr:col>
      <xdr:colOff>33616</xdr:colOff>
      <xdr:row>312</xdr:row>
      <xdr:rowOff>179294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488C37E5-75BE-45C7-BDB4-B3EA231CECE8}"/>
            </a:ext>
          </a:extLst>
        </xdr:cNvPr>
        <xdr:cNvCxnSpPr/>
      </xdr:nvCxnSpPr>
      <xdr:spPr>
        <a:xfrm flipV="1">
          <a:off x="39067067" y="48206025"/>
          <a:ext cx="1828799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307</xdr:row>
      <xdr:rowOff>33617</xdr:rowOff>
    </xdr:from>
    <xdr:to>
      <xdr:col>51</xdr:col>
      <xdr:colOff>11206</xdr:colOff>
      <xdr:row>313</xdr:row>
      <xdr:rowOff>22411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4F23353A-F83E-4F1C-B8AA-BE2CFFEC6884}"/>
            </a:ext>
          </a:extLst>
        </xdr:cNvPr>
        <xdr:cNvCxnSpPr/>
      </xdr:nvCxnSpPr>
      <xdr:spPr>
        <a:xfrm>
          <a:off x="39067068" y="48239642"/>
          <a:ext cx="1806388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307</xdr:row>
      <xdr:rowOff>0</xdr:rowOff>
    </xdr:from>
    <xdr:to>
      <xdr:col>60</xdr:col>
      <xdr:colOff>33616</xdr:colOff>
      <xdr:row>312</xdr:row>
      <xdr:rowOff>179294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4174BD66-080F-435C-99C6-455BE298A4A7}"/>
            </a:ext>
          </a:extLst>
        </xdr:cNvPr>
        <xdr:cNvCxnSpPr/>
      </xdr:nvCxnSpPr>
      <xdr:spPr>
        <a:xfrm flipV="1">
          <a:off x="44553467" y="48206025"/>
          <a:ext cx="1828799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307</xdr:row>
      <xdr:rowOff>33617</xdr:rowOff>
    </xdr:from>
    <xdr:to>
      <xdr:col>60</xdr:col>
      <xdr:colOff>11206</xdr:colOff>
      <xdr:row>313</xdr:row>
      <xdr:rowOff>22411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AF1D3D34-690A-4C8B-B87E-9D280EE98472}"/>
            </a:ext>
          </a:extLst>
        </xdr:cNvPr>
        <xdr:cNvCxnSpPr/>
      </xdr:nvCxnSpPr>
      <xdr:spPr>
        <a:xfrm>
          <a:off x="44553468" y="48239642"/>
          <a:ext cx="1806388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338</xdr:row>
      <xdr:rowOff>0</xdr:rowOff>
    </xdr:from>
    <xdr:to>
      <xdr:col>51</xdr:col>
      <xdr:colOff>33616</xdr:colOff>
      <xdr:row>339</xdr:row>
      <xdr:rowOff>179294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2D2D9D87-2C08-4E92-9241-69793F14579C}"/>
            </a:ext>
          </a:extLst>
        </xdr:cNvPr>
        <xdr:cNvCxnSpPr/>
      </xdr:nvCxnSpPr>
      <xdr:spPr>
        <a:xfrm flipV="1">
          <a:off x="39067067" y="52778025"/>
          <a:ext cx="1828799" cy="560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338</xdr:row>
      <xdr:rowOff>0</xdr:rowOff>
    </xdr:from>
    <xdr:to>
      <xdr:col>51</xdr:col>
      <xdr:colOff>11206</xdr:colOff>
      <xdr:row>340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3D107682-889F-40CD-AD33-0E1795144784}"/>
            </a:ext>
          </a:extLst>
        </xdr:cNvPr>
        <xdr:cNvCxnSpPr/>
      </xdr:nvCxnSpPr>
      <xdr:spPr>
        <a:xfrm>
          <a:off x="39067068" y="52778025"/>
          <a:ext cx="1806388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338</xdr:row>
      <xdr:rowOff>0</xdr:rowOff>
    </xdr:from>
    <xdr:to>
      <xdr:col>60</xdr:col>
      <xdr:colOff>33616</xdr:colOff>
      <xdr:row>339</xdr:row>
      <xdr:rowOff>179294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1B9A1B19-5D8D-4015-83CF-AFCC04DEF65E}"/>
            </a:ext>
          </a:extLst>
        </xdr:cNvPr>
        <xdr:cNvCxnSpPr/>
      </xdr:nvCxnSpPr>
      <xdr:spPr>
        <a:xfrm flipV="1">
          <a:off x="44553467" y="52778025"/>
          <a:ext cx="1828799" cy="560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338</xdr:row>
      <xdr:rowOff>0</xdr:rowOff>
    </xdr:from>
    <xdr:to>
      <xdr:col>60</xdr:col>
      <xdr:colOff>11206</xdr:colOff>
      <xdr:row>340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1C0A0351-71AF-4BC3-8E8C-21A7240A9B85}"/>
            </a:ext>
          </a:extLst>
        </xdr:cNvPr>
        <xdr:cNvCxnSpPr/>
      </xdr:nvCxnSpPr>
      <xdr:spPr>
        <a:xfrm>
          <a:off x="44553468" y="52778025"/>
          <a:ext cx="1806388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33617</xdr:colOff>
      <xdr:row>350</xdr:row>
      <xdr:rowOff>0</xdr:rowOff>
    </xdr:from>
    <xdr:to>
      <xdr:col>51</xdr:col>
      <xdr:colOff>33616</xdr:colOff>
      <xdr:row>355</xdr:row>
      <xdr:rowOff>179294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9490450C-45E0-44E2-87B7-F5EBEBDE1F4B}"/>
            </a:ext>
          </a:extLst>
        </xdr:cNvPr>
        <xdr:cNvCxnSpPr/>
      </xdr:nvCxnSpPr>
      <xdr:spPr>
        <a:xfrm flipV="1">
          <a:off x="39067067" y="55635525"/>
          <a:ext cx="1828799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33618</xdr:colOff>
      <xdr:row>350</xdr:row>
      <xdr:rowOff>33617</xdr:rowOff>
    </xdr:from>
    <xdr:to>
      <xdr:col>51</xdr:col>
      <xdr:colOff>11206</xdr:colOff>
      <xdr:row>356</xdr:row>
      <xdr:rowOff>22411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85DFB681-5F0F-4379-83DA-9403D4BFAF5C}"/>
            </a:ext>
          </a:extLst>
        </xdr:cNvPr>
        <xdr:cNvCxnSpPr/>
      </xdr:nvCxnSpPr>
      <xdr:spPr>
        <a:xfrm>
          <a:off x="39067068" y="55669142"/>
          <a:ext cx="1806388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33617</xdr:colOff>
      <xdr:row>350</xdr:row>
      <xdr:rowOff>0</xdr:rowOff>
    </xdr:from>
    <xdr:to>
      <xdr:col>60</xdr:col>
      <xdr:colOff>33616</xdr:colOff>
      <xdr:row>355</xdr:row>
      <xdr:rowOff>179294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8EC4129E-9670-4147-A06F-27B6DAEE976D}"/>
            </a:ext>
          </a:extLst>
        </xdr:cNvPr>
        <xdr:cNvCxnSpPr/>
      </xdr:nvCxnSpPr>
      <xdr:spPr>
        <a:xfrm flipV="1">
          <a:off x="44553467" y="55635525"/>
          <a:ext cx="1828799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33618</xdr:colOff>
      <xdr:row>350</xdr:row>
      <xdr:rowOff>33617</xdr:rowOff>
    </xdr:from>
    <xdr:to>
      <xdr:col>60</xdr:col>
      <xdr:colOff>11206</xdr:colOff>
      <xdr:row>356</xdr:row>
      <xdr:rowOff>22411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9E95D0F8-A372-4DA3-8D89-8FDF7100EF1E}"/>
            </a:ext>
          </a:extLst>
        </xdr:cNvPr>
        <xdr:cNvCxnSpPr/>
      </xdr:nvCxnSpPr>
      <xdr:spPr>
        <a:xfrm>
          <a:off x="44553468" y="55669142"/>
          <a:ext cx="1806388" cy="1131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257175</xdr:colOff>
      <xdr:row>273</xdr:row>
      <xdr:rowOff>171450</xdr:rowOff>
    </xdr:from>
    <xdr:to>
      <xdr:col>70</xdr:col>
      <xdr:colOff>447675</xdr:colOff>
      <xdr:row>275</xdr:row>
      <xdr:rowOff>38100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FCF8E414-8CA3-4ED5-9F7A-A2639EDB65B1}"/>
            </a:ext>
          </a:extLst>
        </xdr:cNvPr>
        <xdr:cNvCxnSpPr/>
      </xdr:nvCxnSpPr>
      <xdr:spPr>
        <a:xfrm>
          <a:off x="49653825" y="39785925"/>
          <a:ext cx="32385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447675</xdr:colOff>
      <xdr:row>275</xdr:row>
      <xdr:rowOff>19051</xdr:rowOff>
    </xdr:from>
    <xdr:to>
      <xdr:col>70</xdr:col>
      <xdr:colOff>447676</xdr:colOff>
      <xdr:row>276</xdr:row>
      <xdr:rowOff>66675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E4370AFD-57CE-4ADF-9F93-F7157C34363B}"/>
            </a:ext>
          </a:extLst>
        </xdr:cNvPr>
        <xdr:cNvCxnSpPr/>
      </xdr:nvCxnSpPr>
      <xdr:spPr>
        <a:xfrm flipV="1">
          <a:off x="52892325" y="40024051"/>
          <a:ext cx="1" cy="2476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333375</xdr:colOff>
      <xdr:row>276</xdr:row>
      <xdr:rowOff>76200</xdr:rowOff>
    </xdr:from>
    <xdr:to>
      <xdr:col>70</xdr:col>
      <xdr:colOff>457200</xdr:colOff>
      <xdr:row>277</xdr:row>
      <xdr:rowOff>104775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CD190602-C5CB-4EFC-B5E3-FDABBF5BB00F}"/>
            </a:ext>
          </a:extLst>
        </xdr:cNvPr>
        <xdr:cNvCxnSpPr/>
      </xdr:nvCxnSpPr>
      <xdr:spPr>
        <a:xfrm flipV="1">
          <a:off x="49730025" y="40281225"/>
          <a:ext cx="3171825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19050</xdr:colOff>
      <xdr:row>273</xdr:row>
      <xdr:rowOff>161925</xdr:rowOff>
    </xdr:from>
    <xdr:to>
      <xdr:col>65</xdr:col>
      <xdr:colOff>228600</xdr:colOff>
      <xdr:row>273</xdr:row>
      <xdr:rowOff>161925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163745A-DA17-493B-8203-BFDB055AA334}"/>
            </a:ext>
          </a:extLst>
        </xdr:cNvPr>
        <xdr:cNvCxnSpPr/>
      </xdr:nvCxnSpPr>
      <xdr:spPr>
        <a:xfrm>
          <a:off x="48806100" y="39776400"/>
          <a:ext cx="8191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66675</xdr:colOff>
      <xdr:row>277</xdr:row>
      <xdr:rowOff>104775</xdr:rowOff>
    </xdr:from>
    <xdr:to>
      <xdr:col>65</xdr:col>
      <xdr:colOff>371475</xdr:colOff>
      <xdr:row>277</xdr:row>
      <xdr:rowOff>104775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1052B3DD-D264-463D-BF0E-D795FCD6DA08}"/>
            </a:ext>
          </a:extLst>
        </xdr:cNvPr>
        <xdr:cNvCxnSpPr/>
      </xdr:nvCxnSpPr>
      <xdr:spPr>
        <a:xfrm>
          <a:off x="48853725" y="40500300"/>
          <a:ext cx="9144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38099</xdr:colOff>
      <xdr:row>273</xdr:row>
      <xdr:rowOff>152401</xdr:rowOff>
    </xdr:from>
    <xdr:to>
      <xdr:col>64</xdr:col>
      <xdr:colOff>47625</xdr:colOff>
      <xdr:row>277</xdr:row>
      <xdr:rowOff>104775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82FFF79B-0ACD-4BAE-8F4F-FE346909F966}"/>
            </a:ext>
          </a:extLst>
        </xdr:cNvPr>
        <xdr:cNvCxnSpPr/>
      </xdr:nvCxnSpPr>
      <xdr:spPr>
        <a:xfrm flipH="1" flipV="1">
          <a:off x="48825149" y="39766876"/>
          <a:ext cx="9526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76200</xdr:colOff>
      <xdr:row>279</xdr:row>
      <xdr:rowOff>142875</xdr:rowOff>
    </xdr:from>
    <xdr:to>
      <xdr:col>70</xdr:col>
      <xdr:colOff>409575</xdr:colOff>
      <xdr:row>279</xdr:row>
      <xdr:rowOff>171450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400ABCF8-2515-4679-857E-0CA3AF8D9A5B}"/>
            </a:ext>
          </a:extLst>
        </xdr:cNvPr>
        <xdr:cNvCxnSpPr/>
      </xdr:nvCxnSpPr>
      <xdr:spPr>
        <a:xfrm flipV="1">
          <a:off x="48863250" y="40919400"/>
          <a:ext cx="399097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123825</xdr:colOff>
      <xdr:row>280</xdr:row>
      <xdr:rowOff>142875</xdr:rowOff>
    </xdr:from>
    <xdr:to>
      <xdr:col>70</xdr:col>
      <xdr:colOff>438150</xdr:colOff>
      <xdr:row>280</xdr:row>
      <xdr:rowOff>180976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5282EFB4-B975-41F1-AE52-A1D1D067960E}"/>
            </a:ext>
          </a:extLst>
        </xdr:cNvPr>
        <xdr:cNvCxnSpPr/>
      </xdr:nvCxnSpPr>
      <xdr:spPr>
        <a:xfrm flipV="1">
          <a:off x="48910875" y="41109900"/>
          <a:ext cx="3971925" cy="381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66675</xdr:colOff>
      <xdr:row>280</xdr:row>
      <xdr:rowOff>0</xdr:rowOff>
    </xdr:from>
    <xdr:to>
      <xdr:col>64</xdr:col>
      <xdr:colOff>66675</xdr:colOff>
      <xdr:row>280</xdr:row>
      <xdr:rowOff>171450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40D16EA7-0807-4835-B429-2B38C97B8B87}"/>
            </a:ext>
          </a:extLst>
        </xdr:cNvPr>
        <xdr:cNvCxnSpPr/>
      </xdr:nvCxnSpPr>
      <xdr:spPr>
        <a:xfrm>
          <a:off x="48853725" y="40967025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428624</xdr:colOff>
      <xdr:row>279</xdr:row>
      <xdr:rowOff>161925</xdr:rowOff>
    </xdr:from>
    <xdr:to>
      <xdr:col>70</xdr:col>
      <xdr:colOff>428625</xdr:colOff>
      <xdr:row>280</xdr:row>
      <xdr:rowOff>123825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2944C984-0440-4938-B5CC-6925F749FDE9}"/>
            </a:ext>
          </a:extLst>
        </xdr:cNvPr>
        <xdr:cNvCxnSpPr/>
      </xdr:nvCxnSpPr>
      <xdr:spPr>
        <a:xfrm flipH="1" flipV="1">
          <a:off x="52873274" y="40938450"/>
          <a:ext cx="1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68036</xdr:colOff>
      <xdr:row>290</xdr:row>
      <xdr:rowOff>27214</xdr:rowOff>
    </xdr:from>
    <xdr:to>
      <xdr:col>66</xdr:col>
      <xdr:colOff>68036</xdr:colOff>
      <xdr:row>301</xdr:row>
      <xdr:rowOff>40822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1D8CF85-712B-4BC7-BC7D-FBF12BB274BD}"/>
            </a:ext>
          </a:extLst>
        </xdr:cNvPr>
        <xdr:cNvCxnSpPr>
          <a:endCxn id="45" idx="2"/>
        </xdr:cNvCxnSpPr>
      </xdr:nvCxnSpPr>
      <xdr:spPr>
        <a:xfrm flipV="1">
          <a:off x="50074286" y="43280239"/>
          <a:ext cx="0" cy="3442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244928</xdr:colOff>
      <xdr:row>290</xdr:row>
      <xdr:rowOff>27214</xdr:rowOff>
    </xdr:from>
    <xdr:to>
      <xdr:col>67</xdr:col>
      <xdr:colOff>244928</xdr:colOff>
      <xdr:row>300</xdr:row>
      <xdr:rowOff>163286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BE596C0-9CCE-4455-874F-A55B4FBD4496}"/>
            </a:ext>
          </a:extLst>
        </xdr:cNvPr>
        <xdr:cNvCxnSpPr>
          <a:endCxn id="45" idx="6"/>
        </xdr:cNvCxnSpPr>
      </xdr:nvCxnSpPr>
      <xdr:spPr>
        <a:xfrm flipV="1">
          <a:off x="50860778" y="43280239"/>
          <a:ext cx="0" cy="3374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68036</xdr:colOff>
      <xdr:row>289</xdr:row>
      <xdr:rowOff>54428</xdr:rowOff>
    </xdr:from>
    <xdr:to>
      <xdr:col>67</xdr:col>
      <xdr:colOff>244928</xdr:colOff>
      <xdr:row>291</xdr:row>
      <xdr:rowOff>0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9EB87994-64DD-4A28-B119-13C29FE574E1}"/>
            </a:ext>
          </a:extLst>
        </xdr:cNvPr>
        <xdr:cNvSpPr/>
      </xdr:nvSpPr>
      <xdr:spPr>
        <a:xfrm>
          <a:off x="50074286" y="43116953"/>
          <a:ext cx="786492" cy="32657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66</xdr:col>
      <xdr:colOff>79825</xdr:colOff>
      <xdr:row>300</xdr:row>
      <xdr:rowOff>160807</xdr:rowOff>
    </xdr:from>
    <xdr:to>
      <xdr:col>67</xdr:col>
      <xdr:colOff>250272</xdr:colOff>
      <xdr:row>301</xdr:row>
      <xdr:rowOff>146539</xdr:rowOff>
    </xdr:to>
    <xdr:sp macro="" textlink="">
      <xdr:nvSpPr>
        <xdr:cNvPr id="46" name="Freeform: Shape 45">
          <a:extLst>
            <a:ext uri="{FF2B5EF4-FFF2-40B4-BE49-F238E27FC236}">
              <a16:creationId xmlns:a16="http://schemas.microsoft.com/office/drawing/2014/main" id="{AF6EBC70-589F-47A9-8256-5EE8AB4484AE}"/>
            </a:ext>
          </a:extLst>
        </xdr:cNvPr>
        <xdr:cNvSpPr/>
      </xdr:nvSpPr>
      <xdr:spPr>
        <a:xfrm>
          <a:off x="50086075" y="46652332"/>
          <a:ext cx="780047" cy="176232"/>
        </a:xfrm>
        <a:custGeom>
          <a:avLst/>
          <a:gdLst>
            <a:gd name="connsiteX0" fmla="*/ 0 w 782053"/>
            <a:gd name="connsiteY0" fmla="*/ 45118 h 196010"/>
            <a:gd name="connsiteX1" fmla="*/ 381000 w 782053"/>
            <a:gd name="connsiteY1" fmla="*/ 195513 h 196010"/>
            <a:gd name="connsiteX2" fmla="*/ 782053 w 782053"/>
            <a:gd name="connsiteY2" fmla="*/ 0 h 196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2053" h="196010">
              <a:moveTo>
                <a:pt x="0" y="45118"/>
              </a:moveTo>
              <a:cubicBezTo>
                <a:pt x="125329" y="124075"/>
                <a:pt x="250658" y="203033"/>
                <a:pt x="381000" y="195513"/>
              </a:cubicBezTo>
              <a:cubicBezTo>
                <a:pt x="511342" y="187993"/>
                <a:pt x="646697" y="93996"/>
                <a:pt x="782053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ristopher" id="{D9889AD5-3FC6-4084-AFBB-50AC3774DBC9}" userId="S::10104161@id.ohio.gov::f41a9fe6-9299-468b-9a1f-cf0a5f6804d6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5" dT="2022-06-21T20:14:43.06" personId="{D9889AD5-3FC6-4084-AFBB-50AC3774DBC9}" id="{F0243EE5-E24B-4F53-80D3-1B4FDD3A0102}">
    <text>2*Beam Depth +3*Flange Width-2*Web Thickness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5" dT="2022-06-21T20:15:22.67" personId="{D9889AD5-3FC6-4084-AFBB-50AC3774DBC9}" id="{A3B6DEEE-4510-4D67-AC71-7731F3893EAE}">
    <text>2*Beam Depth +3*Flange Width-2*Web Thickness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H15" dT="2022-06-21T20:15:28.97" personId="{D9889AD5-3FC6-4084-AFBB-50AC3774DBC9}" id="{501EC9E5-25C2-4DC5-BB6D-0E329AA93D3C}">
    <text>2*Beam Depth +3*Flange Width-2*Web Thickness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H15" dT="2022-06-21T20:15:34.18" personId="{D9889AD5-3FC6-4084-AFBB-50AC3774DBC9}" id="{B90F0CB6-A395-462D-BDB7-E5702FDACB9D}">
    <text>2*Beam Depth +3*Flange Width-2*Web Thickness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H15" dT="2022-06-21T20:15:40.05" personId="{D9889AD5-3FC6-4084-AFBB-50AC3774DBC9}" id="{51DA4ECA-F22C-449F-9C28-9C6CF2049179}">
    <text>2*Beam Depth +3*Flange Width-2*Web Thickness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microsoft.com/office/2017/10/relationships/threadedComment" Target="../threadedComments/threadedComment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032A8-B195-4E2B-B5B0-5767882EA56D}">
  <dimension ref="A11:BG67"/>
  <sheetViews>
    <sheetView topLeftCell="A19" workbookViewId="0">
      <selection activeCell="I15" sqref="I15"/>
    </sheetView>
  </sheetViews>
  <sheetFormatPr defaultRowHeight="14.85" x14ac:dyDescent="0.25"/>
  <cols>
    <col min="4" max="4" width="15.28515625" customWidth="1"/>
    <col min="5" max="5" width="14" customWidth="1"/>
    <col min="8" max="8" width="15" customWidth="1"/>
    <col min="9" max="9" width="21.5703125" customWidth="1"/>
    <col min="12" max="12" width="12.7109375" customWidth="1"/>
    <col min="13" max="13" width="18.140625" customWidth="1"/>
    <col min="16" max="16" width="12.42578125" customWidth="1"/>
    <col min="17" max="17" width="13.28515625" customWidth="1"/>
    <col min="18" max="18" width="11" customWidth="1"/>
    <col min="19" max="19" width="14.85546875" customWidth="1"/>
    <col min="20" max="20" width="13.5703125" customWidth="1"/>
    <col min="21" max="21" width="12.5703125" customWidth="1"/>
    <col min="27" max="27" width="11.7109375" customWidth="1"/>
  </cols>
  <sheetData>
    <row r="11" spans="1:39" x14ac:dyDescent="0.25">
      <c r="A11" s="212" t="s">
        <v>309</v>
      </c>
      <c r="B11" s="212"/>
      <c r="C11" s="212"/>
      <c r="D11" s="212"/>
      <c r="E11" s="212"/>
      <c r="F11" s="212"/>
      <c r="G11" s="212"/>
      <c r="H11" s="212"/>
      <c r="I11" s="212"/>
      <c r="J11" s="212"/>
    </row>
    <row r="12" spans="1:39" x14ac:dyDescent="0.25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57" t="s">
        <v>611</v>
      </c>
    </row>
    <row r="13" spans="1:39" x14ac:dyDescent="0.25">
      <c r="A13" s="212"/>
      <c r="B13" s="212"/>
      <c r="C13" s="212"/>
      <c r="D13" s="212"/>
      <c r="E13" s="212"/>
      <c r="F13" s="212"/>
      <c r="G13" s="212"/>
      <c r="H13" s="212"/>
      <c r="I13" s="212"/>
      <c r="J13" s="212"/>
    </row>
    <row r="14" spans="1:39" ht="15.6" x14ac:dyDescent="0.25">
      <c r="H14" t="s">
        <v>613</v>
      </c>
      <c r="L14" s="150" t="s">
        <v>339</v>
      </c>
      <c r="M14" s="150"/>
      <c r="N14" s="150"/>
      <c r="O14" s="150"/>
      <c r="P14" s="150" t="s">
        <v>340</v>
      </c>
      <c r="Q14" s="150">
        <f>2*(2.5+72+2.5)+(3*18)-(2*0.4375)</f>
        <v>207.125</v>
      </c>
      <c r="R14" s="150"/>
      <c r="S14" s="150"/>
      <c r="T14" s="150" t="s">
        <v>341</v>
      </c>
      <c r="U14" s="150"/>
      <c r="V14" s="150"/>
      <c r="W14" s="150"/>
      <c r="AM14" s="8"/>
    </row>
    <row r="15" spans="1:39" ht="80.2" x14ac:dyDescent="0.25">
      <c r="H15" s="159" t="s">
        <v>639</v>
      </c>
      <c r="I15" s="10">
        <f>2*12+(4*12)-(2*0.43)</f>
        <v>71.14</v>
      </c>
      <c r="J15" s="10" t="s">
        <v>92</v>
      </c>
      <c r="K15" s="159" t="s">
        <v>608</v>
      </c>
      <c r="L15" s="151" t="s">
        <v>91</v>
      </c>
      <c r="M15" s="152"/>
      <c r="N15" s="152" t="s">
        <v>92</v>
      </c>
      <c r="O15" s="151" t="s">
        <v>612</v>
      </c>
      <c r="P15" s="151" t="s">
        <v>91</v>
      </c>
      <c r="Q15" s="152"/>
      <c r="R15" s="152" t="s">
        <v>92</v>
      </c>
      <c r="S15" s="151" t="s">
        <v>612</v>
      </c>
      <c r="T15" s="151" t="s">
        <v>91</v>
      </c>
      <c r="U15" s="152"/>
      <c r="V15" s="152" t="s">
        <v>92</v>
      </c>
      <c r="W15" s="151" t="s">
        <v>612</v>
      </c>
      <c r="X15" s="115"/>
    </row>
    <row r="16" spans="1:39" ht="133.65" x14ac:dyDescent="0.25">
      <c r="B16" s="116">
        <v>514</v>
      </c>
      <c r="C16" s="132" t="s">
        <v>94</v>
      </c>
      <c r="D16" s="115" t="s">
        <v>95</v>
      </c>
      <c r="E16" s="116" t="s">
        <v>40</v>
      </c>
      <c r="F16" s="12">
        <f>P33</f>
        <v>704.28600000000006</v>
      </c>
      <c r="H16" s="58"/>
      <c r="I16" s="10">
        <f>I15/12</f>
        <v>5.9283333333333337</v>
      </c>
      <c r="J16" s="10" t="s">
        <v>52</v>
      </c>
      <c r="K16" s="13"/>
      <c r="L16" s="153" t="s">
        <v>337</v>
      </c>
      <c r="M16" s="152">
        <f>M15/12</f>
        <v>0</v>
      </c>
      <c r="N16" s="152" t="s">
        <v>52</v>
      </c>
      <c r="O16" s="154"/>
      <c r="P16" s="153" t="s">
        <v>381</v>
      </c>
      <c r="Q16" s="152">
        <f>Q15/12</f>
        <v>0</v>
      </c>
      <c r="R16" s="152" t="s">
        <v>52</v>
      </c>
      <c r="S16" s="154"/>
      <c r="T16" s="153" t="s">
        <v>382</v>
      </c>
      <c r="U16" s="152">
        <f>U15/12</f>
        <v>0</v>
      </c>
      <c r="V16" s="152" t="s">
        <v>52</v>
      </c>
      <c r="W16" s="154"/>
      <c r="X16" s="116"/>
    </row>
    <row r="17" spans="2:58" ht="74.25" x14ac:dyDescent="0.25">
      <c r="B17" s="116">
        <v>514</v>
      </c>
      <c r="C17" s="132" t="s">
        <v>96</v>
      </c>
      <c r="D17" s="115" t="s">
        <v>97</v>
      </c>
      <c r="E17" s="116" t="s">
        <v>40</v>
      </c>
      <c r="F17" s="12">
        <f>P33</f>
        <v>704.28600000000006</v>
      </c>
      <c r="H17" s="10" t="s">
        <v>610</v>
      </c>
      <c r="I17" s="10">
        <v>6</v>
      </c>
      <c r="J17" s="10" t="s">
        <v>52</v>
      </c>
      <c r="K17" s="10"/>
      <c r="L17" s="152" t="s">
        <v>100</v>
      </c>
      <c r="M17" s="152">
        <v>0</v>
      </c>
      <c r="N17" s="152" t="s">
        <v>52</v>
      </c>
      <c r="O17" s="152"/>
      <c r="P17" s="152" t="s">
        <v>100</v>
      </c>
      <c r="Q17" s="152">
        <v>0</v>
      </c>
      <c r="R17" s="152" t="s">
        <v>52</v>
      </c>
      <c r="S17" s="152"/>
      <c r="T17" s="152" t="s">
        <v>100</v>
      </c>
      <c r="U17" s="152">
        <v>0</v>
      </c>
      <c r="V17" s="152" t="s">
        <v>52</v>
      </c>
      <c r="W17" s="152"/>
    </row>
    <row r="18" spans="2:58" ht="89.1" x14ac:dyDescent="0.25">
      <c r="B18" s="116">
        <v>514</v>
      </c>
      <c r="C18" s="132" t="s">
        <v>98</v>
      </c>
      <c r="D18" s="115" t="s">
        <v>99</v>
      </c>
      <c r="E18" s="116" t="s">
        <v>40</v>
      </c>
      <c r="F18" s="12">
        <f>P33</f>
        <v>704.28600000000006</v>
      </c>
      <c r="H18" s="22" t="s">
        <v>106</v>
      </c>
      <c r="I18" s="22" t="s">
        <v>625</v>
      </c>
      <c r="J18" s="24"/>
      <c r="K18" s="22"/>
      <c r="L18" s="155" t="s">
        <v>106</v>
      </c>
      <c r="M18" s="156" t="s">
        <v>339</v>
      </c>
      <c r="N18" s="157"/>
      <c r="O18" s="155"/>
      <c r="P18" s="155" t="s">
        <v>106</v>
      </c>
      <c r="Q18" s="156" t="s">
        <v>340</v>
      </c>
      <c r="R18" s="157"/>
      <c r="S18" s="155"/>
      <c r="T18" s="155" t="s">
        <v>106</v>
      </c>
      <c r="U18" s="156" t="s">
        <v>341</v>
      </c>
      <c r="V18" s="157"/>
      <c r="W18" s="155"/>
      <c r="X18" s="117"/>
      <c r="Y18" s="213" t="s">
        <v>352</v>
      </c>
      <c r="Z18" s="214"/>
      <c r="AA18" s="214"/>
      <c r="AB18" s="214"/>
      <c r="AC18" s="214"/>
      <c r="AD18" s="214"/>
      <c r="AE18" s="214"/>
      <c r="AF18" s="215"/>
      <c r="AH18" s="129" t="s">
        <v>407</v>
      </c>
      <c r="AI18" s="63"/>
      <c r="AJ18" s="63"/>
      <c r="AK18" s="63"/>
      <c r="AL18" s="63"/>
      <c r="AM18" s="63" t="s">
        <v>102</v>
      </c>
      <c r="AN18" s="63"/>
      <c r="AO18" s="68">
        <v>8.1999999999999993</v>
      </c>
      <c r="AP18" s="149" t="s">
        <v>103</v>
      </c>
      <c r="AQ18" s="66"/>
    </row>
    <row r="19" spans="2:58" ht="74.25" x14ac:dyDescent="0.25">
      <c r="B19" s="116">
        <v>514</v>
      </c>
      <c r="C19" s="132" t="s">
        <v>104</v>
      </c>
      <c r="D19" s="115" t="s">
        <v>105</v>
      </c>
      <c r="E19" s="116" t="s">
        <v>40</v>
      </c>
      <c r="F19" s="12">
        <f>P33</f>
        <v>704.28600000000006</v>
      </c>
      <c r="H19" s="10" t="s">
        <v>112</v>
      </c>
      <c r="I19" s="10">
        <f>I17*I16</f>
        <v>35.57</v>
      </c>
      <c r="J19" s="10" t="s">
        <v>113</v>
      </c>
      <c r="K19" s="10"/>
      <c r="L19" s="152" t="s">
        <v>112</v>
      </c>
      <c r="M19" s="152">
        <f>M17*M16</f>
        <v>0</v>
      </c>
      <c r="N19" s="152" t="s">
        <v>113</v>
      </c>
      <c r="O19" s="152"/>
      <c r="P19" s="152" t="s">
        <v>112</v>
      </c>
      <c r="Q19" s="152">
        <f>Q17*Q16</f>
        <v>0</v>
      </c>
      <c r="R19" s="152" t="s">
        <v>113</v>
      </c>
      <c r="S19" s="152"/>
      <c r="T19" s="152" t="s">
        <v>112</v>
      </c>
      <c r="U19" s="152">
        <f>U17*U16</f>
        <v>0</v>
      </c>
      <c r="V19" s="152" t="s">
        <v>113</v>
      </c>
      <c r="W19" s="152"/>
      <c r="X19" s="19"/>
      <c r="Y19" s="19"/>
      <c r="Z19" t="s">
        <v>114</v>
      </c>
      <c r="AA19" s="27">
        <v>6.96</v>
      </c>
      <c r="AB19" s="27" t="s">
        <v>52</v>
      </c>
      <c r="AC19" s="27"/>
      <c r="AF19" s="21"/>
      <c r="AH19" s="216" t="s">
        <v>352</v>
      </c>
      <c r="AI19" s="217"/>
      <c r="AJ19" s="217"/>
      <c r="AK19" s="217"/>
      <c r="AL19" s="217"/>
      <c r="AM19" s="217"/>
      <c r="AN19" s="217"/>
      <c r="AO19" s="63"/>
      <c r="AP19" s="63"/>
      <c r="AQ19" s="66"/>
    </row>
    <row r="20" spans="2:58" ht="75" thickBot="1" x14ac:dyDescent="0.4">
      <c r="B20" s="116">
        <v>514</v>
      </c>
      <c r="C20" s="132" t="s">
        <v>109</v>
      </c>
      <c r="D20" s="133" t="s">
        <v>110</v>
      </c>
      <c r="E20" s="116" t="s">
        <v>111</v>
      </c>
      <c r="F20" s="134">
        <f>ROUNDUP(J21*J23/60,0)</f>
        <v>2</v>
      </c>
      <c r="H20" s="90" t="s">
        <v>117</v>
      </c>
      <c r="I20" s="91">
        <f>I19*1.1</f>
        <v>39.127000000000002</v>
      </c>
      <c r="J20" s="90" t="s">
        <v>113</v>
      </c>
      <c r="K20" s="90"/>
      <c r="L20" s="152" t="s">
        <v>117</v>
      </c>
      <c r="M20" s="158">
        <f>M19*1.1</f>
        <v>0</v>
      </c>
      <c r="N20" s="152" t="s">
        <v>113</v>
      </c>
      <c r="O20" s="152"/>
      <c r="P20" s="152" t="s">
        <v>117</v>
      </c>
      <c r="Q20" s="158">
        <f>Q19*1.1</f>
        <v>0</v>
      </c>
      <c r="R20" s="152" t="s">
        <v>113</v>
      </c>
      <c r="S20" s="152"/>
      <c r="T20" s="152" t="s">
        <v>117</v>
      </c>
      <c r="U20" s="158">
        <f>U19*1.1</f>
        <v>0</v>
      </c>
      <c r="V20" s="152" t="s">
        <v>113</v>
      </c>
      <c r="W20" s="152"/>
      <c r="X20" s="19"/>
      <c r="Y20" s="19" t="s">
        <v>419</v>
      </c>
      <c r="Z20" s="5" t="s">
        <v>386</v>
      </c>
      <c r="AA20">
        <f>6.96*12</f>
        <v>83.52</v>
      </c>
      <c r="AB20" t="s">
        <v>92</v>
      </c>
      <c r="AD20" s="25"/>
      <c r="AF20" s="21"/>
      <c r="AH20" s="67"/>
      <c r="AI20" s="65"/>
      <c r="AJ20" s="65" t="s">
        <v>101</v>
      </c>
      <c r="AK20" s="65" t="s">
        <v>119</v>
      </c>
      <c r="AL20" s="65" t="s">
        <v>120</v>
      </c>
      <c r="AM20" s="65"/>
      <c r="AN20" s="65"/>
      <c r="AO20" s="68" t="s">
        <v>118</v>
      </c>
      <c r="AP20" s="63">
        <v>2</v>
      </c>
      <c r="AQ20" s="66" t="s">
        <v>92</v>
      </c>
    </row>
    <row r="21" spans="2:58" ht="44.55" x14ac:dyDescent="0.25">
      <c r="B21" s="116">
        <v>514</v>
      </c>
      <c r="C21" s="36">
        <v>10000</v>
      </c>
      <c r="D21" s="133" t="s">
        <v>115</v>
      </c>
      <c r="E21" s="116" t="s">
        <v>116</v>
      </c>
      <c r="F21" s="30">
        <f>ROUNDUP(MAX(F16/1200,(J21*J23/150)),0)</f>
        <v>1</v>
      </c>
      <c r="H21" s="92" t="s">
        <v>121</v>
      </c>
      <c r="I21" s="93"/>
      <c r="J21" s="94">
        <f>I17+M17+Q17+U17</f>
        <v>6</v>
      </c>
      <c r="K21" s="95" t="s">
        <v>52</v>
      </c>
      <c r="Y21" s="19"/>
      <c r="Z21" s="133" t="s">
        <v>422</v>
      </c>
      <c r="AA21">
        <f>30-2</f>
        <v>28</v>
      </c>
      <c r="AB21" t="s">
        <v>92</v>
      </c>
      <c r="AD21" s="25"/>
      <c r="AF21" s="21"/>
      <c r="AH21" s="67"/>
      <c r="AI21" s="65" t="s">
        <v>114</v>
      </c>
      <c r="AJ21" s="65">
        <v>9.9600000000000009</v>
      </c>
      <c r="AK21" s="65">
        <f>AJ21/3</f>
        <v>3.3200000000000003</v>
      </c>
      <c r="AL21" s="65">
        <f>AJ21/6</f>
        <v>1.6600000000000001</v>
      </c>
      <c r="AM21" s="65"/>
      <c r="AN21" s="65"/>
      <c r="AO21" s="63" t="s">
        <v>92</v>
      </c>
      <c r="AP21" s="63"/>
      <c r="AQ21" s="66"/>
    </row>
    <row r="22" spans="2:58" x14ac:dyDescent="0.25">
      <c r="H22" s="102" t="s">
        <v>342</v>
      </c>
      <c r="I22" s="103"/>
      <c r="J22" s="128">
        <f>(I20+M20+Q20+U20)</f>
        <v>39.127000000000002</v>
      </c>
      <c r="K22" s="104" t="s">
        <v>113</v>
      </c>
      <c r="M22" t="s">
        <v>375</v>
      </c>
      <c r="N22" s="52">
        <f>BB29</f>
        <v>0</v>
      </c>
      <c r="O22" t="s">
        <v>126</v>
      </c>
      <c r="Y22" s="19"/>
      <c r="AF22" s="21"/>
      <c r="AH22" s="67"/>
      <c r="AI22" s="65" t="s">
        <v>321</v>
      </c>
      <c r="AJ22" s="65">
        <v>72</v>
      </c>
      <c r="AK22" s="69" t="s">
        <v>92</v>
      </c>
      <c r="AL22" s="65"/>
      <c r="AM22" s="65"/>
      <c r="AN22" s="65"/>
      <c r="AO22" s="63" t="s">
        <v>92</v>
      </c>
      <c r="AP22" s="63"/>
      <c r="AQ22" s="66"/>
      <c r="AY22" s="14"/>
      <c r="AZ22" s="16"/>
      <c r="BA22" s="16"/>
      <c r="BB22" s="16"/>
      <c r="BC22" s="16"/>
      <c r="BD22" s="16"/>
      <c r="BE22" s="16"/>
      <c r="BF22" s="17"/>
    </row>
    <row r="23" spans="2:58" x14ac:dyDescent="0.25">
      <c r="H23" s="96" t="s">
        <v>123</v>
      </c>
      <c r="I23" s="35"/>
      <c r="J23" s="10">
        <v>18</v>
      </c>
      <c r="K23" s="97"/>
      <c r="M23" t="s">
        <v>374</v>
      </c>
      <c r="N23" s="52">
        <f>BF49</f>
        <v>0</v>
      </c>
      <c r="O23" t="s">
        <v>126</v>
      </c>
      <c r="R23" s="14" t="s">
        <v>363</v>
      </c>
      <c r="S23" s="16" t="s">
        <v>423</v>
      </c>
      <c r="T23" s="16" t="s">
        <v>365</v>
      </c>
      <c r="U23" s="17" t="s">
        <v>424</v>
      </c>
      <c r="Y23" s="19"/>
      <c r="AF23" s="21"/>
      <c r="AH23" s="67"/>
      <c r="AI23" s="65"/>
      <c r="AJ23" s="65">
        <f>AJ22/12</f>
        <v>6</v>
      </c>
      <c r="AK23" s="69" t="s">
        <v>52</v>
      </c>
      <c r="AL23" s="65">
        <f>AI27^2+AI30^2</f>
        <v>40.136400000000002</v>
      </c>
      <c r="AM23" s="65"/>
      <c r="AN23" s="70">
        <f>AI27^2+AJ30^2</f>
        <v>34.809372250000003</v>
      </c>
      <c r="AO23" s="63" t="s">
        <v>92</v>
      </c>
      <c r="AP23" s="63"/>
      <c r="AQ23" s="66"/>
      <c r="AY23" s="19"/>
      <c r="BA23" t="s">
        <v>368</v>
      </c>
      <c r="BF23" s="21"/>
    </row>
    <row r="24" spans="2:58" ht="30.45" thickBot="1" x14ac:dyDescent="0.3">
      <c r="H24" s="98" t="s">
        <v>360</v>
      </c>
      <c r="I24" s="99"/>
      <c r="J24" s="100">
        <f>J22*J23</f>
        <v>704.28600000000006</v>
      </c>
      <c r="K24" s="101" t="s">
        <v>113</v>
      </c>
      <c r="R24" s="19" t="s">
        <v>366</v>
      </c>
      <c r="S24">
        <v>1.76</v>
      </c>
      <c r="T24">
        <v>1.76</v>
      </c>
      <c r="U24" s="21">
        <v>7.84</v>
      </c>
      <c r="Y24" s="19"/>
      <c r="AF24" s="21"/>
      <c r="AH24" s="67"/>
      <c r="AI24" s="65"/>
      <c r="AJ24" s="65"/>
      <c r="AK24" s="69"/>
      <c r="AL24" s="65"/>
      <c r="AM24" s="65"/>
      <c r="AN24" s="65"/>
      <c r="AO24" s="63"/>
      <c r="AP24" s="63"/>
      <c r="AQ24" s="66"/>
      <c r="AY24" s="19"/>
      <c r="AZ24" t="s">
        <v>370</v>
      </c>
      <c r="BA24" t="s">
        <v>364</v>
      </c>
      <c r="BB24">
        <f>(AZ31*AY33)+(BF33*BC30)+(2*(AY33-BF33)*BC30/2)</f>
        <v>798</v>
      </c>
      <c r="BC24" t="s">
        <v>369</v>
      </c>
      <c r="BF24" s="21"/>
    </row>
    <row r="25" spans="2:58" x14ac:dyDescent="0.25">
      <c r="H25" s="4"/>
      <c r="R25" s="19" t="s">
        <v>358</v>
      </c>
      <c r="S25">
        <v>0</v>
      </c>
      <c r="T25">
        <v>0</v>
      </c>
      <c r="U25" s="21">
        <v>0</v>
      </c>
      <c r="Y25" s="19"/>
      <c r="Z25">
        <f>(Z26)/12</f>
        <v>2.3333333333333335</v>
      </c>
      <c r="AA25" t="s">
        <v>2</v>
      </c>
      <c r="AF25" s="21"/>
      <c r="AH25" s="67"/>
      <c r="AI25" s="65"/>
      <c r="AJ25" s="65"/>
      <c r="AK25" s="65"/>
      <c r="AL25" s="65"/>
      <c r="AM25" s="65"/>
      <c r="AN25" s="65"/>
      <c r="AO25" s="63"/>
      <c r="AP25" s="63">
        <v>1.333</v>
      </c>
      <c r="AQ25" s="66" t="s">
        <v>125</v>
      </c>
      <c r="AY25" s="19"/>
      <c r="AZ25" t="s">
        <v>371</v>
      </c>
      <c r="BA25" t="s">
        <v>364</v>
      </c>
      <c r="BB25">
        <f>0</f>
        <v>0</v>
      </c>
      <c r="BC25" t="s">
        <v>369</v>
      </c>
      <c r="BF25" s="21"/>
    </row>
    <row r="26" spans="2:58" x14ac:dyDescent="0.25">
      <c r="H26" s="14" t="s">
        <v>325</v>
      </c>
      <c r="I26" s="16"/>
      <c r="J26" s="16">
        <f>2*(6*72)/144</f>
        <v>6</v>
      </c>
      <c r="K26" s="17" t="s">
        <v>126</v>
      </c>
      <c r="R26" s="19" t="s">
        <v>361</v>
      </c>
      <c r="S26">
        <f>S24*S25</f>
        <v>0</v>
      </c>
      <c r="T26">
        <f>T24*T25</f>
        <v>0</v>
      </c>
      <c r="U26" s="21">
        <f>U24*U25</f>
        <v>0</v>
      </c>
      <c r="Y26" s="19"/>
      <c r="Z26">
        <f>AA21</f>
        <v>28</v>
      </c>
      <c r="AD26">
        <f>(SQRT((AB29/2)^2+(Z25)^2))</f>
        <v>4.189850169689179</v>
      </c>
      <c r="AE26" t="s">
        <v>2</v>
      </c>
      <c r="AF26" s="21"/>
      <c r="AH26" s="67"/>
      <c r="AI26" s="65"/>
      <c r="AJ26" s="70">
        <f>SQRT(AN23)</f>
        <v>5.8999468006076121</v>
      </c>
      <c r="AK26" s="70"/>
      <c r="AL26" s="65"/>
      <c r="AM26" s="70">
        <f>AH27</f>
        <v>6.335</v>
      </c>
      <c r="AN26" s="65"/>
      <c r="AO26" s="63"/>
      <c r="AP26" s="71">
        <f>0.33*AP25*2</f>
        <v>0.87978000000000001</v>
      </c>
      <c r="AQ26" s="66" t="s">
        <v>126</v>
      </c>
      <c r="AY26" s="19"/>
      <c r="AZ26" t="s">
        <v>372</v>
      </c>
      <c r="BA26" t="s">
        <v>364</v>
      </c>
      <c r="BB26">
        <f>(BB24+BB25)/144*2</f>
        <v>11.083333333333334</v>
      </c>
      <c r="BC26" t="s">
        <v>113</v>
      </c>
      <c r="BF26" s="21"/>
    </row>
    <row r="27" spans="2:58" x14ac:dyDescent="0.25">
      <c r="H27" s="19" t="s">
        <v>187</v>
      </c>
      <c r="J27">
        <v>0</v>
      </c>
      <c r="K27" s="21" t="s">
        <v>329</v>
      </c>
      <c r="R27" s="19"/>
      <c r="U27" s="21"/>
      <c r="Y27" s="19"/>
      <c r="AF27" s="21"/>
      <c r="AH27" s="72">
        <v>6.335</v>
      </c>
      <c r="AI27" s="73">
        <v>5.58</v>
      </c>
      <c r="AJ27" s="65"/>
      <c r="AK27" s="65"/>
      <c r="AL27" s="65"/>
      <c r="AM27" s="65"/>
      <c r="AN27" s="65"/>
      <c r="AO27" s="63"/>
      <c r="AP27" s="63">
        <v>7</v>
      </c>
      <c r="AQ27" s="66" t="s">
        <v>125</v>
      </c>
      <c r="AY27" s="19"/>
      <c r="AZ27" t="s">
        <v>358</v>
      </c>
      <c r="BB27">
        <v>0</v>
      </c>
      <c r="BF27" s="21"/>
    </row>
    <row r="28" spans="2:58" x14ac:dyDescent="0.25">
      <c r="H28" s="19" t="s">
        <v>188</v>
      </c>
      <c r="J28" s="7">
        <f>J26*J27</f>
        <v>0</v>
      </c>
      <c r="K28" s="21" t="s">
        <v>126</v>
      </c>
      <c r="R28" s="19"/>
      <c r="S28" t="s">
        <v>351</v>
      </c>
      <c r="T28">
        <f>S26+T26+U26</f>
        <v>0</v>
      </c>
      <c r="U28" s="21"/>
      <c r="Y28" s="19"/>
      <c r="AF28" s="21"/>
      <c r="AH28" s="67"/>
      <c r="AI28" s="65"/>
      <c r="AJ28" s="65"/>
      <c r="AK28" s="65"/>
      <c r="AL28" s="65"/>
      <c r="AM28" s="65"/>
      <c r="AN28" s="65"/>
      <c r="AO28" s="63"/>
      <c r="AP28" s="71">
        <f>0.33*AP27*2</f>
        <v>4.62</v>
      </c>
      <c r="AQ28" s="66" t="s">
        <v>126</v>
      </c>
      <c r="AY28" s="19"/>
      <c r="AZ28" t="s">
        <v>373</v>
      </c>
      <c r="BB28">
        <f>BB26*BB27</f>
        <v>0</v>
      </c>
      <c r="BF28" s="21"/>
    </row>
    <row r="29" spans="2:58" x14ac:dyDescent="0.25">
      <c r="H29" s="49" t="s">
        <v>189</v>
      </c>
      <c r="I29" s="3"/>
      <c r="J29" s="3"/>
      <c r="K29" s="44"/>
      <c r="R29" s="49"/>
      <c r="S29" s="112" t="s">
        <v>367</v>
      </c>
      <c r="T29" s="59">
        <f>T28*1.1</f>
        <v>0</v>
      </c>
      <c r="U29" s="44"/>
      <c r="Y29" s="19"/>
      <c r="AB29" s="27">
        <f>AA19</f>
        <v>6.96</v>
      </c>
      <c r="AF29" s="21"/>
      <c r="AH29" s="67"/>
      <c r="AI29" s="65"/>
      <c r="AJ29" s="65"/>
      <c r="AK29" s="65"/>
      <c r="AL29" s="65"/>
      <c r="AM29" s="65"/>
      <c r="AN29" s="65"/>
      <c r="AO29" s="63"/>
      <c r="AP29" s="63"/>
      <c r="AQ29" s="66"/>
      <c r="AY29" s="19"/>
      <c r="AZ29" t="s">
        <v>367</v>
      </c>
      <c r="BB29" s="7">
        <f>BB28*1.1</f>
        <v>0</v>
      </c>
      <c r="BF29" s="21"/>
    </row>
    <row r="30" spans="2:58" x14ac:dyDescent="0.25">
      <c r="Y30" s="19"/>
      <c r="AF30" s="21"/>
      <c r="AH30" s="67"/>
      <c r="AI30" s="70">
        <v>3</v>
      </c>
      <c r="AJ30" s="70">
        <v>1.9165000000000001</v>
      </c>
      <c r="AK30" s="65"/>
      <c r="AL30" s="65"/>
      <c r="AM30" s="65"/>
      <c r="AN30" s="65"/>
      <c r="AO30" s="63"/>
      <c r="AP30" s="63"/>
      <c r="AQ30" s="66"/>
      <c r="AY30" s="19"/>
      <c r="BC30">
        <v>39</v>
      </c>
      <c r="BF30" s="21"/>
    </row>
    <row r="31" spans="2:58" ht="15.6" thickBot="1" x14ac:dyDescent="0.3">
      <c r="H31" s="14" t="s">
        <v>383</v>
      </c>
      <c r="I31" s="16"/>
      <c r="J31" s="16">
        <f>2*(8*72)/144</f>
        <v>8</v>
      </c>
      <c r="K31" s="17" t="s">
        <v>126</v>
      </c>
      <c r="Y31" s="19" t="s">
        <v>420</v>
      </c>
      <c r="AB31" s="27">
        <f>(2*AD26)+AB29</f>
        <v>15.339700339378357</v>
      </c>
      <c r="AC31" t="s">
        <v>125</v>
      </c>
      <c r="AF31" s="21"/>
      <c r="AH31" s="74"/>
      <c r="AI31" s="75"/>
      <c r="AJ31" s="75"/>
      <c r="AK31" s="75"/>
      <c r="AL31" s="75"/>
      <c r="AM31" s="75"/>
      <c r="AN31" s="75"/>
      <c r="AO31" s="76"/>
      <c r="AP31" s="76"/>
      <c r="AQ31" s="77"/>
      <c r="AY31" s="19"/>
      <c r="AZ31">
        <v>18</v>
      </c>
      <c r="BF31" s="21"/>
    </row>
    <row r="32" spans="2:58" x14ac:dyDescent="0.25">
      <c r="H32" s="19" t="s">
        <v>187</v>
      </c>
      <c r="J32">
        <v>0</v>
      </c>
      <c r="K32" s="21" t="s">
        <v>329</v>
      </c>
      <c r="O32" s="108" t="s">
        <v>362</v>
      </c>
      <c r="P32" s="109"/>
      <c r="Y32" s="19"/>
      <c r="AF32" s="21"/>
      <c r="AH32" s="78"/>
      <c r="AI32" s="79"/>
      <c r="AJ32" s="79" t="s">
        <v>130</v>
      </c>
      <c r="AK32" s="80" t="s">
        <v>353</v>
      </c>
      <c r="AL32" s="79"/>
      <c r="AM32" s="79"/>
      <c r="AN32" s="79"/>
      <c r="AO32" s="60"/>
      <c r="AP32" s="60"/>
      <c r="AQ32" s="61"/>
      <c r="AY32" s="19"/>
      <c r="BF32" s="21"/>
    </row>
    <row r="33" spans="8:59" ht="15.6" thickBot="1" x14ac:dyDescent="0.3">
      <c r="H33" s="19" t="s">
        <v>188</v>
      </c>
      <c r="J33" s="7">
        <f>J31*J32</f>
        <v>0</v>
      </c>
      <c r="K33" s="21" t="s">
        <v>126</v>
      </c>
      <c r="O33" s="110" t="s">
        <v>351</v>
      </c>
      <c r="P33" s="111">
        <f>J24+J28+J33+I42+I52+I61+T29+N22+N23</f>
        <v>704.28600000000006</v>
      </c>
      <c r="Y33" s="48" t="s">
        <v>421</v>
      </c>
      <c r="AB33" s="1">
        <f>0.25*4*AB31</f>
        <v>15.339700339378357</v>
      </c>
      <c r="AC33" t="s">
        <v>126</v>
      </c>
      <c r="AF33" s="21"/>
      <c r="AH33" s="74"/>
      <c r="AI33" s="75"/>
      <c r="AJ33" s="75"/>
      <c r="AK33" s="75">
        <f>AJ21+(2*AH27)+(2*AJ26)</f>
        <v>34.429893601215227</v>
      </c>
      <c r="AL33" s="75" t="s">
        <v>52</v>
      </c>
      <c r="AM33" s="75"/>
      <c r="AN33" s="75"/>
      <c r="AO33" s="76"/>
      <c r="AP33" s="76"/>
      <c r="AQ33" s="77"/>
      <c r="AY33" s="19">
        <v>14</v>
      </c>
      <c r="BF33" s="21">
        <v>6</v>
      </c>
    </row>
    <row r="34" spans="8:59" x14ac:dyDescent="0.25">
      <c r="H34" s="49" t="s">
        <v>189</v>
      </c>
      <c r="I34" s="3"/>
      <c r="J34" s="3"/>
      <c r="K34" s="44"/>
      <c r="Y34" s="19" t="s">
        <v>132</v>
      </c>
      <c r="AA34" t="s">
        <v>133</v>
      </c>
      <c r="AB34" s="27">
        <f>AB33*1.1</f>
        <v>16.873670373316195</v>
      </c>
      <c r="AC34" t="s">
        <v>126</v>
      </c>
      <c r="AF34" s="21"/>
      <c r="AH34" s="78"/>
      <c r="AI34" s="79"/>
      <c r="AJ34" s="79"/>
      <c r="AK34" s="79"/>
      <c r="AL34" s="79"/>
      <c r="AM34" s="79"/>
      <c r="AN34" s="79"/>
      <c r="AO34" s="60"/>
      <c r="AP34" s="60"/>
      <c r="AQ34" s="61"/>
      <c r="AY34" s="19"/>
      <c r="BF34" s="21"/>
    </row>
    <row r="35" spans="8:59" x14ac:dyDescent="0.25">
      <c r="Y35" s="19"/>
      <c r="AB35" s="27"/>
      <c r="AF35" s="21"/>
      <c r="AH35" s="67"/>
      <c r="AI35" s="65"/>
      <c r="AJ35" s="65"/>
      <c r="AK35" s="65"/>
      <c r="AL35" s="65"/>
      <c r="AM35" s="65"/>
      <c r="AN35" s="65"/>
      <c r="AO35" s="63"/>
      <c r="AP35" s="63"/>
      <c r="AQ35" s="66"/>
      <c r="AY35" s="19"/>
      <c r="BF35" s="21"/>
    </row>
    <row r="36" spans="8:59" x14ac:dyDescent="0.25">
      <c r="H36" t="s">
        <v>435</v>
      </c>
      <c r="Y36" s="49"/>
      <c r="Z36" s="3"/>
      <c r="AA36" s="3"/>
      <c r="AB36" s="3"/>
      <c r="AC36" s="3"/>
      <c r="AD36" s="3"/>
      <c r="AE36" s="3"/>
      <c r="AF36" s="44"/>
      <c r="AH36" s="67"/>
      <c r="AI36" s="65" t="s">
        <v>134</v>
      </c>
      <c r="AJ36" s="65"/>
      <c r="AK36" s="65">
        <f>AK33*(0.3333*4)</f>
        <v>45.901934149140139</v>
      </c>
      <c r="AL36" s="65" t="s">
        <v>126</v>
      </c>
      <c r="AM36" s="65"/>
      <c r="AN36" s="65"/>
      <c r="AO36" s="63"/>
      <c r="AP36" s="63"/>
      <c r="AQ36" s="66"/>
      <c r="AY36" s="19"/>
      <c r="BF36" s="21"/>
    </row>
    <row r="37" spans="8:59" x14ac:dyDescent="0.25">
      <c r="H37" s="10" t="s">
        <v>91</v>
      </c>
      <c r="I37" s="10">
        <v>1.33</v>
      </c>
      <c r="J37" s="10" t="s">
        <v>52</v>
      </c>
      <c r="K37" s="10"/>
      <c r="AH37" s="74"/>
      <c r="AI37" s="75" t="s">
        <v>135</v>
      </c>
      <c r="AJ37" s="75"/>
      <c r="AK37" s="75"/>
      <c r="AL37" s="75"/>
      <c r="AM37" s="75"/>
      <c r="AN37" s="75"/>
      <c r="AO37" s="76"/>
      <c r="AP37" s="76"/>
      <c r="AQ37" s="77"/>
      <c r="AY37" s="19"/>
      <c r="BF37" s="21"/>
    </row>
    <row r="38" spans="8:59" x14ac:dyDescent="0.25">
      <c r="H38" s="10" t="s">
        <v>100</v>
      </c>
      <c r="I38" s="41">
        <v>15.39</v>
      </c>
      <c r="J38" s="10" t="s">
        <v>52</v>
      </c>
      <c r="K38" s="10"/>
      <c r="AH38" s="81"/>
      <c r="AI38" s="60"/>
      <c r="AJ38" s="60"/>
      <c r="AK38" s="60"/>
      <c r="AL38" s="60"/>
      <c r="AM38" s="60"/>
      <c r="AN38" s="60"/>
      <c r="AO38" s="60"/>
      <c r="AP38" s="60"/>
      <c r="AQ38" s="61"/>
      <c r="AY38" s="19">
        <v>1.375</v>
      </c>
      <c r="BF38" s="21"/>
    </row>
    <row r="39" spans="8:59" x14ac:dyDescent="0.25">
      <c r="H39" s="10" t="s">
        <v>106</v>
      </c>
      <c r="I39" t="str">
        <f>'BUT-4-1580L'!$I$280</f>
        <v>End Crossframes</v>
      </c>
      <c r="K39" s="10"/>
      <c r="Y39" s="14"/>
      <c r="Z39" s="15" t="s">
        <v>384</v>
      </c>
      <c r="AA39" s="16"/>
      <c r="AB39" s="16"/>
      <c r="AC39" s="16"/>
      <c r="AD39" s="16"/>
      <c r="AE39" s="16"/>
      <c r="AF39" s="17"/>
      <c r="AH39" s="62"/>
      <c r="AI39" s="211" t="s">
        <v>136</v>
      </c>
      <c r="AJ39" s="63"/>
      <c r="AK39" s="63"/>
      <c r="AL39" s="63"/>
      <c r="AM39" s="63"/>
      <c r="AN39" s="63"/>
      <c r="AO39" s="63"/>
      <c r="AP39" s="63"/>
      <c r="AQ39" s="66"/>
      <c r="AY39" s="19"/>
      <c r="BF39" s="21"/>
    </row>
    <row r="40" spans="8:59" x14ac:dyDescent="0.25">
      <c r="H40" s="10" t="s">
        <v>128</v>
      </c>
      <c r="I40" s="33">
        <v>0</v>
      </c>
      <c r="J40" s="35"/>
      <c r="K40" s="10"/>
      <c r="Y40" s="19"/>
      <c r="AA40" t="s">
        <v>101</v>
      </c>
      <c r="AF40" s="21"/>
      <c r="AH40" s="62"/>
      <c r="AI40" s="211"/>
      <c r="AJ40" s="63"/>
      <c r="AK40" s="63">
        <f>AO18*AK33</f>
        <v>282.32512752996485</v>
      </c>
      <c r="AL40" s="63" t="s">
        <v>137</v>
      </c>
      <c r="AM40" s="63"/>
      <c r="AN40" s="63"/>
      <c r="AO40" s="63"/>
      <c r="AP40" s="63"/>
      <c r="AQ40" s="66"/>
      <c r="AY40" s="19"/>
      <c r="BB40">
        <f>AZ31+BC30</f>
        <v>57</v>
      </c>
      <c r="BF40" s="21"/>
    </row>
    <row r="41" spans="8:59" x14ac:dyDescent="0.25">
      <c r="H41" s="10" t="s">
        <v>112</v>
      </c>
      <c r="I41" s="10">
        <f>I38*I37*I40</f>
        <v>0</v>
      </c>
      <c r="J41" s="10" t="s">
        <v>113</v>
      </c>
      <c r="K41" s="10"/>
      <c r="Y41" s="19"/>
      <c r="AD41" s="25"/>
      <c r="AF41" s="21"/>
      <c r="AH41" s="82"/>
      <c r="AI41" s="218"/>
      <c r="AJ41" s="76"/>
      <c r="AK41" s="76"/>
      <c r="AL41" s="76"/>
      <c r="AM41" s="76"/>
      <c r="AN41" s="76"/>
      <c r="AO41" s="76"/>
      <c r="AP41" s="76"/>
      <c r="AQ41" s="77"/>
      <c r="AY41" s="49"/>
      <c r="AZ41" s="3"/>
      <c r="BA41" s="3"/>
      <c r="BB41" s="3"/>
      <c r="BC41" s="3"/>
      <c r="BD41" s="3"/>
      <c r="BE41" s="3"/>
      <c r="BF41" s="44"/>
    </row>
    <row r="42" spans="8:59" ht="29.7" x14ac:dyDescent="0.25">
      <c r="H42" s="106" t="s">
        <v>354</v>
      </c>
      <c r="I42" s="31">
        <f>I41*1.1</f>
        <v>0</v>
      </c>
      <c r="J42" s="10" t="s">
        <v>113</v>
      </c>
      <c r="K42" s="10"/>
      <c r="Y42" s="19"/>
      <c r="Z42" t="s">
        <v>114</v>
      </c>
      <c r="AA42" s="27">
        <v>7.5</v>
      </c>
      <c r="AB42" s="27" t="s">
        <v>52</v>
      </c>
      <c r="AC42" s="27"/>
      <c r="AF42" s="21"/>
      <c r="AH42" s="81"/>
      <c r="AI42" s="60"/>
      <c r="AJ42" s="60"/>
      <c r="AK42" s="60"/>
      <c r="AL42" s="60"/>
      <c r="AM42" s="60"/>
      <c r="AN42" s="60"/>
      <c r="AO42" s="60"/>
      <c r="AP42" s="60"/>
      <c r="AQ42" s="61"/>
    </row>
    <row r="43" spans="8:59" x14ac:dyDescent="0.25">
      <c r="I43" s="105"/>
      <c r="Y43" s="19"/>
      <c r="AA43" s="27"/>
      <c r="AB43" s="27"/>
      <c r="AC43" s="27"/>
      <c r="AF43" s="21"/>
      <c r="AH43" s="62"/>
      <c r="AI43" s="63"/>
      <c r="AJ43" s="63"/>
      <c r="AK43" s="63"/>
      <c r="AL43" s="63"/>
      <c r="AM43" s="63"/>
      <c r="AN43" s="63"/>
      <c r="AO43" s="63"/>
      <c r="AP43" s="63"/>
      <c r="AQ43" s="66"/>
    </row>
    <row r="44" spans="8:59" x14ac:dyDescent="0.25">
      <c r="H44" t="s">
        <v>384</v>
      </c>
      <c r="Y44" s="19" t="s">
        <v>481</v>
      </c>
      <c r="Z44" s="28" t="s">
        <v>482</v>
      </c>
      <c r="AA44">
        <f>33</f>
        <v>33</v>
      </c>
      <c r="AB44" t="s">
        <v>92</v>
      </c>
      <c r="AD44" s="25"/>
      <c r="AF44" s="21"/>
      <c r="AH44" s="62"/>
      <c r="AI44" s="211" t="s">
        <v>138</v>
      </c>
      <c r="AJ44" s="63"/>
      <c r="AK44" s="63">
        <f>1.1*AK40</f>
        <v>310.55764028296136</v>
      </c>
      <c r="AL44" s="63" t="s">
        <v>137</v>
      </c>
      <c r="AM44" s="63"/>
      <c r="AN44" s="63"/>
      <c r="AO44" s="63"/>
      <c r="AP44" s="63"/>
      <c r="AQ44" s="66"/>
    </row>
    <row r="45" spans="8:59" x14ac:dyDescent="0.25">
      <c r="H45" s="10" t="s">
        <v>344</v>
      </c>
      <c r="I45" s="10">
        <v>1</v>
      </c>
      <c r="J45" s="10" t="s">
        <v>52</v>
      </c>
      <c r="K45" s="10"/>
      <c r="Y45" s="107"/>
      <c r="AA45">
        <f>AA44/12</f>
        <v>2.75</v>
      </c>
      <c r="AB45" t="s">
        <v>52</v>
      </c>
      <c r="AD45" s="25"/>
      <c r="AF45" s="21"/>
      <c r="AH45" s="82"/>
      <c r="AI45" s="218"/>
      <c r="AJ45" s="76"/>
      <c r="AK45" s="76"/>
      <c r="AL45" s="76"/>
      <c r="AM45" s="76"/>
      <c r="AN45" s="76"/>
      <c r="AO45" s="76"/>
      <c r="AP45" s="76"/>
      <c r="AQ45" s="77"/>
      <c r="AZ45" t="s">
        <v>374</v>
      </c>
    </row>
    <row r="46" spans="8:59" x14ac:dyDescent="0.25">
      <c r="H46" s="10" t="s">
        <v>345</v>
      </c>
      <c r="I46">
        <v>1</v>
      </c>
      <c r="J46" s="10" t="s">
        <v>52</v>
      </c>
      <c r="K46" s="10"/>
      <c r="Y46" s="19"/>
      <c r="AF46" s="21"/>
      <c r="AH46" s="81"/>
      <c r="AI46" s="60"/>
      <c r="AJ46" s="60"/>
      <c r="AK46" s="60"/>
      <c r="AL46" s="60"/>
      <c r="AM46" s="60"/>
      <c r="AN46" s="60"/>
      <c r="AO46" s="60"/>
      <c r="AP46" s="60"/>
      <c r="AQ46" s="61"/>
      <c r="BB46">
        <v>8</v>
      </c>
      <c r="BC46" t="s">
        <v>92</v>
      </c>
      <c r="BE46" t="s">
        <v>364</v>
      </c>
      <c r="BF46">
        <f>PI()*BB46/12*BD53</f>
        <v>43.982297150257104</v>
      </c>
    </row>
    <row r="47" spans="8:59" x14ac:dyDescent="0.25">
      <c r="H47" s="10" t="s">
        <v>346</v>
      </c>
      <c r="I47" s="41">
        <v>7.93</v>
      </c>
      <c r="J47" s="10" t="s">
        <v>52</v>
      </c>
      <c r="K47" s="10"/>
      <c r="Y47" s="19"/>
      <c r="AF47" s="21"/>
      <c r="AH47" s="62"/>
      <c r="AI47" s="211" t="s">
        <v>139</v>
      </c>
      <c r="AJ47" s="63"/>
      <c r="AK47" s="63">
        <v>18</v>
      </c>
      <c r="AL47" s="63"/>
      <c r="AM47" s="63"/>
      <c r="AN47" s="63"/>
      <c r="AO47" s="63"/>
      <c r="AP47" s="63"/>
      <c r="AQ47" s="66"/>
      <c r="BE47" t="s">
        <v>358</v>
      </c>
      <c r="BF47">
        <v>0</v>
      </c>
      <c r="BG47" t="s">
        <v>116</v>
      </c>
    </row>
    <row r="48" spans="8:59" x14ac:dyDescent="0.25">
      <c r="H48" s="10" t="s">
        <v>347</v>
      </c>
      <c r="I48">
        <v>7.5</v>
      </c>
      <c r="J48" s="10" t="s">
        <v>52</v>
      </c>
      <c r="K48" s="10"/>
      <c r="Y48" s="19"/>
      <c r="AF48" s="21"/>
      <c r="AH48" s="62"/>
      <c r="AI48" s="211"/>
      <c r="AJ48" s="63"/>
      <c r="AK48" s="63"/>
      <c r="AL48" s="63"/>
      <c r="AM48" s="63"/>
      <c r="AN48" s="63"/>
      <c r="AO48" s="63"/>
      <c r="AP48" s="63"/>
      <c r="AQ48" s="66"/>
      <c r="BE48" t="s">
        <v>361</v>
      </c>
      <c r="BF48">
        <f>BF46*BF47</f>
        <v>0</v>
      </c>
    </row>
    <row r="49" spans="1:59" x14ac:dyDescent="0.25">
      <c r="H49" s="10" t="s">
        <v>106</v>
      </c>
      <c r="I49" s="33" t="s">
        <v>193</v>
      </c>
      <c r="J49" s="35"/>
      <c r="K49" s="10"/>
      <c r="Y49" s="19"/>
      <c r="Z49">
        <f>(AA44-2)/12</f>
        <v>2.5833333333333335</v>
      </c>
      <c r="AA49" t="s">
        <v>2</v>
      </c>
      <c r="AC49">
        <f>SQRT((AB52)^2+(Z49)^2)</f>
        <v>7.9324404259415093</v>
      </c>
      <c r="AD49" t="s">
        <v>2</v>
      </c>
      <c r="AF49" s="21"/>
      <c r="AH49" s="82"/>
      <c r="AI49" s="76"/>
      <c r="AJ49" s="76"/>
      <c r="AK49" s="76"/>
      <c r="AL49" s="76"/>
      <c r="AM49" s="76"/>
      <c r="AN49" s="76"/>
      <c r="AO49" s="76"/>
      <c r="AP49" s="76"/>
      <c r="AQ49" s="77"/>
      <c r="BE49" t="s">
        <v>367</v>
      </c>
      <c r="BF49" s="7">
        <f>BF48*1.1</f>
        <v>0</v>
      </c>
      <c r="BG49" t="s">
        <v>40</v>
      </c>
    </row>
    <row r="50" spans="1:59" ht="103.95" x14ac:dyDescent="0.25">
      <c r="H50" s="10" t="s">
        <v>128</v>
      </c>
      <c r="I50" s="33">
        <v>0</v>
      </c>
      <c r="J50" s="35"/>
      <c r="K50" s="10"/>
      <c r="Y50" s="19"/>
      <c r="Z50">
        <f>Z49*12</f>
        <v>31</v>
      </c>
      <c r="AF50" s="21"/>
      <c r="AH50" s="83"/>
      <c r="AI50" s="84" t="s">
        <v>140</v>
      </c>
      <c r="AJ50" s="85"/>
      <c r="AK50" s="85">
        <f>AK44*AK47</f>
        <v>5590.0375250933048</v>
      </c>
      <c r="AL50" s="85" t="s">
        <v>137</v>
      </c>
      <c r="AM50" s="85"/>
      <c r="AN50" s="85"/>
      <c r="AO50" s="85"/>
      <c r="AP50" s="85"/>
      <c r="AQ50" s="86"/>
    </row>
    <row r="51" spans="1:59" x14ac:dyDescent="0.25">
      <c r="H51" s="10" t="s">
        <v>112</v>
      </c>
      <c r="I51" s="10">
        <f>((I47*I45)+(I46*I48)*2)*I50</f>
        <v>0</v>
      </c>
      <c r="J51" s="10" t="s">
        <v>113</v>
      </c>
      <c r="K51" s="10"/>
      <c r="Y51" s="19"/>
      <c r="AF51" s="21"/>
    </row>
    <row r="52" spans="1:59" ht="29.7" x14ac:dyDescent="0.25">
      <c r="H52" s="106" t="s">
        <v>354</v>
      </c>
      <c r="I52" s="31">
        <f>I51*1.1</f>
        <v>0</v>
      </c>
      <c r="J52" s="10" t="s">
        <v>113</v>
      </c>
      <c r="K52" s="10"/>
      <c r="Y52" s="19"/>
      <c r="AB52" s="27">
        <f>AA42</f>
        <v>7.5</v>
      </c>
      <c r="AF52" s="21"/>
    </row>
    <row r="53" spans="1:59" x14ac:dyDescent="0.25">
      <c r="Y53" s="19"/>
      <c r="AF53" s="21"/>
      <c r="BD53">
        <v>21</v>
      </c>
      <c r="BE53" t="s">
        <v>52</v>
      </c>
    </row>
    <row r="54" spans="1:59" x14ac:dyDescent="0.25">
      <c r="Y54" s="19"/>
      <c r="AF54" s="21"/>
    </row>
    <row r="55" spans="1:59" x14ac:dyDescent="0.25">
      <c r="H55" t="s">
        <v>385</v>
      </c>
      <c r="Y55" s="19" t="s">
        <v>607</v>
      </c>
      <c r="AB55" s="27">
        <f>(1*AB52)</f>
        <v>7.5</v>
      </c>
      <c r="AC55" t="s">
        <v>125</v>
      </c>
      <c r="AF55" s="21"/>
    </row>
    <row r="56" spans="1:59" x14ac:dyDescent="0.25">
      <c r="H56" s="10" t="s">
        <v>91</v>
      </c>
      <c r="I56" s="10">
        <f>0</f>
        <v>0</v>
      </c>
      <c r="J56" s="10" t="s">
        <v>52</v>
      </c>
      <c r="K56" s="10"/>
      <c r="Y56" s="19" t="s">
        <v>349</v>
      </c>
      <c r="AB56">
        <f>AC49</f>
        <v>7.9324404259415093</v>
      </c>
      <c r="AC56" t="s">
        <v>125</v>
      </c>
      <c r="AF56" s="21"/>
    </row>
    <row r="57" spans="1:59" x14ac:dyDescent="0.25">
      <c r="H57" s="10" t="s">
        <v>100</v>
      </c>
      <c r="I57" s="41">
        <f>0</f>
        <v>0</v>
      </c>
      <c r="J57" s="10" t="s">
        <v>52</v>
      </c>
      <c r="K57" s="10"/>
      <c r="Y57" s="48" t="s">
        <v>350</v>
      </c>
      <c r="AB57" s="1">
        <f>2*(0.25*4*AB56)+(0.25*4*AB55)</f>
        <v>23.364880851883019</v>
      </c>
      <c r="AC57" t="s">
        <v>126</v>
      </c>
      <c r="AF57" s="21"/>
    </row>
    <row r="58" spans="1:59" x14ac:dyDescent="0.25">
      <c r="H58" s="10" t="s">
        <v>106</v>
      </c>
      <c r="I58" t="s">
        <v>385</v>
      </c>
      <c r="K58" s="10"/>
      <c r="Y58" s="19" t="s">
        <v>132</v>
      </c>
      <c r="AA58" t="s">
        <v>133</v>
      </c>
      <c r="AB58" s="27">
        <f>AB57*1.1</f>
        <v>25.701368937071322</v>
      </c>
      <c r="AC58" t="s">
        <v>126</v>
      </c>
      <c r="AF58" s="21"/>
    </row>
    <row r="59" spans="1:59" x14ac:dyDescent="0.25">
      <c r="H59" s="10" t="s">
        <v>128</v>
      </c>
      <c r="I59" s="33">
        <v>0</v>
      </c>
      <c r="J59" s="35"/>
      <c r="K59" s="10"/>
      <c r="Y59" s="49" t="s">
        <v>438</v>
      </c>
      <c r="Z59" s="3"/>
      <c r="AA59" s="3"/>
      <c r="AB59" s="135">
        <f>AB55+2*AB56</f>
        <v>23.364880851883019</v>
      </c>
      <c r="AC59" s="3"/>
      <c r="AD59" s="3"/>
      <c r="AE59" s="3"/>
      <c r="AF59" s="44"/>
    </row>
    <row r="60" spans="1:59" x14ac:dyDescent="0.25">
      <c r="H60" s="10" t="s">
        <v>112</v>
      </c>
      <c r="I60" s="10">
        <f>I57*I56*I59</f>
        <v>0</v>
      </c>
      <c r="J60" s="10" t="s">
        <v>113</v>
      </c>
      <c r="K60" s="10"/>
    </row>
    <row r="61" spans="1:59" ht="29.7" x14ac:dyDescent="0.25">
      <c r="H61" s="106" t="s">
        <v>354</v>
      </c>
      <c r="I61" s="31">
        <f>I60*1.1</f>
        <v>0</v>
      </c>
      <c r="J61" s="10" t="s">
        <v>113</v>
      </c>
      <c r="K61" s="10"/>
    </row>
    <row r="63" spans="1:59" x14ac:dyDescent="0.25">
      <c r="A63" s="130" t="s">
        <v>416</v>
      </c>
    </row>
    <row r="64" spans="1:59" x14ac:dyDescent="0.25">
      <c r="A64" s="7" t="s">
        <v>57</v>
      </c>
      <c r="B64" s="7"/>
      <c r="C64" s="7">
        <v>0</v>
      </c>
      <c r="D64" s="7" t="s">
        <v>116</v>
      </c>
    </row>
    <row r="66" spans="1:5" x14ac:dyDescent="0.25">
      <c r="A66" s="130" t="s">
        <v>415</v>
      </c>
      <c r="B66" s="6"/>
      <c r="C66" s="6"/>
    </row>
    <row r="67" spans="1:5" x14ac:dyDescent="0.25">
      <c r="A67" s="7" t="s">
        <v>409</v>
      </c>
      <c r="B67" s="7"/>
      <c r="C67" s="127">
        <f>0</f>
        <v>0</v>
      </c>
      <c r="D67" s="7" t="s">
        <v>137</v>
      </c>
      <c r="E67" s="7"/>
    </row>
  </sheetData>
  <mergeCells count="6">
    <mergeCell ref="AI47:AI48"/>
    <mergeCell ref="A11:J13"/>
    <mergeCell ref="Y18:AF18"/>
    <mergeCell ref="AH19:AN19"/>
    <mergeCell ref="AI39:AI41"/>
    <mergeCell ref="AI44:AI45"/>
  </mergeCell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47C6-23C4-44AF-94B7-0907FF1F7704}">
  <dimension ref="A1:J28"/>
  <sheetViews>
    <sheetView workbookViewId="0">
      <selection activeCell="H31" sqref="H31"/>
    </sheetView>
  </sheetViews>
  <sheetFormatPr defaultRowHeight="14.85" x14ac:dyDescent="0.25"/>
  <cols>
    <col min="2" max="2" width="12.28515625" customWidth="1"/>
    <col min="5" max="5" width="128" customWidth="1"/>
    <col min="6" max="7" width="12.7109375" customWidth="1"/>
    <col min="8" max="8" width="18.7109375" customWidth="1"/>
    <col min="9" max="10" width="12.7109375" customWidth="1"/>
  </cols>
  <sheetData>
    <row r="1" spans="1:10" ht="15.6" thickBot="1" x14ac:dyDescent="0.3">
      <c r="A1" s="219"/>
      <c r="B1" s="220"/>
      <c r="C1" s="220"/>
      <c r="D1" s="220"/>
      <c r="E1" s="170" t="s">
        <v>681</v>
      </c>
      <c r="F1" s="220" t="s">
        <v>717</v>
      </c>
      <c r="G1" s="220"/>
      <c r="H1" s="220"/>
      <c r="I1" s="220"/>
      <c r="J1" s="221"/>
    </row>
    <row r="2" spans="1:10" ht="15.6" thickBot="1" x14ac:dyDescent="0.3">
      <c r="A2" s="171" t="s">
        <v>640</v>
      </c>
      <c r="B2" s="172" t="s">
        <v>641</v>
      </c>
      <c r="C2" s="173" t="s">
        <v>378</v>
      </c>
      <c r="D2" s="174" t="s">
        <v>642</v>
      </c>
      <c r="E2" s="175" t="s">
        <v>643</v>
      </c>
      <c r="F2" s="176" t="s">
        <v>644</v>
      </c>
      <c r="G2" s="173" t="s">
        <v>645</v>
      </c>
      <c r="H2" s="173" t="s">
        <v>646</v>
      </c>
      <c r="I2" s="173" t="s">
        <v>647</v>
      </c>
      <c r="J2" s="208" t="s">
        <v>648</v>
      </c>
    </row>
    <row r="3" spans="1:10" x14ac:dyDescent="0.25">
      <c r="A3" s="177">
        <v>202</v>
      </c>
      <c r="B3" s="178">
        <v>11203</v>
      </c>
      <c r="C3" s="179" t="str">
        <f t="shared" ref="C3:C4" si="0">IF(D3="LUMP","LS",IF(SUM(F3:I3)=0,"",(SUM(F3:I3))))</f>
        <v>LS</v>
      </c>
      <c r="D3" s="180" t="s">
        <v>441</v>
      </c>
      <c r="E3" s="181" t="s">
        <v>649</v>
      </c>
      <c r="F3" s="179" t="s">
        <v>441</v>
      </c>
      <c r="G3" s="179"/>
      <c r="H3" s="179" t="s">
        <v>441</v>
      </c>
      <c r="I3" s="179"/>
      <c r="J3" s="182">
        <v>8</v>
      </c>
    </row>
    <row r="4" spans="1:10" hidden="1" x14ac:dyDescent="0.25">
      <c r="A4" s="183" t="s">
        <v>650</v>
      </c>
      <c r="B4" s="184">
        <v>11100</v>
      </c>
      <c r="C4" s="185" t="str">
        <f t="shared" si="0"/>
        <v>LS</v>
      </c>
      <c r="D4" s="186" t="s">
        <v>441</v>
      </c>
      <c r="E4" s="187" t="s">
        <v>651</v>
      </c>
      <c r="F4" s="185" t="s">
        <v>441</v>
      </c>
      <c r="G4" s="185"/>
      <c r="H4" s="185"/>
      <c r="I4" s="185"/>
      <c r="J4" s="188"/>
    </row>
    <row r="5" spans="1:10" hidden="1" x14ac:dyDescent="0.25">
      <c r="A5" s="183" t="s">
        <v>650</v>
      </c>
      <c r="B5" s="184">
        <v>21300</v>
      </c>
      <c r="C5" s="185" t="str">
        <f t="shared" ref="C5:C27" si="1">IF(D5="LUMP","LS",IF(SUM(F5:I5)=0,"",(SUM(F5:I5))))</f>
        <v>LS</v>
      </c>
      <c r="D5" s="186" t="s">
        <v>441</v>
      </c>
      <c r="E5" s="187" t="s">
        <v>652</v>
      </c>
      <c r="F5" s="185" t="s">
        <v>441</v>
      </c>
      <c r="G5" s="185"/>
      <c r="H5" s="185"/>
      <c r="I5" s="185"/>
      <c r="J5" s="188"/>
    </row>
    <row r="6" spans="1:10" hidden="1" x14ac:dyDescent="0.25">
      <c r="A6" s="183">
        <v>202</v>
      </c>
      <c r="B6" s="184">
        <v>75260</v>
      </c>
      <c r="C6" s="185">
        <f t="shared" si="1"/>
        <v>516</v>
      </c>
      <c r="D6" s="186" t="s">
        <v>2</v>
      </c>
      <c r="E6" s="10" t="s">
        <v>653</v>
      </c>
      <c r="F6" s="185"/>
      <c r="G6" s="185"/>
      <c r="H6" s="185">
        <v>516</v>
      </c>
      <c r="I6" s="185"/>
      <c r="J6" s="189"/>
    </row>
    <row r="7" spans="1:10" x14ac:dyDescent="0.25">
      <c r="A7" s="183"/>
      <c r="B7" s="184"/>
      <c r="C7" s="185"/>
      <c r="D7" s="186"/>
      <c r="E7" s="10"/>
      <c r="F7" s="185"/>
      <c r="G7" s="185"/>
      <c r="H7" s="185"/>
      <c r="I7" s="185"/>
      <c r="J7" s="189"/>
    </row>
    <row r="8" spans="1:10" x14ac:dyDescent="0.25">
      <c r="A8" s="183">
        <v>512</v>
      </c>
      <c r="B8" s="184">
        <v>10101</v>
      </c>
      <c r="C8" s="185">
        <f t="shared" si="1"/>
        <v>1413</v>
      </c>
      <c r="D8" s="186" t="s">
        <v>525</v>
      </c>
      <c r="E8" s="187" t="s">
        <v>654</v>
      </c>
      <c r="F8" s="185">
        <v>1102</v>
      </c>
      <c r="G8" s="185"/>
      <c r="H8" s="185">
        <v>311</v>
      </c>
      <c r="I8" s="185"/>
      <c r="J8" s="189">
        <v>8</v>
      </c>
    </row>
    <row r="9" spans="1:10" x14ac:dyDescent="0.25">
      <c r="A9" s="183">
        <v>512</v>
      </c>
      <c r="B9" s="184">
        <v>10600</v>
      </c>
      <c r="C9" s="185">
        <f t="shared" si="1"/>
        <v>164</v>
      </c>
      <c r="D9" s="186" t="s">
        <v>2</v>
      </c>
      <c r="E9" s="187" t="s">
        <v>655</v>
      </c>
      <c r="F9" s="185"/>
      <c r="G9" s="185"/>
      <c r="H9" s="185">
        <v>164</v>
      </c>
      <c r="I9" s="185"/>
      <c r="J9" s="189"/>
    </row>
    <row r="10" spans="1:10" x14ac:dyDescent="0.25">
      <c r="A10" s="190" t="s">
        <v>656</v>
      </c>
      <c r="B10" s="184" t="s">
        <v>657</v>
      </c>
      <c r="C10" s="185">
        <f t="shared" si="1"/>
        <v>1413</v>
      </c>
      <c r="D10" s="186" t="s">
        <v>525</v>
      </c>
      <c r="E10" s="187" t="s">
        <v>658</v>
      </c>
      <c r="F10" s="185">
        <v>1102</v>
      </c>
      <c r="G10" s="185"/>
      <c r="H10" s="185">
        <v>311</v>
      </c>
      <c r="I10" s="185"/>
      <c r="J10" s="189"/>
    </row>
    <row r="11" spans="1:10" x14ac:dyDescent="0.25">
      <c r="A11" s="190"/>
      <c r="B11" s="184"/>
      <c r="C11" s="185" t="str">
        <f t="shared" si="1"/>
        <v/>
      </c>
      <c r="D11" s="186"/>
      <c r="E11" s="187"/>
      <c r="F11" s="185"/>
      <c r="G11" s="185"/>
      <c r="H11" s="191"/>
      <c r="I11" s="185"/>
      <c r="J11" s="189"/>
    </row>
    <row r="12" spans="1:10" x14ac:dyDescent="0.25">
      <c r="A12" s="192" t="s">
        <v>659</v>
      </c>
      <c r="B12" s="184">
        <v>50</v>
      </c>
      <c r="C12" s="185">
        <f t="shared" si="1"/>
        <v>45649</v>
      </c>
      <c r="D12" s="186" t="s">
        <v>278</v>
      </c>
      <c r="E12" s="187" t="s">
        <v>95</v>
      </c>
      <c r="F12" s="185"/>
      <c r="G12" s="191"/>
      <c r="H12" s="191">
        <v>45649</v>
      </c>
      <c r="I12" s="185"/>
      <c r="J12" s="189"/>
    </row>
    <row r="13" spans="1:10" x14ac:dyDescent="0.25">
      <c r="A13" s="192" t="s">
        <v>659</v>
      </c>
      <c r="B13" s="184">
        <v>56</v>
      </c>
      <c r="C13" s="185">
        <f t="shared" si="1"/>
        <v>45649</v>
      </c>
      <c r="D13" s="186" t="s">
        <v>278</v>
      </c>
      <c r="E13" s="187" t="s">
        <v>660</v>
      </c>
      <c r="F13" s="185"/>
      <c r="G13" s="191"/>
      <c r="H13" s="191">
        <v>45649</v>
      </c>
      <c r="I13" s="185"/>
      <c r="J13" s="189"/>
    </row>
    <row r="14" spans="1:10" x14ac:dyDescent="0.25">
      <c r="A14" s="192" t="s">
        <v>659</v>
      </c>
      <c r="B14" s="184">
        <v>60</v>
      </c>
      <c r="C14" s="185">
        <f t="shared" si="1"/>
        <v>45649</v>
      </c>
      <c r="D14" s="186" t="s">
        <v>278</v>
      </c>
      <c r="E14" s="187" t="s">
        <v>661</v>
      </c>
      <c r="F14" s="185"/>
      <c r="G14" s="191"/>
      <c r="H14" s="191">
        <v>45649</v>
      </c>
      <c r="I14" s="185"/>
      <c r="J14" s="189"/>
    </row>
    <row r="15" spans="1:10" x14ac:dyDescent="0.25">
      <c r="A15" s="192" t="s">
        <v>659</v>
      </c>
      <c r="B15" s="184">
        <v>66</v>
      </c>
      <c r="C15" s="185">
        <f t="shared" si="1"/>
        <v>45649</v>
      </c>
      <c r="D15" s="186" t="s">
        <v>278</v>
      </c>
      <c r="E15" s="187" t="s">
        <v>662</v>
      </c>
      <c r="F15" s="185"/>
      <c r="G15" s="191"/>
      <c r="H15" s="191">
        <v>45649</v>
      </c>
      <c r="I15" s="185"/>
      <c r="J15" s="189"/>
    </row>
    <row r="16" spans="1:10" x14ac:dyDescent="0.25">
      <c r="A16" s="192" t="s">
        <v>659</v>
      </c>
      <c r="B16" s="184">
        <v>504</v>
      </c>
      <c r="C16" s="185">
        <f t="shared" si="1"/>
        <v>35</v>
      </c>
      <c r="D16" s="186" t="s">
        <v>663</v>
      </c>
      <c r="E16" s="187" t="s">
        <v>110</v>
      </c>
      <c r="F16" s="185"/>
      <c r="G16" s="191"/>
      <c r="H16" s="191">
        <v>35</v>
      </c>
      <c r="I16" s="185"/>
      <c r="J16" s="189"/>
    </row>
    <row r="17" spans="1:10" x14ac:dyDescent="0.25">
      <c r="A17" s="192" t="s">
        <v>659</v>
      </c>
      <c r="B17" s="184">
        <v>10000</v>
      </c>
      <c r="C17" s="185">
        <f t="shared" si="1"/>
        <v>39</v>
      </c>
      <c r="D17" s="186" t="s">
        <v>116</v>
      </c>
      <c r="E17" s="187" t="s">
        <v>115</v>
      </c>
      <c r="F17" s="185"/>
      <c r="G17" s="185"/>
      <c r="H17" s="185">
        <v>39</v>
      </c>
      <c r="I17" s="185"/>
      <c r="J17" s="189"/>
    </row>
    <row r="18" spans="1:10" x14ac:dyDescent="0.25">
      <c r="A18" s="192"/>
      <c r="B18" s="184"/>
      <c r="C18" s="185"/>
      <c r="D18" s="186"/>
      <c r="E18" s="187"/>
      <c r="F18" s="185"/>
      <c r="G18" s="185"/>
      <c r="H18" s="191"/>
      <c r="I18" s="185"/>
      <c r="J18" s="189"/>
    </row>
    <row r="19" spans="1:10" hidden="1" x14ac:dyDescent="0.25">
      <c r="A19" s="192" t="s">
        <v>664</v>
      </c>
      <c r="B19" s="184">
        <v>75123</v>
      </c>
      <c r="C19" s="185">
        <f t="shared" si="1"/>
        <v>566</v>
      </c>
      <c r="D19" s="186" t="s">
        <v>2</v>
      </c>
      <c r="E19" s="187" t="s">
        <v>665</v>
      </c>
      <c r="F19" s="185">
        <v>50</v>
      </c>
      <c r="G19" s="185"/>
      <c r="H19" s="191">
        <v>516</v>
      </c>
      <c r="I19" s="185"/>
      <c r="J19" s="189">
        <v>17</v>
      </c>
    </row>
    <row r="20" spans="1:10" hidden="1" x14ac:dyDescent="0.25">
      <c r="A20" s="192" t="s">
        <v>664</v>
      </c>
      <c r="B20" s="184">
        <v>75601</v>
      </c>
      <c r="C20" s="185">
        <f t="shared" si="1"/>
        <v>180</v>
      </c>
      <c r="D20" s="186" t="s">
        <v>2</v>
      </c>
      <c r="E20" s="187" t="s">
        <v>666</v>
      </c>
      <c r="F20" s="185"/>
      <c r="G20" s="185"/>
      <c r="H20" s="191">
        <v>180</v>
      </c>
      <c r="I20" s="185"/>
      <c r="J20" s="189"/>
    </row>
    <row r="21" spans="1:10" hidden="1" x14ac:dyDescent="0.25">
      <c r="A21" s="192" t="s">
        <v>667</v>
      </c>
      <c r="B21" s="184">
        <v>11100</v>
      </c>
      <c r="C21" s="185">
        <f t="shared" si="1"/>
        <v>52</v>
      </c>
      <c r="D21" s="186" t="s">
        <v>278</v>
      </c>
      <c r="E21" s="187" t="s">
        <v>668</v>
      </c>
      <c r="F21" s="185">
        <v>45</v>
      </c>
      <c r="G21" s="185">
        <v>7</v>
      </c>
      <c r="H21" s="191"/>
      <c r="I21" s="185"/>
      <c r="J21" s="189"/>
    </row>
    <row r="22" spans="1:10" hidden="1" x14ac:dyDescent="0.25">
      <c r="A22" s="192" t="s">
        <v>669</v>
      </c>
      <c r="B22" s="193">
        <v>50000</v>
      </c>
      <c r="C22" s="185">
        <f t="shared" si="1"/>
        <v>32</v>
      </c>
      <c r="D22" s="186" t="s">
        <v>278</v>
      </c>
      <c r="E22" s="187" t="s">
        <v>670</v>
      </c>
      <c r="F22" s="185">
        <v>32</v>
      </c>
      <c r="G22" s="185"/>
      <c r="H22" s="191"/>
      <c r="I22" s="185"/>
      <c r="J22" s="189"/>
    </row>
    <row r="23" spans="1:10" hidden="1" x14ac:dyDescent="0.25">
      <c r="A23" s="194" t="s">
        <v>671</v>
      </c>
      <c r="B23" s="195" t="s">
        <v>672</v>
      </c>
      <c r="C23" s="185">
        <f t="shared" si="1"/>
        <v>42.6</v>
      </c>
      <c r="D23" s="196" t="s">
        <v>295</v>
      </c>
      <c r="E23" s="197" t="s">
        <v>673</v>
      </c>
      <c r="F23" s="198"/>
      <c r="G23" s="198"/>
      <c r="H23" s="199">
        <v>42.6</v>
      </c>
      <c r="I23" s="198"/>
      <c r="J23" s="189"/>
    </row>
    <row r="24" spans="1:10" hidden="1" x14ac:dyDescent="0.25">
      <c r="A24" s="194" t="s">
        <v>674</v>
      </c>
      <c r="B24" s="200">
        <v>53000200</v>
      </c>
      <c r="C24" s="185" t="str">
        <f t="shared" si="1"/>
        <v>LS</v>
      </c>
      <c r="D24" s="196" t="s">
        <v>441</v>
      </c>
      <c r="E24" s="197" t="s">
        <v>675</v>
      </c>
      <c r="F24" s="191" t="s">
        <v>441</v>
      </c>
      <c r="G24" s="198"/>
      <c r="H24" s="191" t="s">
        <v>441</v>
      </c>
      <c r="I24" s="198"/>
      <c r="J24" s="189">
        <v>17</v>
      </c>
    </row>
    <row r="25" spans="1:10" hidden="1" x14ac:dyDescent="0.25">
      <c r="A25" s="194">
        <v>607</v>
      </c>
      <c r="B25" s="195">
        <v>39931</v>
      </c>
      <c r="C25" s="185">
        <f t="shared" si="1"/>
        <v>516</v>
      </c>
      <c r="D25" s="185" t="s">
        <v>2</v>
      </c>
      <c r="E25" s="201" t="s">
        <v>676</v>
      </c>
      <c r="F25" s="197"/>
      <c r="G25" s="198"/>
      <c r="H25" s="199">
        <v>516</v>
      </c>
      <c r="I25" s="198"/>
      <c r="J25" s="189"/>
    </row>
    <row r="26" spans="1:10" hidden="1" x14ac:dyDescent="0.25">
      <c r="A26" s="194">
        <v>625</v>
      </c>
      <c r="B26" s="195">
        <v>25502</v>
      </c>
      <c r="C26" s="185">
        <f t="shared" si="1"/>
        <v>294</v>
      </c>
      <c r="D26" s="196" t="s">
        <v>2</v>
      </c>
      <c r="E26" s="197" t="s">
        <v>677</v>
      </c>
      <c r="F26" s="198">
        <v>36</v>
      </c>
      <c r="G26" s="198"/>
      <c r="H26" s="199">
        <v>258</v>
      </c>
      <c r="I26" s="198"/>
      <c r="J26" s="189"/>
    </row>
    <row r="27" spans="1:10" hidden="1" x14ac:dyDescent="0.25">
      <c r="A27" s="194">
        <v>625</v>
      </c>
      <c r="B27" s="195">
        <v>29920</v>
      </c>
      <c r="C27" s="185">
        <f t="shared" si="1"/>
        <v>1</v>
      </c>
      <c r="D27" s="196" t="s">
        <v>456</v>
      </c>
      <c r="E27" s="197" t="s">
        <v>678</v>
      </c>
      <c r="F27" s="198"/>
      <c r="G27" s="198"/>
      <c r="H27" s="199">
        <v>1</v>
      </c>
      <c r="I27" s="198"/>
      <c r="J27" s="189"/>
    </row>
    <row r="28" spans="1:10" ht="15.6" thickBot="1" x14ac:dyDescent="0.3">
      <c r="A28" s="202">
        <v>519</v>
      </c>
      <c r="B28" s="203">
        <v>11101</v>
      </c>
      <c r="C28" s="204">
        <f t="shared" ref="C28" si="2">IF(D28="LUMP","LS",IF(SUM(F28:I28)=0,"",(SUM(F28:I28))))</f>
        <v>8</v>
      </c>
      <c r="D28" s="210" t="s">
        <v>278</v>
      </c>
      <c r="E28" s="206" t="s">
        <v>710</v>
      </c>
      <c r="F28" s="204"/>
      <c r="G28" s="204"/>
      <c r="H28" s="204">
        <v>8</v>
      </c>
      <c r="I28" s="204"/>
      <c r="J28" s="207">
        <v>8</v>
      </c>
    </row>
  </sheetData>
  <mergeCells count="2">
    <mergeCell ref="A1:D1"/>
    <mergeCell ref="F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DB781-CD2B-4D8E-85CB-92CAC7BFDCE9}">
  <dimension ref="A11:BG67"/>
  <sheetViews>
    <sheetView topLeftCell="A16" workbookViewId="0">
      <selection activeCell="I51" sqref="I51"/>
    </sheetView>
  </sheetViews>
  <sheetFormatPr defaultRowHeight="14.85" x14ac:dyDescent="0.25"/>
  <cols>
    <col min="4" max="4" width="15.28515625" customWidth="1"/>
    <col min="5" max="5" width="11.140625" customWidth="1"/>
    <col min="8" max="8" width="15" customWidth="1"/>
    <col min="9" max="9" width="21.5703125" customWidth="1"/>
    <col min="12" max="12" width="12.7109375" customWidth="1"/>
    <col min="13" max="13" width="18.140625" customWidth="1"/>
    <col min="16" max="16" width="12.42578125" customWidth="1"/>
    <col min="17" max="17" width="13.28515625" customWidth="1"/>
    <col min="18" max="18" width="12.140625" customWidth="1"/>
    <col min="19" max="19" width="14.85546875" customWidth="1"/>
    <col min="20" max="20" width="13.5703125" customWidth="1"/>
    <col min="21" max="21" width="12.5703125" customWidth="1"/>
    <col min="27" max="27" width="11.7109375" customWidth="1"/>
  </cols>
  <sheetData>
    <row r="11" spans="1:39" x14ac:dyDescent="0.25">
      <c r="A11" s="212" t="s">
        <v>309</v>
      </c>
      <c r="B11" s="212"/>
      <c r="C11" s="212"/>
      <c r="D11" s="212"/>
      <c r="E11" s="212"/>
      <c r="F11" s="212"/>
      <c r="G11" s="212"/>
      <c r="H11" s="212"/>
      <c r="I11" s="212"/>
      <c r="J11" s="212"/>
    </row>
    <row r="12" spans="1:39" x14ac:dyDescent="0.25">
      <c r="A12" s="212"/>
      <c r="B12" s="212"/>
      <c r="C12" s="212"/>
      <c r="D12" s="212"/>
      <c r="E12" s="212"/>
      <c r="F12" s="212"/>
      <c r="G12" s="212"/>
      <c r="H12" s="212"/>
      <c r="I12" s="212"/>
      <c r="J12" s="212"/>
    </row>
    <row r="13" spans="1:39" x14ac:dyDescent="0.25">
      <c r="A13" s="212"/>
      <c r="B13" s="212"/>
      <c r="C13" s="212"/>
      <c r="D13" s="212"/>
      <c r="E13" s="212"/>
      <c r="F13" s="212"/>
      <c r="G13" s="212"/>
      <c r="H13" s="212"/>
      <c r="I13" s="212"/>
      <c r="J13" s="212"/>
    </row>
    <row r="14" spans="1:39" ht="15.6" x14ac:dyDescent="0.25">
      <c r="H14" t="s">
        <v>338</v>
      </c>
      <c r="L14" t="s">
        <v>339</v>
      </c>
      <c r="P14" t="s">
        <v>340</v>
      </c>
      <c r="Q14">
        <f>2*(2.5+72+2.5)+(3*18)-(2*0.4375)</f>
        <v>207.125</v>
      </c>
      <c r="T14" t="s">
        <v>341</v>
      </c>
      <c r="AM14" s="8"/>
    </row>
    <row r="15" spans="1:39" ht="80.2" x14ac:dyDescent="0.25">
      <c r="H15" s="9" t="s">
        <v>609</v>
      </c>
      <c r="I15" s="10">
        <f>2*27.09+3*10-2*0.515</f>
        <v>83.15</v>
      </c>
      <c r="J15" s="10" t="s">
        <v>92</v>
      </c>
      <c r="K15" s="9" t="s">
        <v>608</v>
      </c>
      <c r="L15" s="9" t="s">
        <v>91</v>
      </c>
      <c r="M15" s="10">
        <v>0</v>
      </c>
      <c r="N15" s="10" t="s">
        <v>92</v>
      </c>
      <c r="O15" s="9" t="s">
        <v>93</v>
      </c>
      <c r="P15" s="9" t="s">
        <v>91</v>
      </c>
      <c r="Q15" s="10">
        <v>0</v>
      </c>
      <c r="R15" s="10" t="s">
        <v>92</v>
      </c>
      <c r="S15" s="9" t="s">
        <v>93</v>
      </c>
      <c r="T15" s="9" t="s">
        <v>91</v>
      </c>
      <c r="U15" s="10">
        <v>0</v>
      </c>
      <c r="V15" s="10" t="s">
        <v>92</v>
      </c>
      <c r="W15" s="9" t="s">
        <v>93</v>
      </c>
      <c r="X15" s="115"/>
    </row>
    <row r="16" spans="1:39" ht="133.65" x14ac:dyDescent="0.25">
      <c r="B16" s="116">
        <v>514</v>
      </c>
      <c r="C16" s="132" t="s">
        <v>94</v>
      </c>
      <c r="D16" s="115" t="s">
        <v>95</v>
      </c>
      <c r="E16" s="116" t="s">
        <v>40</v>
      </c>
      <c r="F16" s="12">
        <f>P33</f>
        <v>5852.9485116666674</v>
      </c>
      <c r="H16" s="58"/>
      <c r="I16" s="10">
        <f>I15/12</f>
        <v>6.9291666666666671</v>
      </c>
      <c r="J16" s="10" t="s">
        <v>52</v>
      </c>
      <c r="K16" s="13"/>
      <c r="L16" s="58" t="s">
        <v>337</v>
      </c>
      <c r="M16" s="10">
        <f>M15/12</f>
        <v>0</v>
      </c>
      <c r="N16" s="10" t="s">
        <v>52</v>
      </c>
      <c r="O16" s="13"/>
      <c r="P16" s="58" t="s">
        <v>381</v>
      </c>
      <c r="Q16" s="10">
        <f>Q15/12</f>
        <v>0</v>
      </c>
      <c r="R16" s="10" t="s">
        <v>52</v>
      </c>
      <c r="S16" s="13"/>
      <c r="T16" s="58" t="s">
        <v>382</v>
      </c>
      <c r="U16" s="10">
        <f>U15/12</f>
        <v>0</v>
      </c>
      <c r="V16" s="10" t="s">
        <v>52</v>
      </c>
      <c r="W16" s="13"/>
      <c r="X16" s="116"/>
    </row>
    <row r="17" spans="2:58" ht="74.25" x14ac:dyDescent="0.25">
      <c r="B17" s="116">
        <v>514</v>
      </c>
      <c r="C17" s="132" t="s">
        <v>96</v>
      </c>
      <c r="D17" s="115" t="s">
        <v>97</v>
      </c>
      <c r="E17" s="116" t="s">
        <v>40</v>
      </c>
      <c r="F17" s="12">
        <f>P33</f>
        <v>5852.9485116666674</v>
      </c>
      <c r="H17" s="10" t="s">
        <v>610</v>
      </c>
      <c r="I17" s="10">
        <v>131.5</v>
      </c>
      <c r="J17" s="10" t="s">
        <v>52</v>
      </c>
      <c r="K17" s="10"/>
      <c r="L17" s="10" t="s">
        <v>100</v>
      </c>
      <c r="M17" s="10">
        <v>0</v>
      </c>
      <c r="N17" s="10" t="s">
        <v>52</v>
      </c>
      <c r="O17" s="10"/>
      <c r="P17" s="10" t="s">
        <v>100</v>
      </c>
      <c r="Q17" s="10">
        <v>0</v>
      </c>
      <c r="R17" s="10" t="s">
        <v>52</v>
      </c>
      <c r="S17" s="10"/>
      <c r="T17" s="10" t="s">
        <v>100</v>
      </c>
      <c r="U17" s="10">
        <v>0</v>
      </c>
      <c r="V17" s="10" t="s">
        <v>52</v>
      </c>
      <c r="W17" s="10"/>
    </row>
    <row r="18" spans="2:58" ht="89.1" x14ac:dyDescent="0.25">
      <c r="B18" s="116">
        <v>514</v>
      </c>
      <c r="C18" s="132" t="s">
        <v>98</v>
      </c>
      <c r="D18" s="115" t="s">
        <v>99</v>
      </c>
      <c r="E18" s="116" t="s">
        <v>40</v>
      </c>
      <c r="F18" s="12">
        <f>P33</f>
        <v>5852.9485116666674</v>
      </c>
      <c r="H18" s="22" t="s">
        <v>106</v>
      </c>
      <c r="I18" s="22" t="s">
        <v>632</v>
      </c>
      <c r="J18" s="24"/>
      <c r="K18" s="22"/>
      <c r="L18" s="22" t="s">
        <v>106</v>
      </c>
      <c r="M18" s="23" t="s">
        <v>339</v>
      </c>
      <c r="N18" s="24"/>
      <c r="O18" s="22"/>
      <c r="P18" s="22" t="s">
        <v>106</v>
      </c>
      <c r="Q18" s="23" t="s">
        <v>340</v>
      </c>
      <c r="R18" s="24"/>
      <c r="S18" s="22"/>
      <c r="T18" s="22" t="s">
        <v>106</v>
      </c>
      <c r="U18" s="23" t="s">
        <v>341</v>
      </c>
      <c r="V18" s="24"/>
      <c r="W18" s="22"/>
      <c r="X18" s="117"/>
      <c r="Y18" s="213" t="s">
        <v>352</v>
      </c>
      <c r="Z18" s="214"/>
      <c r="AA18" s="214"/>
      <c r="AB18" s="214"/>
      <c r="AC18" s="214"/>
      <c r="AD18" s="214"/>
      <c r="AE18" s="214"/>
      <c r="AF18" s="215"/>
      <c r="AH18" s="129" t="s">
        <v>407</v>
      </c>
      <c r="AI18" s="63"/>
      <c r="AJ18" s="63"/>
      <c r="AK18" s="63"/>
      <c r="AL18" s="63"/>
      <c r="AM18" s="63" t="s">
        <v>102</v>
      </c>
      <c r="AN18" s="63"/>
      <c r="AO18" s="68">
        <v>8.1999999999999993</v>
      </c>
      <c r="AP18" s="149" t="s">
        <v>103</v>
      </c>
      <c r="AQ18" s="66"/>
    </row>
    <row r="19" spans="2:58" ht="74.25" x14ac:dyDescent="0.25">
      <c r="B19" s="116">
        <v>514</v>
      </c>
      <c r="C19" s="132" t="s">
        <v>104</v>
      </c>
      <c r="D19" s="115" t="s">
        <v>105</v>
      </c>
      <c r="E19" s="116" t="s">
        <v>40</v>
      </c>
      <c r="F19" s="12">
        <f>P33</f>
        <v>5852.9485116666674</v>
      </c>
      <c r="H19" s="10" t="s">
        <v>112</v>
      </c>
      <c r="I19" s="10">
        <f>I17*I16</f>
        <v>911.1854166666667</v>
      </c>
      <c r="J19" s="10" t="s">
        <v>113</v>
      </c>
      <c r="K19" s="10"/>
      <c r="L19" s="10" t="s">
        <v>112</v>
      </c>
      <c r="M19" s="10">
        <f>M17*M16</f>
        <v>0</v>
      </c>
      <c r="N19" s="10" t="s">
        <v>113</v>
      </c>
      <c r="O19" s="10"/>
      <c r="P19" s="10" t="s">
        <v>112</v>
      </c>
      <c r="Q19" s="10">
        <f>Q17*Q16</f>
        <v>0</v>
      </c>
      <c r="R19" s="10" t="s">
        <v>113</v>
      </c>
      <c r="S19" s="10"/>
      <c r="T19" s="10" t="s">
        <v>112</v>
      </c>
      <c r="U19" s="10">
        <f>U17*U16</f>
        <v>0</v>
      </c>
      <c r="V19" s="10" t="s">
        <v>113</v>
      </c>
      <c r="W19" s="10"/>
      <c r="X19" s="19"/>
      <c r="Y19" s="19"/>
      <c r="Z19" t="s">
        <v>114</v>
      </c>
      <c r="AA19" s="27">
        <v>6.96</v>
      </c>
      <c r="AB19" s="27" t="s">
        <v>52</v>
      </c>
      <c r="AC19" s="27"/>
      <c r="AF19" s="21"/>
      <c r="AH19" s="216" t="s">
        <v>352</v>
      </c>
      <c r="AI19" s="217"/>
      <c r="AJ19" s="217"/>
      <c r="AK19" s="217"/>
      <c r="AL19" s="217"/>
      <c r="AM19" s="217"/>
      <c r="AN19" s="217"/>
      <c r="AO19" s="63"/>
      <c r="AP19" s="63"/>
      <c r="AQ19" s="66"/>
    </row>
    <row r="20" spans="2:58" ht="75" thickBot="1" x14ac:dyDescent="0.4">
      <c r="B20" s="116">
        <v>514</v>
      </c>
      <c r="C20" s="132" t="s">
        <v>109</v>
      </c>
      <c r="D20" s="133" t="s">
        <v>110</v>
      </c>
      <c r="E20" s="116" t="s">
        <v>111</v>
      </c>
      <c r="F20" s="134">
        <f>ROUNDUP(J21*J23/60,0)</f>
        <v>11</v>
      </c>
      <c r="H20" s="90" t="s">
        <v>117</v>
      </c>
      <c r="I20" s="91">
        <f>I19*1.1</f>
        <v>1002.3039583333334</v>
      </c>
      <c r="J20" s="90" t="s">
        <v>113</v>
      </c>
      <c r="K20" s="90"/>
      <c r="L20" s="10" t="s">
        <v>117</v>
      </c>
      <c r="M20" s="31">
        <f>M19*1.1</f>
        <v>0</v>
      </c>
      <c r="N20" s="10" t="s">
        <v>113</v>
      </c>
      <c r="O20" s="10"/>
      <c r="P20" s="10" t="s">
        <v>117</v>
      </c>
      <c r="Q20" s="31">
        <f>Q19*1.1</f>
        <v>0</v>
      </c>
      <c r="R20" s="10" t="s">
        <v>113</v>
      </c>
      <c r="S20" s="10"/>
      <c r="T20" s="10" t="s">
        <v>117</v>
      </c>
      <c r="U20" s="31">
        <f>U19*1.1</f>
        <v>0</v>
      </c>
      <c r="V20" s="10" t="s">
        <v>113</v>
      </c>
      <c r="W20" s="10"/>
      <c r="X20" s="19"/>
      <c r="Y20" s="19" t="s">
        <v>633</v>
      </c>
      <c r="Z20" s="5" t="s">
        <v>386</v>
      </c>
      <c r="AA20">
        <f>6.96*12</f>
        <v>83.52</v>
      </c>
      <c r="AB20" t="s">
        <v>92</v>
      </c>
      <c r="AD20" s="25"/>
      <c r="AF20" s="21"/>
      <c r="AH20" s="67"/>
      <c r="AI20" s="65"/>
      <c r="AJ20" s="65" t="s">
        <v>101</v>
      </c>
      <c r="AK20" s="65" t="s">
        <v>119</v>
      </c>
      <c r="AL20" s="65" t="s">
        <v>120</v>
      </c>
      <c r="AM20" s="65"/>
      <c r="AN20" s="65"/>
      <c r="AO20" s="68" t="s">
        <v>118</v>
      </c>
      <c r="AP20" s="63">
        <v>2</v>
      </c>
      <c r="AQ20" s="66" t="s">
        <v>92</v>
      </c>
    </row>
    <row r="21" spans="2:58" ht="44.55" x14ac:dyDescent="0.25">
      <c r="B21" s="116">
        <v>514</v>
      </c>
      <c r="C21" s="36">
        <v>10000</v>
      </c>
      <c r="D21" s="133" t="s">
        <v>115</v>
      </c>
      <c r="E21" s="116" t="s">
        <v>116</v>
      </c>
      <c r="F21" s="30">
        <f>ROUNDUP(MAX(F16/1200,(J21*J23/150)),0)</f>
        <v>5</v>
      </c>
      <c r="H21" s="92" t="s">
        <v>121</v>
      </c>
      <c r="I21" s="93"/>
      <c r="J21" s="94">
        <f>I17+M17+Q17+U17</f>
        <v>131.5</v>
      </c>
      <c r="K21" s="95" t="s">
        <v>52</v>
      </c>
      <c r="Y21" s="19"/>
      <c r="Z21" s="133" t="s">
        <v>422</v>
      </c>
      <c r="AA21">
        <f>27-(2*0.83)-2</f>
        <v>23.34</v>
      </c>
      <c r="AB21" t="s">
        <v>92</v>
      </c>
      <c r="AD21" s="25"/>
      <c r="AF21" s="21"/>
      <c r="AH21" s="67"/>
      <c r="AI21" s="65" t="s">
        <v>114</v>
      </c>
      <c r="AJ21" s="65">
        <v>9.9600000000000009</v>
      </c>
      <c r="AK21" s="65">
        <f>AJ21/3</f>
        <v>3.3200000000000003</v>
      </c>
      <c r="AL21" s="65">
        <f>AJ21/6</f>
        <v>1.6600000000000001</v>
      </c>
      <c r="AM21" s="65"/>
      <c r="AN21" s="65"/>
      <c r="AO21" s="63" t="s">
        <v>92</v>
      </c>
      <c r="AP21" s="63"/>
      <c r="AQ21" s="66"/>
    </row>
    <row r="22" spans="2:58" x14ac:dyDescent="0.25">
      <c r="H22" s="102" t="s">
        <v>342</v>
      </c>
      <c r="I22" s="103"/>
      <c r="J22" s="128">
        <f>(I20+M20+Q20+U20)</f>
        <v>1002.3039583333334</v>
      </c>
      <c r="K22" s="104" t="s">
        <v>113</v>
      </c>
      <c r="M22" t="s">
        <v>375</v>
      </c>
      <c r="N22" s="52">
        <f>BB29</f>
        <v>0</v>
      </c>
      <c r="O22" t="s">
        <v>126</v>
      </c>
      <c r="Y22" s="19"/>
      <c r="AF22" s="21"/>
      <c r="AH22" s="67"/>
      <c r="AI22" s="65" t="s">
        <v>321</v>
      </c>
      <c r="AJ22" s="65">
        <v>72</v>
      </c>
      <c r="AK22" s="69" t="s">
        <v>92</v>
      </c>
      <c r="AL22" s="65"/>
      <c r="AM22" s="65"/>
      <c r="AN22" s="65"/>
      <c r="AO22" s="63" t="s">
        <v>92</v>
      </c>
      <c r="AP22" s="63"/>
      <c r="AQ22" s="66"/>
      <c r="AY22" s="14"/>
      <c r="AZ22" s="16"/>
      <c r="BA22" s="16"/>
      <c r="BB22" s="16"/>
      <c r="BC22" s="16"/>
      <c r="BD22" s="16"/>
      <c r="BE22" s="16"/>
      <c r="BF22" s="17"/>
    </row>
    <row r="23" spans="2:58" x14ac:dyDescent="0.25">
      <c r="H23" s="96" t="s">
        <v>123</v>
      </c>
      <c r="I23" s="35"/>
      <c r="J23" s="10">
        <v>5</v>
      </c>
      <c r="K23" s="97"/>
      <c r="M23" t="s">
        <v>374</v>
      </c>
      <c r="N23" s="52">
        <f>BF49</f>
        <v>0</v>
      </c>
      <c r="O23" t="s">
        <v>126</v>
      </c>
      <c r="R23" s="14" t="s">
        <v>363</v>
      </c>
      <c r="S23" s="16" t="s">
        <v>423</v>
      </c>
      <c r="T23" s="16" t="s">
        <v>365</v>
      </c>
      <c r="U23" s="17" t="s">
        <v>424</v>
      </c>
      <c r="Y23" s="19"/>
      <c r="AF23" s="21"/>
      <c r="AH23" s="67"/>
      <c r="AI23" s="65"/>
      <c r="AJ23" s="65">
        <f>AJ22/12</f>
        <v>6</v>
      </c>
      <c r="AK23" s="69" t="s">
        <v>52</v>
      </c>
      <c r="AL23" s="65">
        <f>AI27^2+AI30^2</f>
        <v>40.136400000000002</v>
      </c>
      <c r="AM23" s="65"/>
      <c r="AN23" s="70">
        <f>AI27^2+AJ30^2</f>
        <v>34.809372250000003</v>
      </c>
      <c r="AO23" s="63" t="s">
        <v>92</v>
      </c>
      <c r="AP23" s="63"/>
      <c r="AQ23" s="66"/>
      <c r="AY23" s="19"/>
      <c r="BA23" t="s">
        <v>368</v>
      </c>
      <c r="BF23" s="21"/>
    </row>
    <row r="24" spans="2:58" ht="30.45" thickBot="1" x14ac:dyDescent="0.3">
      <c r="H24" s="98" t="s">
        <v>360</v>
      </c>
      <c r="I24" s="99"/>
      <c r="J24" s="100">
        <f>J22*J23</f>
        <v>5011.5197916666675</v>
      </c>
      <c r="K24" s="101" t="s">
        <v>113</v>
      </c>
      <c r="R24" s="19" t="s">
        <v>366</v>
      </c>
      <c r="S24">
        <v>1.76</v>
      </c>
      <c r="T24">
        <v>1.76</v>
      </c>
      <c r="U24" s="21">
        <v>7.84</v>
      </c>
      <c r="Y24" s="19"/>
      <c r="AF24" s="21"/>
      <c r="AH24" s="67"/>
      <c r="AI24" s="65"/>
      <c r="AJ24" s="65"/>
      <c r="AK24" s="69"/>
      <c r="AL24" s="65"/>
      <c r="AM24" s="65"/>
      <c r="AN24" s="65"/>
      <c r="AO24" s="63"/>
      <c r="AP24" s="63"/>
      <c r="AQ24" s="66"/>
      <c r="AY24" s="19"/>
      <c r="AZ24" t="s">
        <v>370</v>
      </c>
      <c r="BA24" t="s">
        <v>364</v>
      </c>
      <c r="BB24">
        <f>(AZ31*AY33)+(BF33*BC30)+(2*(AY33-BF33)*BC30/2)</f>
        <v>798</v>
      </c>
      <c r="BC24" t="s">
        <v>369</v>
      </c>
      <c r="BF24" s="21"/>
    </row>
    <row r="25" spans="2:58" x14ac:dyDescent="0.25">
      <c r="H25" s="4"/>
      <c r="R25" s="19" t="s">
        <v>358</v>
      </c>
      <c r="S25">
        <v>15</v>
      </c>
      <c r="T25">
        <v>5</v>
      </c>
      <c r="U25" s="21">
        <v>0</v>
      </c>
      <c r="Y25" s="19"/>
      <c r="Z25">
        <f>(Z26)/12</f>
        <v>1.9450000000000001</v>
      </c>
      <c r="AA25" t="s">
        <v>2</v>
      </c>
      <c r="AF25" s="21"/>
      <c r="AH25" s="67"/>
      <c r="AI25" s="65"/>
      <c r="AJ25" s="65"/>
      <c r="AK25" s="65"/>
      <c r="AL25" s="65"/>
      <c r="AM25" s="65"/>
      <c r="AN25" s="65"/>
      <c r="AO25" s="63"/>
      <c r="AP25" s="63">
        <v>1.333</v>
      </c>
      <c r="AQ25" s="66" t="s">
        <v>125</v>
      </c>
      <c r="AY25" s="19"/>
      <c r="AZ25" t="s">
        <v>371</v>
      </c>
      <c r="BA25" t="s">
        <v>364</v>
      </c>
      <c r="BB25">
        <f>0</f>
        <v>0</v>
      </c>
      <c r="BC25" t="s">
        <v>369</v>
      </c>
      <c r="BF25" s="21"/>
    </row>
    <row r="26" spans="2:58" x14ac:dyDescent="0.25">
      <c r="H26" s="14" t="s">
        <v>325</v>
      </c>
      <c r="I26" s="16"/>
      <c r="J26" s="16">
        <f>2*(6*72)/144</f>
        <v>6</v>
      </c>
      <c r="K26" s="17" t="s">
        <v>126</v>
      </c>
      <c r="R26" s="19" t="s">
        <v>361</v>
      </c>
      <c r="S26">
        <f>S24*S25</f>
        <v>26.4</v>
      </c>
      <c r="T26">
        <f>T24*T25</f>
        <v>8.8000000000000007</v>
      </c>
      <c r="U26" s="21">
        <f>U24*U25</f>
        <v>0</v>
      </c>
      <c r="Y26" s="19"/>
      <c r="Z26">
        <f>AA21</f>
        <v>23.34</v>
      </c>
      <c r="AD26">
        <f>(SQRT((AB29/2)^2+(Z25)^2))</f>
        <v>3.9866558667635208</v>
      </c>
      <c r="AE26" t="s">
        <v>2</v>
      </c>
      <c r="AF26" s="21"/>
      <c r="AH26" s="67"/>
      <c r="AI26" s="65"/>
      <c r="AJ26" s="70">
        <f>SQRT(AN23)</f>
        <v>5.8999468006076121</v>
      </c>
      <c r="AK26" s="70"/>
      <c r="AL26" s="65"/>
      <c r="AM26" s="70">
        <f>AH27</f>
        <v>6.335</v>
      </c>
      <c r="AN26" s="65"/>
      <c r="AO26" s="63"/>
      <c r="AP26" s="71">
        <f>0.33*AP25*2</f>
        <v>0.87978000000000001</v>
      </c>
      <c r="AQ26" s="66" t="s">
        <v>126</v>
      </c>
      <c r="AY26" s="19"/>
      <c r="AZ26" t="s">
        <v>372</v>
      </c>
      <c r="BA26" t="s">
        <v>364</v>
      </c>
      <c r="BB26">
        <f>(BB24+BB25)/144*2</f>
        <v>11.083333333333334</v>
      </c>
      <c r="BC26" t="s">
        <v>113</v>
      </c>
      <c r="BF26" s="21"/>
    </row>
    <row r="27" spans="2:58" x14ac:dyDescent="0.25">
      <c r="H27" s="19" t="s">
        <v>187</v>
      </c>
      <c r="J27">
        <v>0</v>
      </c>
      <c r="K27" s="21" t="s">
        <v>329</v>
      </c>
      <c r="R27" s="19"/>
      <c r="U27" s="21"/>
      <c r="Y27" s="19"/>
      <c r="AF27" s="21"/>
      <c r="AH27" s="72">
        <v>6.335</v>
      </c>
      <c r="AI27" s="73">
        <v>5.58</v>
      </c>
      <c r="AJ27" s="65"/>
      <c r="AK27" s="65"/>
      <c r="AL27" s="65"/>
      <c r="AM27" s="65"/>
      <c r="AN27" s="65"/>
      <c r="AO27" s="63"/>
      <c r="AP27" s="63">
        <v>7</v>
      </c>
      <c r="AQ27" s="66" t="s">
        <v>125</v>
      </c>
      <c r="AY27" s="19"/>
      <c r="AZ27" t="s">
        <v>358</v>
      </c>
      <c r="BB27">
        <v>0</v>
      </c>
      <c r="BF27" s="21"/>
    </row>
    <row r="28" spans="2:58" x14ac:dyDescent="0.25">
      <c r="H28" s="19" t="s">
        <v>188</v>
      </c>
      <c r="J28" s="7">
        <f>J26*J27</f>
        <v>0</v>
      </c>
      <c r="K28" s="21" t="s">
        <v>126</v>
      </c>
      <c r="R28" s="19"/>
      <c r="S28" t="s">
        <v>351</v>
      </c>
      <c r="T28">
        <f>S26+T26+U26</f>
        <v>35.200000000000003</v>
      </c>
      <c r="U28" s="21"/>
      <c r="Y28" s="19"/>
      <c r="AF28" s="21"/>
      <c r="AH28" s="67"/>
      <c r="AI28" s="65"/>
      <c r="AJ28" s="65"/>
      <c r="AK28" s="65"/>
      <c r="AL28" s="65"/>
      <c r="AM28" s="65"/>
      <c r="AN28" s="65"/>
      <c r="AO28" s="63"/>
      <c r="AP28" s="71">
        <f>0.33*AP27*2</f>
        <v>4.62</v>
      </c>
      <c r="AQ28" s="66" t="s">
        <v>126</v>
      </c>
      <c r="AY28" s="19"/>
      <c r="AZ28" t="s">
        <v>373</v>
      </c>
      <c r="BB28">
        <f>BB26*BB27</f>
        <v>0</v>
      </c>
      <c r="BF28" s="21"/>
    </row>
    <row r="29" spans="2:58" x14ac:dyDescent="0.25">
      <c r="H29" s="49" t="s">
        <v>189</v>
      </c>
      <c r="I29" s="3"/>
      <c r="J29" s="3"/>
      <c r="K29" s="44"/>
      <c r="R29" s="49"/>
      <c r="S29" s="112" t="s">
        <v>367</v>
      </c>
      <c r="T29" s="59">
        <f>T28*1.1</f>
        <v>38.720000000000006</v>
      </c>
      <c r="U29" s="44"/>
      <c r="Y29" s="19"/>
      <c r="AB29" s="27">
        <f>AA19</f>
        <v>6.96</v>
      </c>
      <c r="AF29" s="21"/>
      <c r="AH29" s="67"/>
      <c r="AI29" s="65"/>
      <c r="AJ29" s="65"/>
      <c r="AK29" s="65"/>
      <c r="AL29" s="65"/>
      <c r="AM29" s="65"/>
      <c r="AN29" s="65"/>
      <c r="AO29" s="63"/>
      <c r="AP29" s="63"/>
      <c r="AQ29" s="66"/>
      <c r="AY29" s="19"/>
      <c r="AZ29" t="s">
        <v>367</v>
      </c>
      <c r="BB29" s="7">
        <f>BB28*1.1</f>
        <v>0</v>
      </c>
      <c r="BF29" s="21"/>
    </row>
    <row r="30" spans="2:58" x14ac:dyDescent="0.25">
      <c r="Y30" s="19"/>
      <c r="AF30" s="21"/>
      <c r="AH30" s="67"/>
      <c r="AI30" s="70">
        <v>3</v>
      </c>
      <c r="AJ30" s="70">
        <v>1.9165000000000001</v>
      </c>
      <c r="AK30" s="65"/>
      <c r="AL30" s="65"/>
      <c r="AM30" s="65"/>
      <c r="AN30" s="65"/>
      <c r="AO30" s="63"/>
      <c r="AP30" s="63"/>
      <c r="AQ30" s="66"/>
      <c r="AY30" s="19"/>
      <c r="BC30">
        <v>39</v>
      </c>
      <c r="BF30" s="21"/>
    </row>
    <row r="31" spans="2:58" ht="15.6" thickBot="1" x14ac:dyDescent="0.3">
      <c r="H31" s="14" t="s">
        <v>383</v>
      </c>
      <c r="I31" s="16"/>
      <c r="J31" s="16">
        <f>2*(8*72)/144</f>
        <v>8</v>
      </c>
      <c r="K31" s="17" t="s">
        <v>126</v>
      </c>
      <c r="Y31" s="19" t="s">
        <v>420</v>
      </c>
      <c r="AB31" s="27">
        <f>(2*AD26)+AB29</f>
        <v>14.933311733527042</v>
      </c>
      <c r="AC31" t="s">
        <v>125</v>
      </c>
      <c r="AF31" s="21"/>
      <c r="AH31" s="74"/>
      <c r="AI31" s="75"/>
      <c r="AJ31" s="75"/>
      <c r="AK31" s="75"/>
      <c r="AL31" s="75"/>
      <c r="AM31" s="75"/>
      <c r="AN31" s="75"/>
      <c r="AO31" s="76"/>
      <c r="AP31" s="76"/>
      <c r="AQ31" s="77"/>
      <c r="AY31" s="19"/>
      <c r="AZ31">
        <v>18</v>
      </c>
      <c r="BF31" s="21"/>
    </row>
    <row r="32" spans="2:58" x14ac:dyDescent="0.25">
      <c r="H32" s="19" t="s">
        <v>187</v>
      </c>
      <c r="J32">
        <v>0</v>
      </c>
      <c r="K32" s="21" t="s">
        <v>329</v>
      </c>
      <c r="O32" s="108" t="s">
        <v>362</v>
      </c>
      <c r="P32" s="109"/>
      <c r="Y32" s="19"/>
      <c r="AF32" s="21"/>
      <c r="AH32" s="78"/>
      <c r="AI32" s="79"/>
      <c r="AJ32" s="79" t="s">
        <v>130</v>
      </c>
      <c r="AK32" s="80" t="s">
        <v>353</v>
      </c>
      <c r="AL32" s="79"/>
      <c r="AM32" s="79"/>
      <c r="AN32" s="79"/>
      <c r="AO32" s="60"/>
      <c r="AP32" s="60"/>
      <c r="AQ32" s="61"/>
      <c r="AY32" s="19"/>
      <c r="BF32" s="21"/>
    </row>
    <row r="33" spans="8:59" ht="15.6" thickBot="1" x14ac:dyDescent="0.3">
      <c r="H33" s="19" t="s">
        <v>188</v>
      </c>
      <c r="J33" s="7">
        <f>J31*J32</f>
        <v>0</v>
      </c>
      <c r="K33" s="21" t="s">
        <v>126</v>
      </c>
      <c r="O33" s="110" t="s">
        <v>351</v>
      </c>
      <c r="P33" s="111">
        <f>J24+J28+J33+I42+I52+N52+I61+T29+N22+N23</f>
        <v>5852.9485116666674</v>
      </c>
      <c r="Y33" s="48" t="s">
        <v>421</v>
      </c>
      <c r="AB33" s="1">
        <f>0.25*4*AB31</f>
        <v>14.933311733527042</v>
      </c>
      <c r="AC33" t="s">
        <v>126</v>
      </c>
      <c r="AF33" s="21"/>
      <c r="AH33" s="74"/>
      <c r="AI33" s="75"/>
      <c r="AJ33" s="75"/>
      <c r="AK33" s="75">
        <f>AJ21+(2*AH27)+(2*AJ26)</f>
        <v>34.429893601215227</v>
      </c>
      <c r="AL33" s="75" t="s">
        <v>52</v>
      </c>
      <c r="AM33" s="75"/>
      <c r="AN33" s="75"/>
      <c r="AO33" s="76"/>
      <c r="AP33" s="76"/>
      <c r="AQ33" s="77"/>
      <c r="AY33" s="19">
        <v>14</v>
      </c>
      <c r="BF33" s="21">
        <v>6</v>
      </c>
    </row>
    <row r="34" spans="8:59" x14ac:dyDescent="0.25">
      <c r="H34" s="49" t="s">
        <v>189</v>
      </c>
      <c r="I34" s="3"/>
      <c r="J34" s="3"/>
      <c r="K34" s="44"/>
      <c r="Y34" s="19" t="s">
        <v>132</v>
      </c>
      <c r="AA34" t="s">
        <v>133</v>
      </c>
      <c r="AB34" s="27">
        <f>AB33*1.1</f>
        <v>16.426642906879746</v>
      </c>
      <c r="AC34" t="s">
        <v>126</v>
      </c>
      <c r="AF34" s="21"/>
      <c r="AH34" s="78"/>
      <c r="AI34" s="79"/>
      <c r="AJ34" s="79"/>
      <c r="AK34" s="79"/>
      <c r="AL34" s="79"/>
      <c r="AM34" s="79"/>
      <c r="AN34" s="79"/>
      <c r="AO34" s="60"/>
      <c r="AP34" s="60"/>
      <c r="AQ34" s="61"/>
      <c r="AY34" s="19"/>
      <c r="BF34" s="21"/>
    </row>
    <row r="35" spans="8:59" x14ac:dyDescent="0.25">
      <c r="Y35" s="19"/>
      <c r="AB35" s="27"/>
      <c r="AF35" s="21"/>
      <c r="AH35" s="67"/>
      <c r="AI35" s="65"/>
      <c r="AJ35" s="65"/>
      <c r="AK35" s="65"/>
      <c r="AL35" s="65"/>
      <c r="AM35" s="65"/>
      <c r="AN35" s="65"/>
      <c r="AO35" s="63"/>
      <c r="AP35" s="63"/>
      <c r="AQ35" s="66"/>
      <c r="AY35" s="19"/>
      <c r="BF35" s="21"/>
    </row>
    <row r="36" spans="8:59" x14ac:dyDescent="0.25">
      <c r="H36" t="s">
        <v>435</v>
      </c>
      <c r="Y36" s="49"/>
      <c r="Z36" s="3"/>
      <c r="AA36" s="3"/>
      <c r="AB36" s="3"/>
      <c r="AC36" s="3"/>
      <c r="AD36" s="3"/>
      <c r="AE36" s="3"/>
      <c r="AF36" s="44"/>
      <c r="AH36" s="67"/>
      <c r="AI36" s="65" t="s">
        <v>134</v>
      </c>
      <c r="AJ36" s="65"/>
      <c r="AK36" s="65">
        <f>AK33*(0.3333*4)</f>
        <v>45.901934149140139</v>
      </c>
      <c r="AL36" s="65" t="s">
        <v>126</v>
      </c>
      <c r="AM36" s="65"/>
      <c r="AN36" s="65"/>
      <c r="AO36" s="63"/>
      <c r="AP36" s="63"/>
      <c r="AQ36" s="66"/>
      <c r="AY36" s="19"/>
      <c r="BF36" s="21"/>
    </row>
    <row r="37" spans="8:59" x14ac:dyDescent="0.25">
      <c r="H37" s="10" t="s">
        <v>91</v>
      </c>
      <c r="I37" s="10">
        <v>1.33</v>
      </c>
      <c r="J37" s="10" t="s">
        <v>52</v>
      </c>
      <c r="K37" s="10"/>
      <c r="AH37" s="74"/>
      <c r="AI37" s="75" t="s">
        <v>135</v>
      </c>
      <c r="AJ37" s="75"/>
      <c r="AK37" s="75"/>
      <c r="AL37" s="75"/>
      <c r="AM37" s="75"/>
      <c r="AN37" s="75"/>
      <c r="AO37" s="76"/>
      <c r="AP37" s="76"/>
      <c r="AQ37" s="77"/>
      <c r="AY37" s="19"/>
      <c r="BF37" s="21"/>
    </row>
    <row r="38" spans="8:59" x14ac:dyDescent="0.25">
      <c r="H38" s="10" t="s">
        <v>100</v>
      </c>
      <c r="I38" s="41">
        <v>14.93</v>
      </c>
      <c r="J38" s="10" t="s">
        <v>52</v>
      </c>
      <c r="K38" s="10"/>
      <c r="AH38" s="81"/>
      <c r="AI38" s="60"/>
      <c r="AJ38" s="60"/>
      <c r="AK38" s="60"/>
      <c r="AL38" s="60"/>
      <c r="AM38" s="60"/>
      <c r="AN38" s="60"/>
      <c r="AO38" s="60"/>
      <c r="AP38" s="60"/>
      <c r="AQ38" s="61"/>
      <c r="AY38" s="19">
        <v>1.375</v>
      </c>
      <c r="BF38" s="21"/>
    </row>
    <row r="39" spans="8:59" x14ac:dyDescent="0.25">
      <c r="H39" s="10" t="s">
        <v>106</v>
      </c>
      <c r="I39" t="str">
        <f>'BUT-4-1580L'!$I$280</f>
        <v>End Crossframes</v>
      </c>
      <c r="K39" s="10"/>
      <c r="Y39" s="14"/>
      <c r="Z39" s="15" t="s">
        <v>384</v>
      </c>
      <c r="AA39" s="16"/>
      <c r="AB39" s="16"/>
      <c r="AC39" s="16"/>
      <c r="AD39" s="16"/>
      <c r="AE39" s="16"/>
      <c r="AF39" s="17"/>
      <c r="AH39" s="62"/>
      <c r="AI39" s="211" t="s">
        <v>136</v>
      </c>
      <c r="AJ39" s="63"/>
      <c r="AK39" s="63"/>
      <c r="AL39" s="63"/>
      <c r="AM39" s="63"/>
      <c r="AN39" s="63"/>
      <c r="AO39" s="63"/>
      <c r="AP39" s="63"/>
      <c r="AQ39" s="66"/>
      <c r="AY39" s="19"/>
      <c r="BF39" s="21"/>
    </row>
    <row r="40" spans="8:59" x14ac:dyDescent="0.25">
      <c r="H40" s="10" t="s">
        <v>128</v>
      </c>
      <c r="I40" s="33">
        <v>8</v>
      </c>
      <c r="J40" s="35"/>
      <c r="K40" s="10"/>
      <c r="Y40" s="19"/>
      <c r="AA40" t="s">
        <v>101</v>
      </c>
      <c r="AF40" s="21"/>
      <c r="AH40" s="62"/>
      <c r="AI40" s="211"/>
      <c r="AJ40" s="63"/>
      <c r="AK40" s="63">
        <f>AO18*AK33</f>
        <v>282.32512752996485</v>
      </c>
      <c r="AL40" s="63" t="s">
        <v>137</v>
      </c>
      <c r="AM40" s="63"/>
      <c r="AN40" s="63"/>
      <c r="AO40" s="63"/>
      <c r="AP40" s="63"/>
      <c r="AQ40" s="66"/>
      <c r="AY40" s="19"/>
      <c r="BB40">
        <f>AZ31+BC30</f>
        <v>57</v>
      </c>
      <c r="BF40" s="21"/>
    </row>
    <row r="41" spans="8:59" x14ac:dyDescent="0.25">
      <c r="H41" s="10" t="s">
        <v>112</v>
      </c>
      <c r="I41" s="10">
        <f>I38*I37*I40</f>
        <v>158.8552</v>
      </c>
      <c r="J41" s="10" t="s">
        <v>113</v>
      </c>
      <c r="K41" s="10"/>
      <c r="Y41" s="19"/>
      <c r="AD41" s="25"/>
      <c r="AF41" s="21"/>
      <c r="AH41" s="82"/>
      <c r="AI41" s="218"/>
      <c r="AJ41" s="76"/>
      <c r="AK41" s="76"/>
      <c r="AL41" s="76"/>
      <c r="AM41" s="76"/>
      <c r="AN41" s="76"/>
      <c r="AO41" s="76"/>
      <c r="AP41" s="76"/>
      <c r="AQ41" s="77"/>
      <c r="AY41" s="49"/>
      <c r="AZ41" s="3"/>
      <c r="BA41" s="3"/>
      <c r="BB41" s="3"/>
      <c r="BC41" s="3"/>
      <c r="BD41" s="3"/>
      <c r="BE41" s="3"/>
      <c r="BF41" s="44"/>
    </row>
    <row r="42" spans="8:59" ht="29.7" x14ac:dyDescent="0.25">
      <c r="H42" s="106" t="s">
        <v>354</v>
      </c>
      <c r="I42" s="31">
        <f>I41*1.1</f>
        <v>174.74072000000001</v>
      </c>
      <c r="J42" s="10" t="s">
        <v>113</v>
      </c>
      <c r="K42" s="10"/>
      <c r="Y42" s="19"/>
      <c r="Z42" t="s">
        <v>114</v>
      </c>
      <c r="AA42" s="27">
        <v>6.92</v>
      </c>
      <c r="AB42" s="27" t="s">
        <v>52</v>
      </c>
      <c r="AC42" s="27"/>
      <c r="AF42" s="21"/>
      <c r="AH42" s="81"/>
      <c r="AI42" s="60"/>
      <c r="AJ42" s="60"/>
      <c r="AK42" s="60"/>
      <c r="AL42" s="60"/>
      <c r="AM42" s="60"/>
      <c r="AN42" s="60"/>
      <c r="AO42" s="60"/>
      <c r="AP42" s="60"/>
      <c r="AQ42" s="61"/>
    </row>
    <row r="43" spans="8:59" x14ac:dyDescent="0.25">
      <c r="I43" s="105"/>
      <c r="Y43" s="19"/>
      <c r="AA43" s="27"/>
      <c r="AB43" s="27"/>
      <c r="AC43" s="27"/>
      <c r="AF43" s="21"/>
      <c r="AH43" s="62"/>
      <c r="AI43" s="63"/>
      <c r="AJ43" s="63"/>
      <c r="AK43" s="63"/>
      <c r="AL43" s="63"/>
      <c r="AM43" s="63"/>
      <c r="AN43" s="63"/>
      <c r="AO43" s="63"/>
      <c r="AP43" s="63"/>
      <c r="AQ43" s="66"/>
    </row>
    <row r="44" spans="8:59" x14ac:dyDescent="0.25">
      <c r="H44" t="s">
        <v>635</v>
      </c>
      <c r="M44" t="s">
        <v>634</v>
      </c>
      <c r="Y44" s="19" t="s">
        <v>633</v>
      </c>
      <c r="Z44" s="28" t="s">
        <v>482</v>
      </c>
      <c r="AA44">
        <f>27</f>
        <v>27</v>
      </c>
      <c r="AB44" t="s">
        <v>92</v>
      </c>
      <c r="AD44" s="25"/>
      <c r="AF44" s="21"/>
      <c r="AH44" s="62"/>
      <c r="AI44" s="211" t="s">
        <v>138</v>
      </c>
      <c r="AJ44" s="63"/>
      <c r="AK44" s="63">
        <f>1.1*AK40</f>
        <v>310.55764028296136</v>
      </c>
      <c r="AL44" s="63" t="s">
        <v>137</v>
      </c>
      <c r="AM44" s="63"/>
      <c r="AN44" s="63"/>
      <c r="AO44" s="63"/>
      <c r="AP44" s="63"/>
      <c r="AQ44" s="66"/>
    </row>
    <row r="45" spans="8:59" x14ac:dyDescent="0.25">
      <c r="H45" s="10" t="s">
        <v>344</v>
      </c>
      <c r="I45" s="10">
        <v>1</v>
      </c>
      <c r="J45" s="10" t="s">
        <v>52</v>
      </c>
      <c r="K45" s="10"/>
      <c r="M45" s="10" t="s">
        <v>344</v>
      </c>
      <c r="N45" s="10">
        <v>1</v>
      </c>
      <c r="O45" s="10" t="s">
        <v>52</v>
      </c>
      <c r="P45" s="10"/>
      <c r="Y45" s="107"/>
      <c r="AA45">
        <f>AA44/12</f>
        <v>2.25</v>
      </c>
      <c r="AB45" t="s">
        <v>52</v>
      </c>
      <c r="AD45" s="25"/>
      <c r="AF45" s="21"/>
      <c r="AH45" s="82"/>
      <c r="AI45" s="218"/>
      <c r="AJ45" s="76"/>
      <c r="AK45" s="76"/>
      <c r="AL45" s="76"/>
      <c r="AM45" s="76"/>
      <c r="AN45" s="76"/>
      <c r="AO45" s="76"/>
      <c r="AP45" s="76"/>
      <c r="AQ45" s="77"/>
      <c r="AZ45" t="s">
        <v>374</v>
      </c>
    </row>
    <row r="46" spans="8:59" x14ac:dyDescent="0.25">
      <c r="H46" s="10" t="s">
        <v>345</v>
      </c>
      <c r="I46">
        <v>1</v>
      </c>
      <c r="J46" s="10" t="s">
        <v>52</v>
      </c>
      <c r="K46" s="10"/>
      <c r="M46" s="10" t="s">
        <v>345</v>
      </c>
      <c r="N46">
        <v>0</v>
      </c>
      <c r="O46" s="10" t="s">
        <v>52</v>
      </c>
      <c r="P46" s="10"/>
      <c r="Y46" s="19"/>
      <c r="AF46" s="21"/>
      <c r="AH46" s="81"/>
      <c r="AI46" s="60"/>
      <c r="AJ46" s="60"/>
      <c r="AK46" s="60"/>
      <c r="AL46" s="60"/>
      <c r="AM46" s="60"/>
      <c r="AN46" s="60"/>
      <c r="AO46" s="60"/>
      <c r="AP46" s="60"/>
      <c r="AQ46" s="61"/>
      <c r="BB46">
        <v>8</v>
      </c>
      <c r="BC46" t="s">
        <v>92</v>
      </c>
      <c r="BE46" t="s">
        <v>364</v>
      </c>
      <c r="BF46">
        <f>PI()*BB46/12*BD53</f>
        <v>43.982297150257104</v>
      </c>
    </row>
    <row r="47" spans="8:59" x14ac:dyDescent="0.25">
      <c r="H47" s="10" t="s">
        <v>346</v>
      </c>
      <c r="I47" s="41">
        <v>7.19</v>
      </c>
      <c r="J47" s="10" t="s">
        <v>52</v>
      </c>
      <c r="K47" s="10"/>
      <c r="M47" s="10" t="s">
        <v>346</v>
      </c>
      <c r="N47" s="41">
        <v>7.19</v>
      </c>
      <c r="O47" s="10" t="s">
        <v>52</v>
      </c>
      <c r="P47" s="10"/>
      <c r="Y47" s="19"/>
      <c r="AF47" s="21"/>
      <c r="AH47" s="62"/>
      <c r="AI47" s="211" t="s">
        <v>139</v>
      </c>
      <c r="AJ47" s="63"/>
      <c r="AK47" s="63">
        <v>18</v>
      </c>
      <c r="AL47" s="63"/>
      <c r="AM47" s="63"/>
      <c r="AN47" s="63"/>
      <c r="AO47" s="63"/>
      <c r="AP47" s="63"/>
      <c r="AQ47" s="66"/>
      <c r="BE47" t="s">
        <v>358</v>
      </c>
      <c r="BF47">
        <v>0</v>
      </c>
      <c r="BG47" t="s">
        <v>116</v>
      </c>
    </row>
    <row r="48" spans="8:59" x14ac:dyDescent="0.25">
      <c r="H48" s="10" t="s">
        <v>347</v>
      </c>
      <c r="I48">
        <v>6.92</v>
      </c>
      <c r="J48" s="10" t="s">
        <v>52</v>
      </c>
      <c r="K48" s="10"/>
      <c r="M48" s="10" t="s">
        <v>347</v>
      </c>
      <c r="N48">
        <v>6.92</v>
      </c>
      <c r="O48" s="10" t="s">
        <v>52</v>
      </c>
      <c r="P48" s="10"/>
      <c r="Y48" s="19"/>
      <c r="AF48" s="21"/>
      <c r="AH48" s="62"/>
      <c r="AI48" s="211"/>
      <c r="AJ48" s="63"/>
      <c r="AK48" s="63"/>
      <c r="AL48" s="63"/>
      <c r="AM48" s="63"/>
      <c r="AN48" s="63"/>
      <c r="AO48" s="63"/>
      <c r="AP48" s="63"/>
      <c r="AQ48" s="66"/>
      <c r="BE48" t="s">
        <v>361</v>
      </c>
      <c r="BF48">
        <f>BF46*BF47</f>
        <v>0</v>
      </c>
    </row>
    <row r="49" spans="1:59" x14ac:dyDescent="0.25">
      <c r="H49" s="10" t="s">
        <v>106</v>
      </c>
      <c r="I49" s="33" t="s">
        <v>193</v>
      </c>
      <c r="J49" s="35"/>
      <c r="K49" s="10"/>
      <c r="M49" s="10" t="s">
        <v>106</v>
      </c>
      <c r="N49" s="33" t="s">
        <v>193</v>
      </c>
      <c r="O49" s="35"/>
      <c r="P49" s="10"/>
      <c r="Y49" s="19"/>
      <c r="Z49">
        <f>(AA44-(2*0.83)-2)/12</f>
        <v>1.9450000000000001</v>
      </c>
      <c r="AA49" t="s">
        <v>2</v>
      </c>
      <c r="AC49">
        <f>SQRT((AB52)^2+(Z49)^2)</f>
        <v>7.1881447536899259</v>
      </c>
      <c r="AD49" t="s">
        <v>2</v>
      </c>
      <c r="AF49" s="21"/>
      <c r="AH49" s="82"/>
      <c r="AI49" s="76"/>
      <c r="AJ49" s="76"/>
      <c r="AK49" s="76"/>
      <c r="AL49" s="76"/>
      <c r="AM49" s="76"/>
      <c r="AN49" s="76"/>
      <c r="AO49" s="76"/>
      <c r="AP49" s="76"/>
      <c r="AQ49" s="77"/>
      <c r="BE49" t="s">
        <v>367</v>
      </c>
      <c r="BF49" s="7">
        <f>BF48*1.1</f>
        <v>0</v>
      </c>
      <c r="BG49" t="s">
        <v>40</v>
      </c>
    </row>
    <row r="50" spans="1:59" ht="103.95" x14ac:dyDescent="0.25">
      <c r="H50" s="10" t="s">
        <v>128</v>
      </c>
      <c r="I50" s="33">
        <v>16</v>
      </c>
      <c r="J50" s="35"/>
      <c r="K50" s="10"/>
      <c r="M50" s="10" t="s">
        <v>128</v>
      </c>
      <c r="N50" s="33">
        <v>16</v>
      </c>
      <c r="O50" s="35"/>
      <c r="P50" s="10"/>
      <c r="Y50" s="19"/>
      <c r="Z50">
        <f>Z49*12</f>
        <v>23.34</v>
      </c>
      <c r="AF50" s="21"/>
      <c r="AH50" s="83"/>
      <c r="AI50" s="84" t="s">
        <v>140</v>
      </c>
      <c r="AJ50" s="85"/>
      <c r="AK50" s="85">
        <f>AK44*AK47</f>
        <v>5590.0375250933048</v>
      </c>
      <c r="AL50" s="85" t="s">
        <v>137</v>
      </c>
      <c r="AM50" s="85"/>
      <c r="AN50" s="85"/>
      <c r="AO50" s="85"/>
      <c r="AP50" s="85"/>
      <c r="AQ50" s="86"/>
    </row>
    <row r="51" spans="1:59" x14ac:dyDescent="0.25">
      <c r="H51" s="10" t="s">
        <v>112</v>
      </c>
      <c r="I51" s="10">
        <f>((I47*I45*2)+(I46*I48))*I50</f>
        <v>340.8</v>
      </c>
      <c r="J51" s="10" t="s">
        <v>113</v>
      </c>
      <c r="K51" s="10"/>
      <c r="M51" s="10" t="s">
        <v>112</v>
      </c>
      <c r="N51" s="10">
        <f>((N47*N45*2)+(N46*N48))*N50</f>
        <v>230.08</v>
      </c>
      <c r="O51" s="10" t="s">
        <v>113</v>
      </c>
      <c r="P51" s="10"/>
      <c r="Y51" s="19"/>
      <c r="AF51" s="21"/>
    </row>
    <row r="52" spans="1:59" ht="29.7" x14ac:dyDescent="0.25">
      <c r="H52" s="106" t="s">
        <v>354</v>
      </c>
      <c r="I52" s="31">
        <f>I51*1.1</f>
        <v>374.88000000000005</v>
      </c>
      <c r="J52" s="10" t="s">
        <v>113</v>
      </c>
      <c r="K52" s="10"/>
      <c r="M52" s="106" t="s">
        <v>354</v>
      </c>
      <c r="N52" s="31">
        <f>N51*1.1</f>
        <v>253.08800000000002</v>
      </c>
      <c r="O52" s="10" t="s">
        <v>113</v>
      </c>
      <c r="P52" s="10"/>
      <c r="Y52" s="19"/>
      <c r="AB52" s="27">
        <f>AA42</f>
        <v>6.92</v>
      </c>
      <c r="AF52" s="21"/>
    </row>
    <row r="53" spans="1:59" x14ac:dyDescent="0.25">
      <c r="Y53" s="19"/>
      <c r="AF53" s="21"/>
      <c r="BD53">
        <v>21</v>
      </c>
      <c r="BE53" t="s">
        <v>52</v>
      </c>
    </row>
    <row r="54" spans="1:59" x14ac:dyDescent="0.25">
      <c r="Y54" s="19"/>
      <c r="AF54" s="21"/>
    </row>
    <row r="55" spans="1:59" x14ac:dyDescent="0.25">
      <c r="H55" t="s">
        <v>385</v>
      </c>
      <c r="Y55" s="19" t="s">
        <v>607</v>
      </c>
      <c r="AB55" s="27">
        <f>(1*AB52)</f>
        <v>6.92</v>
      </c>
      <c r="AC55" t="s">
        <v>125</v>
      </c>
      <c r="AF55" s="21"/>
    </row>
    <row r="56" spans="1:59" x14ac:dyDescent="0.25">
      <c r="H56" s="10" t="s">
        <v>91</v>
      </c>
      <c r="I56" s="10">
        <f>0</f>
        <v>0</v>
      </c>
      <c r="J56" s="10" t="s">
        <v>52</v>
      </c>
      <c r="K56" s="10"/>
      <c r="Y56" s="19" t="s">
        <v>349</v>
      </c>
      <c r="AB56">
        <f>AC49</f>
        <v>7.1881447536899259</v>
      </c>
      <c r="AC56" t="s">
        <v>125</v>
      </c>
      <c r="AF56" s="21"/>
    </row>
    <row r="57" spans="1:59" x14ac:dyDescent="0.25">
      <c r="H57" s="10" t="s">
        <v>100</v>
      </c>
      <c r="I57" s="41">
        <f>0</f>
        <v>0</v>
      </c>
      <c r="J57" s="10" t="s">
        <v>52</v>
      </c>
      <c r="K57" s="10"/>
      <c r="Y57" s="48" t="s">
        <v>350</v>
      </c>
      <c r="AB57" s="1">
        <f>2*(0.25*4*AB56)+(0.25*4*AB55)</f>
        <v>21.296289507379853</v>
      </c>
      <c r="AC57" t="s">
        <v>126</v>
      </c>
      <c r="AF57" s="21"/>
    </row>
    <row r="58" spans="1:59" x14ac:dyDescent="0.25">
      <c r="H58" s="10" t="s">
        <v>106</v>
      </c>
      <c r="I58" t="s">
        <v>385</v>
      </c>
      <c r="K58" s="10"/>
      <c r="Y58" s="19" t="s">
        <v>132</v>
      </c>
      <c r="AA58" t="s">
        <v>133</v>
      </c>
      <c r="AB58" s="27">
        <f>AB57*1.1</f>
        <v>23.425918458117842</v>
      </c>
      <c r="AC58" t="s">
        <v>126</v>
      </c>
      <c r="AF58" s="21"/>
    </row>
    <row r="59" spans="1:59" x14ac:dyDescent="0.25">
      <c r="H59" s="10" t="s">
        <v>128</v>
      </c>
      <c r="I59" s="33">
        <v>0</v>
      </c>
      <c r="J59" s="35"/>
      <c r="K59" s="10"/>
      <c r="Y59" s="49" t="s">
        <v>438</v>
      </c>
      <c r="Z59" s="3"/>
      <c r="AA59" s="3"/>
      <c r="AB59" s="135">
        <f>AB55+2*AB56</f>
        <v>21.296289507379853</v>
      </c>
      <c r="AC59" s="3"/>
      <c r="AD59" s="3"/>
      <c r="AE59" s="3"/>
      <c r="AF59" s="44"/>
    </row>
    <row r="60" spans="1:59" x14ac:dyDescent="0.25">
      <c r="H60" s="10" t="s">
        <v>112</v>
      </c>
      <c r="I60" s="10">
        <f>I57*I56*I59</f>
        <v>0</v>
      </c>
      <c r="J60" s="10" t="s">
        <v>113</v>
      </c>
      <c r="K60" s="10"/>
      <c r="Y60" s="19" t="s">
        <v>624</v>
      </c>
      <c r="AB60">
        <f>AB58*24</f>
        <v>562.22204299482814</v>
      </c>
    </row>
    <row r="61" spans="1:59" ht="29.7" x14ac:dyDescent="0.25">
      <c r="H61" s="106" t="s">
        <v>354</v>
      </c>
      <c r="I61" s="31">
        <f>I60*1.1</f>
        <v>0</v>
      </c>
      <c r="J61" s="10" t="s">
        <v>113</v>
      </c>
      <c r="K61" s="10"/>
    </row>
    <row r="63" spans="1:59" x14ac:dyDescent="0.25">
      <c r="A63" s="130" t="s">
        <v>416</v>
      </c>
    </row>
    <row r="64" spans="1:59" x14ac:dyDescent="0.25">
      <c r="A64" s="7" t="s">
        <v>57</v>
      </c>
      <c r="B64" s="7"/>
      <c r="C64" s="7">
        <v>0</v>
      </c>
      <c r="D64" s="7" t="s">
        <v>116</v>
      </c>
    </row>
    <row r="66" spans="1:5" x14ac:dyDescent="0.25">
      <c r="A66" s="130" t="s">
        <v>415</v>
      </c>
      <c r="B66" s="6"/>
      <c r="C66" s="6"/>
    </row>
    <row r="67" spans="1:5" x14ac:dyDescent="0.25">
      <c r="A67" s="7" t="s">
        <v>409</v>
      </c>
      <c r="B67" s="7"/>
      <c r="C67" s="127">
        <f>0</f>
        <v>0</v>
      </c>
      <c r="D67" s="7" t="s">
        <v>137</v>
      </c>
      <c r="E67" s="7"/>
    </row>
  </sheetData>
  <mergeCells count="6">
    <mergeCell ref="AI47:AI48"/>
    <mergeCell ref="A11:J13"/>
    <mergeCell ref="Y18:AF18"/>
    <mergeCell ref="AH19:AN19"/>
    <mergeCell ref="AI39:AI41"/>
    <mergeCell ref="AI44:AI45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63EC-3804-4CC7-AD0F-676A406F75C7}">
  <dimension ref="A1:J10"/>
  <sheetViews>
    <sheetView tabSelected="1" topLeftCell="F1" workbookViewId="0">
      <selection sqref="A1:J10"/>
    </sheetView>
  </sheetViews>
  <sheetFormatPr defaultRowHeight="14.85" x14ac:dyDescent="0.25"/>
  <cols>
    <col min="2" max="2" width="12.28515625" customWidth="1"/>
    <col min="5" max="5" width="128" customWidth="1"/>
    <col min="6" max="7" width="12.7109375" customWidth="1"/>
    <col min="8" max="8" width="18.7109375" customWidth="1"/>
    <col min="9" max="10" width="12.7109375" customWidth="1"/>
  </cols>
  <sheetData>
    <row r="1" spans="1:10" ht="15.6" thickBot="1" x14ac:dyDescent="0.3">
      <c r="A1" s="219"/>
      <c r="B1" s="220"/>
      <c r="C1" s="220"/>
      <c r="D1" s="220"/>
      <c r="E1" s="170" t="s">
        <v>680</v>
      </c>
      <c r="F1" s="220" t="s">
        <v>716</v>
      </c>
      <c r="G1" s="220"/>
      <c r="H1" s="220"/>
      <c r="I1" s="220"/>
      <c r="J1" s="221"/>
    </row>
    <row r="2" spans="1:10" ht="15.6" thickBot="1" x14ac:dyDescent="0.3">
      <c r="A2" s="171" t="s">
        <v>640</v>
      </c>
      <c r="B2" s="172" t="s">
        <v>641</v>
      </c>
      <c r="C2" s="173" t="s">
        <v>378</v>
      </c>
      <c r="D2" s="174" t="s">
        <v>642</v>
      </c>
      <c r="E2" s="175" t="s">
        <v>643</v>
      </c>
      <c r="F2" s="176" t="s">
        <v>644</v>
      </c>
      <c r="G2" s="173" t="s">
        <v>645</v>
      </c>
      <c r="H2" s="173" t="s">
        <v>646</v>
      </c>
      <c r="I2" s="173" t="s">
        <v>647</v>
      </c>
      <c r="J2" s="208" t="s">
        <v>648</v>
      </c>
    </row>
    <row r="3" spans="1:10" x14ac:dyDescent="0.25">
      <c r="A3" s="192" t="s">
        <v>659</v>
      </c>
      <c r="B3" s="184">
        <v>50</v>
      </c>
      <c r="C3" s="185">
        <f t="shared" ref="C3:C10" si="0">IF(D3="LUMP","LS",IF(SUM(F3:I3)=0,"",(SUM(F3:I3))))</f>
        <v>5853</v>
      </c>
      <c r="D3" s="186" t="s">
        <v>278</v>
      </c>
      <c r="E3" s="187" t="s">
        <v>95</v>
      </c>
      <c r="F3" s="185"/>
      <c r="G3" s="185"/>
      <c r="H3" s="185">
        <v>5853</v>
      </c>
      <c r="I3" s="185"/>
      <c r="J3" s="189"/>
    </row>
    <row r="4" spans="1:10" x14ac:dyDescent="0.25">
      <c r="A4" s="192" t="s">
        <v>659</v>
      </c>
      <c r="B4" s="184">
        <v>56</v>
      </c>
      <c r="C4" s="185">
        <f t="shared" si="0"/>
        <v>5853</v>
      </c>
      <c r="D4" s="186" t="s">
        <v>278</v>
      </c>
      <c r="E4" s="187" t="s">
        <v>660</v>
      </c>
      <c r="F4" s="185"/>
      <c r="G4" s="185"/>
      <c r="H4" s="185">
        <v>5853</v>
      </c>
      <c r="I4" s="185"/>
      <c r="J4" s="189"/>
    </row>
    <row r="5" spans="1:10" x14ac:dyDescent="0.25">
      <c r="A5" s="192" t="s">
        <v>659</v>
      </c>
      <c r="B5" s="184">
        <v>60</v>
      </c>
      <c r="C5" s="185">
        <f t="shared" si="0"/>
        <v>5853</v>
      </c>
      <c r="D5" s="186" t="s">
        <v>278</v>
      </c>
      <c r="E5" s="187" t="s">
        <v>661</v>
      </c>
      <c r="F5" s="185"/>
      <c r="G5" s="185"/>
      <c r="H5" s="185">
        <v>5853</v>
      </c>
      <c r="I5" s="185"/>
      <c r="J5" s="189"/>
    </row>
    <row r="6" spans="1:10" x14ac:dyDescent="0.25">
      <c r="A6" s="192" t="s">
        <v>659</v>
      </c>
      <c r="B6" s="184">
        <v>66</v>
      </c>
      <c r="C6" s="185">
        <f t="shared" si="0"/>
        <v>5853</v>
      </c>
      <c r="D6" s="186" t="s">
        <v>278</v>
      </c>
      <c r="E6" s="187" t="s">
        <v>662</v>
      </c>
      <c r="F6" s="185"/>
      <c r="G6" s="185"/>
      <c r="H6" s="185">
        <v>5853</v>
      </c>
      <c r="I6" s="185"/>
      <c r="J6" s="189"/>
    </row>
    <row r="7" spans="1:10" x14ac:dyDescent="0.25">
      <c r="A7" s="192" t="s">
        <v>659</v>
      </c>
      <c r="B7" s="184">
        <v>504</v>
      </c>
      <c r="C7" s="185">
        <f t="shared" si="0"/>
        <v>11</v>
      </c>
      <c r="D7" s="186" t="s">
        <v>663</v>
      </c>
      <c r="E7" s="187" t="s">
        <v>110</v>
      </c>
      <c r="F7" s="185"/>
      <c r="G7" s="185"/>
      <c r="H7" s="185">
        <v>11</v>
      </c>
      <c r="I7" s="185"/>
      <c r="J7" s="189"/>
    </row>
    <row r="8" spans="1:10" x14ac:dyDescent="0.25">
      <c r="A8" s="192" t="s">
        <v>659</v>
      </c>
      <c r="B8" s="184">
        <v>10000</v>
      </c>
      <c r="C8" s="185">
        <f t="shared" si="0"/>
        <v>5</v>
      </c>
      <c r="D8" s="186" t="s">
        <v>116</v>
      </c>
      <c r="E8" s="187" t="s">
        <v>115</v>
      </c>
      <c r="F8" s="185"/>
      <c r="G8" s="185"/>
      <c r="H8" s="185">
        <v>5</v>
      </c>
      <c r="I8" s="185"/>
      <c r="J8" s="189"/>
    </row>
    <row r="9" spans="1:10" x14ac:dyDescent="0.25">
      <c r="A9" s="192"/>
      <c r="B9" s="184"/>
      <c r="C9" s="185"/>
      <c r="D9" s="186"/>
      <c r="E9" s="187"/>
      <c r="F9" s="185"/>
      <c r="G9" s="185"/>
      <c r="H9" s="191"/>
      <c r="I9" s="185"/>
      <c r="J9" s="189"/>
    </row>
    <row r="10" spans="1:10" ht="15.6" thickBot="1" x14ac:dyDescent="0.3">
      <c r="A10" s="202"/>
      <c r="B10" s="203"/>
      <c r="C10" s="204" t="str">
        <f t="shared" si="0"/>
        <v/>
      </c>
      <c r="D10" s="205"/>
      <c r="E10" s="206"/>
      <c r="F10" s="204"/>
      <c r="G10" s="204"/>
      <c r="H10" s="204"/>
      <c r="I10" s="204"/>
      <c r="J10" s="207"/>
    </row>
  </sheetData>
  <mergeCells count="2">
    <mergeCell ref="A1:D1"/>
    <mergeCell ref="F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4B2-D1F2-47D1-A85F-5AA985C4C727}">
  <dimension ref="A1"/>
  <sheetViews>
    <sheetView topLeftCell="A12" workbookViewId="0">
      <selection activeCell="C20" sqref="C20"/>
    </sheetView>
  </sheetViews>
  <sheetFormatPr defaultRowHeight="14.8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3B05-243C-4947-8BE2-EB162FBAE7BA}">
  <dimension ref="A3:M67"/>
  <sheetViews>
    <sheetView topLeftCell="A64" workbookViewId="0">
      <selection activeCell="C20" sqref="C20"/>
    </sheetView>
  </sheetViews>
  <sheetFormatPr defaultRowHeight="14.85" x14ac:dyDescent="0.25"/>
  <cols>
    <col min="2" max="2" width="14.140625" customWidth="1"/>
  </cols>
  <sheetData>
    <row r="3" spans="1:5" x14ac:dyDescent="0.25">
      <c r="A3" s="125" t="s">
        <v>603</v>
      </c>
      <c r="B3" s="114"/>
      <c r="C3" s="114"/>
      <c r="D3" s="114"/>
      <c r="E3" s="114"/>
    </row>
    <row r="4" spans="1:5" x14ac:dyDescent="0.25">
      <c r="A4" s="125" t="s">
        <v>604</v>
      </c>
      <c r="B4" s="114"/>
      <c r="C4" s="114"/>
      <c r="D4" s="114"/>
      <c r="E4" s="114"/>
    </row>
    <row r="5" spans="1:5" x14ac:dyDescent="0.25">
      <c r="A5" s="125"/>
      <c r="B5" s="114"/>
      <c r="C5" s="114"/>
      <c r="D5" s="114"/>
      <c r="E5" s="114"/>
    </row>
    <row r="7" spans="1:5" x14ac:dyDescent="0.25">
      <c r="A7" t="s">
        <v>398</v>
      </c>
    </row>
    <row r="8" spans="1:5" x14ac:dyDescent="0.25">
      <c r="A8" t="s">
        <v>394</v>
      </c>
      <c r="C8">
        <v>60</v>
      </c>
      <c r="D8" t="s">
        <v>2</v>
      </c>
      <c r="E8">
        <v>188.7</v>
      </c>
    </row>
    <row r="9" spans="1:5" x14ac:dyDescent="0.25">
      <c r="A9" t="s">
        <v>395</v>
      </c>
      <c r="C9" s="25">
        <v>34</v>
      </c>
      <c r="D9" t="s">
        <v>579</v>
      </c>
    </row>
    <row r="10" spans="1:5" x14ac:dyDescent="0.25">
      <c r="A10" t="s">
        <v>217</v>
      </c>
      <c r="C10" s="25">
        <f>C8*C9</f>
        <v>2040</v>
      </c>
      <c r="D10" t="s">
        <v>40</v>
      </c>
    </row>
    <row r="11" spans="1:5" x14ac:dyDescent="0.25">
      <c r="C11" s="25"/>
    </row>
    <row r="12" spans="1:5" x14ac:dyDescent="0.25">
      <c r="A12" t="s">
        <v>580</v>
      </c>
    </row>
    <row r="13" spans="1:5" x14ac:dyDescent="0.25">
      <c r="A13" t="s">
        <v>581</v>
      </c>
      <c r="C13">
        <v>2</v>
      </c>
      <c r="D13" t="s">
        <v>116</v>
      </c>
    </row>
    <row r="14" spans="1:5" x14ac:dyDescent="0.25">
      <c r="A14" t="s">
        <v>582</v>
      </c>
      <c r="C14">
        <v>25</v>
      </c>
      <c r="D14" t="s">
        <v>2</v>
      </c>
    </row>
    <row r="15" spans="1:5" x14ac:dyDescent="0.25">
      <c r="A15" t="s">
        <v>585</v>
      </c>
      <c r="C15" s="25">
        <v>34</v>
      </c>
      <c r="D15" t="s">
        <v>579</v>
      </c>
    </row>
    <row r="16" spans="1:5" x14ac:dyDescent="0.25">
      <c r="A16" t="s">
        <v>202</v>
      </c>
      <c r="C16" s="25">
        <f>C13*C14*C15</f>
        <v>1700</v>
      </c>
      <c r="D16" t="s">
        <v>40</v>
      </c>
    </row>
    <row r="18" spans="1:4" x14ac:dyDescent="0.25">
      <c r="A18" t="s">
        <v>78</v>
      </c>
      <c r="C18">
        <f>C10+C16</f>
        <v>3740</v>
      </c>
      <c r="D18" t="s">
        <v>40</v>
      </c>
    </row>
    <row r="19" spans="1:4" x14ac:dyDescent="0.25">
      <c r="C19" s="52">
        <f>C18/9</f>
        <v>415.55555555555554</v>
      </c>
      <c r="D19" s="7" t="s">
        <v>24</v>
      </c>
    </row>
    <row r="21" spans="1:4" x14ac:dyDescent="0.25">
      <c r="A21" s="56" t="s">
        <v>583</v>
      </c>
    </row>
    <row r="22" spans="1:4" x14ac:dyDescent="0.25">
      <c r="A22" t="s">
        <v>398</v>
      </c>
    </row>
    <row r="23" spans="1:4" x14ac:dyDescent="0.25">
      <c r="A23" t="s">
        <v>394</v>
      </c>
      <c r="C23">
        <v>60</v>
      </c>
      <c r="D23" t="s">
        <v>2</v>
      </c>
    </row>
    <row r="24" spans="1:4" x14ac:dyDescent="0.25">
      <c r="A24" t="s">
        <v>395</v>
      </c>
      <c r="C24" s="25">
        <v>34</v>
      </c>
      <c r="D24" t="s">
        <v>579</v>
      </c>
    </row>
    <row r="25" spans="1:4" x14ac:dyDescent="0.25">
      <c r="A25" t="s">
        <v>514</v>
      </c>
      <c r="C25">
        <v>8.3299999999999999E-2</v>
      </c>
      <c r="D25" t="s">
        <v>515</v>
      </c>
    </row>
    <row r="26" spans="1:4" x14ac:dyDescent="0.25">
      <c r="A26" t="s">
        <v>403</v>
      </c>
      <c r="C26">
        <f>C23*C24*C25</f>
        <v>169.93199999999999</v>
      </c>
      <c r="D26" t="s">
        <v>13</v>
      </c>
    </row>
    <row r="27" spans="1:4" x14ac:dyDescent="0.25">
      <c r="C27" s="1"/>
    </row>
    <row r="28" spans="1:4" x14ac:dyDescent="0.25">
      <c r="A28" t="s">
        <v>584</v>
      </c>
      <c r="C28" s="1"/>
    </row>
    <row r="29" spans="1:4" x14ac:dyDescent="0.25">
      <c r="A29" t="s">
        <v>581</v>
      </c>
      <c r="C29">
        <v>2</v>
      </c>
      <c r="D29" t="s">
        <v>116</v>
      </c>
    </row>
    <row r="30" spans="1:4" x14ac:dyDescent="0.25">
      <c r="A30" t="s">
        <v>582</v>
      </c>
      <c r="C30">
        <v>25</v>
      </c>
      <c r="D30" t="s">
        <v>2</v>
      </c>
    </row>
    <row r="31" spans="1:4" x14ac:dyDescent="0.25">
      <c r="A31" t="s">
        <v>585</v>
      </c>
      <c r="C31" s="25">
        <v>34</v>
      </c>
      <c r="D31" t="s">
        <v>579</v>
      </c>
    </row>
    <row r="32" spans="1:4" x14ac:dyDescent="0.25">
      <c r="A32" t="s">
        <v>514</v>
      </c>
      <c r="C32">
        <v>8.3299999999999999E-2</v>
      </c>
      <c r="D32" t="s">
        <v>515</v>
      </c>
    </row>
    <row r="33" spans="1:9" x14ac:dyDescent="0.25">
      <c r="A33" t="s">
        <v>586</v>
      </c>
      <c r="C33">
        <f>C29*C30*C31*C32</f>
        <v>141.60999999999999</v>
      </c>
      <c r="D33" t="s">
        <v>13</v>
      </c>
    </row>
    <row r="35" spans="1:9" x14ac:dyDescent="0.25">
      <c r="A35" t="s">
        <v>405</v>
      </c>
      <c r="C35" s="52">
        <f>C26+C33</f>
        <v>311.54199999999997</v>
      </c>
      <c r="D35" s="7" t="s">
        <v>13</v>
      </c>
    </row>
    <row r="36" spans="1:9" x14ac:dyDescent="0.25">
      <c r="C36" s="52">
        <f>C35/27</f>
        <v>11.538592592592591</v>
      </c>
      <c r="D36" s="7" t="s">
        <v>8</v>
      </c>
    </row>
    <row r="38" spans="1:9" x14ac:dyDescent="0.25">
      <c r="A38" s="56" t="s">
        <v>524</v>
      </c>
      <c r="C38" s="52">
        <f>0.01*C19</f>
        <v>4.1555555555555559</v>
      </c>
      <c r="D38" s="7" t="s">
        <v>525</v>
      </c>
    </row>
    <row r="42" spans="1:9" x14ac:dyDescent="0.25">
      <c r="A42" s="147" t="s">
        <v>601</v>
      </c>
      <c r="B42" s="3"/>
      <c r="C42" s="3"/>
      <c r="D42" s="3"/>
      <c r="E42" s="3"/>
      <c r="F42" s="3"/>
      <c r="G42" s="3"/>
      <c r="H42" s="3"/>
      <c r="I42" s="3"/>
    </row>
    <row r="44" spans="1:9" x14ac:dyDescent="0.25">
      <c r="A44" t="s">
        <v>587</v>
      </c>
      <c r="C44">
        <v>34</v>
      </c>
      <c r="D44" t="s">
        <v>2</v>
      </c>
    </row>
    <row r="45" spans="1:9" x14ac:dyDescent="0.25">
      <c r="A45" t="s">
        <v>588</v>
      </c>
      <c r="C45" s="3">
        <v>2</v>
      </c>
      <c r="D45" s="3" t="s">
        <v>116</v>
      </c>
    </row>
    <row r="46" spans="1:9" x14ac:dyDescent="0.25">
      <c r="A46" t="s">
        <v>28</v>
      </c>
      <c r="C46" s="7">
        <f>C44*C45</f>
        <v>68</v>
      </c>
      <c r="D46" s="7" t="s">
        <v>2</v>
      </c>
    </row>
    <row r="49" spans="1:6" x14ac:dyDescent="0.25">
      <c r="A49" s="147" t="s">
        <v>589</v>
      </c>
      <c r="B49" s="3"/>
      <c r="C49" s="3"/>
      <c r="D49" s="3"/>
      <c r="E49" s="3"/>
      <c r="F49" s="3"/>
    </row>
    <row r="51" spans="1:6" x14ac:dyDescent="0.25">
      <c r="A51" t="s">
        <v>591</v>
      </c>
      <c r="C51">
        <v>65</v>
      </c>
      <c r="D51" t="s">
        <v>2</v>
      </c>
    </row>
    <row r="52" spans="1:6" x14ac:dyDescent="0.25">
      <c r="A52" t="s">
        <v>590</v>
      </c>
      <c r="C52" s="3">
        <v>2</v>
      </c>
      <c r="D52" s="3" t="s">
        <v>116</v>
      </c>
    </row>
    <row r="53" spans="1:6" x14ac:dyDescent="0.25">
      <c r="C53" s="7">
        <f>C51*C52</f>
        <v>130</v>
      </c>
      <c r="D53" s="7" t="s">
        <v>2</v>
      </c>
    </row>
    <row r="56" spans="1:6" x14ac:dyDescent="0.25">
      <c r="A56" s="147" t="s">
        <v>568</v>
      </c>
      <c r="B56" s="3"/>
      <c r="C56" s="3"/>
    </row>
    <row r="58" spans="1:6" x14ac:dyDescent="0.25">
      <c r="A58" t="s">
        <v>591</v>
      </c>
      <c r="C58">
        <v>65</v>
      </c>
      <c r="D58" t="s">
        <v>2</v>
      </c>
    </row>
    <row r="59" spans="1:6" x14ac:dyDescent="0.25">
      <c r="A59" t="s">
        <v>590</v>
      </c>
      <c r="C59" s="3">
        <v>2</v>
      </c>
      <c r="D59" s="3" t="s">
        <v>116</v>
      </c>
    </row>
    <row r="60" spans="1:6" x14ac:dyDescent="0.25">
      <c r="C60">
        <f>C58*C59</f>
        <v>130</v>
      </c>
      <c r="D60" t="s">
        <v>2</v>
      </c>
    </row>
    <row r="62" spans="1:6" x14ac:dyDescent="0.25">
      <c r="A62" t="s">
        <v>605</v>
      </c>
      <c r="C62" s="3">
        <f>(18*2)*1.5</f>
        <v>54</v>
      </c>
      <c r="D62" s="3" t="s">
        <v>2</v>
      </c>
    </row>
    <row r="63" spans="1:6" x14ac:dyDescent="0.25">
      <c r="C63" s="7">
        <f>C60+C62</f>
        <v>184</v>
      </c>
      <c r="D63" s="7" t="s">
        <v>2</v>
      </c>
    </row>
    <row r="67" spans="1:13" x14ac:dyDescent="0.25">
      <c r="A67" s="147" t="s">
        <v>606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7" t="s">
        <v>441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032F-A92A-4987-A944-39678F58BFEF}">
  <dimension ref="A3:O76"/>
  <sheetViews>
    <sheetView topLeftCell="A70" workbookViewId="0">
      <selection activeCell="C20" sqref="C20"/>
    </sheetView>
  </sheetViews>
  <sheetFormatPr defaultRowHeight="14.85" x14ac:dyDescent="0.25"/>
  <cols>
    <col min="2" max="2" width="13.42578125" customWidth="1"/>
  </cols>
  <sheetData>
    <row r="3" spans="1:5" x14ac:dyDescent="0.25">
      <c r="A3" s="125" t="s">
        <v>603</v>
      </c>
      <c r="B3" s="114"/>
      <c r="C3" s="114"/>
      <c r="D3" s="114"/>
      <c r="E3" s="114"/>
    </row>
    <row r="4" spans="1:5" x14ac:dyDescent="0.25">
      <c r="A4" s="125" t="s">
        <v>604</v>
      </c>
      <c r="B4" s="114"/>
      <c r="C4" s="114"/>
      <c r="D4" s="114"/>
      <c r="E4" s="114"/>
    </row>
    <row r="5" spans="1:5" x14ac:dyDescent="0.25">
      <c r="A5" s="125"/>
      <c r="B5" s="114"/>
      <c r="C5" s="114"/>
      <c r="D5" s="114"/>
      <c r="E5" s="114"/>
    </row>
    <row r="7" spans="1:5" x14ac:dyDescent="0.25">
      <c r="A7" t="s">
        <v>398</v>
      </c>
    </row>
    <row r="8" spans="1:5" x14ac:dyDescent="0.25">
      <c r="A8" t="s">
        <v>394</v>
      </c>
      <c r="C8">
        <v>193</v>
      </c>
      <c r="D8" t="s">
        <v>2</v>
      </c>
    </row>
    <row r="9" spans="1:5" x14ac:dyDescent="0.25">
      <c r="A9" t="s">
        <v>395</v>
      </c>
      <c r="C9" s="25">
        <v>42</v>
      </c>
      <c r="D9" t="s">
        <v>596</v>
      </c>
    </row>
    <row r="10" spans="1:5" x14ac:dyDescent="0.25">
      <c r="A10" t="s">
        <v>217</v>
      </c>
      <c r="C10" s="25">
        <f>C8*C9</f>
        <v>8106</v>
      </c>
      <c r="D10" t="s">
        <v>40</v>
      </c>
    </row>
    <row r="11" spans="1:5" x14ac:dyDescent="0.25">
      <c r="C11" s="25"/>
    </row>
    <row r="12" spans="1:5" x14ac:dyDescent="0.25">
      <c r="A12" t="s">
        <v>584</v>
      </c>
    </row>
    <row r="13" spans="1:5" x14ac:dyDescent="0.25">
      <c r="A13" t="s">
        <v>581</v>
      </c>
      <c r="C13">
        <v>2</v>
      </c>
      <c r="D13" t="s">
        <v>116</v>
      </c>
    </row>
    <row r="14" spans="1:5" x14ac:dyDescent="0.25">
      <c r="A14" t="s">
        <v>582</v>
      </c>
      <c r="C14">
        <v>25</v>
      </c>
      <c r="D14" t="s">
        <v>2</v>
      </c>
    </row>
    <row r="15" spans="1:5" x14ac:dyDescent="0.25">
      <c r="A15" t="s">
        <v>585</v>
      </c>
      <c r="C15" s="25">
        <v>42</v>
      </c>
      <c r="D15" t="s">
        <v>596</v>
      </c>
    </row>
    <row r="16" spans="1:5" x14ac:dyDescent="0.25">
      <c r="A16" t="s">
        <v>202</v>
      </c>
      <c r="C16" s="25">
        <f>C13*C14*C15</f>
        <v>2100</v>
      </c>
      <c r="D16" t="s">
        <v>40</v>
      </c>
    </row>
    <row r="18" spans="1:4" x14ac:dyDescent="0.25">
      <c r="A18" t="s">
        <v>78</v>
      </c>
      <c r="C18">
        <f>C10+C16</f>
        <v>10206</v>
      </c>
      <c r="D18" t="s">
        <v>40</v>
      </c>
    </row>
    <row r="19" spans="1:4" x14ac:dyDescent="0.25">
      <c r="C19" s="52">
        <f>C18/9</f>
        <v>1134</v>
      </c>
      <c r="D19" s="7" t="s">
        <v>24</v>
      </c>
    </row>
    <row r="21" spans="1:4" x14ac:dyDescent="0.25">
      <c r="A21" s="56" t="s">
        <v>583</v>
      </c>
    </row>
    <row r="22" spans="1:4" x14ac:dyDescent="0.25">
      <c r="A22" t="s">
        <v>398</v>
      </c>
    </row>
    <row r="23" spans="1:4" x14ac:dyDescent="0.25">
      <c r="A23" t="s">
        <v>394</v>
      </c>
      <c r="C23">
        <v>193</v>
      </c>
      <c r="D23" t="s">
        <v>2</v>
      </c>
    </row>
    <row r="24" spans="1:4" x14ac:dyDescent="0.25">
      <c r="A24" t="s">
        <v>395</v>
      </c>
      <c r="C24" s="25">
        <v>42</v>
      </c>
      <c r="D24" t="s">
        <v>579</v>
      </c>
    </row>
    <row r="25" spans="1:4" x14ac:dyDescent="0.25">
      <c r="A25" t="s">
        <v>514</v>
      </c>
      <c r="C25">
        <v>8.3299999999999999E-2</v>
      </c>
      <c r="D25" t="s">
        <v>515</v>
      </c>
    </row>
    <row r="26" spans="1:4" x14ac:dyDescent="0.25">
      <c r="A26" t="s">
        <v>403</v>
      </c>
      <c r="C26">
        <f>C23*C24*C25</f>
        <v>675.22979999999995</v>
      </c>
      <c r="D26" t="s">
        <v>13</v>
      </c>
    </row>
    <row r="27" spans="1:4" x14ac:dyDescent="0.25">
      <c r="C27" s="1"/>
    </row>
    <row r="28" spans="1:4" x14ac:dyDescent="0.25">
      <c r="A28" t="s">
        <v>584</v>
      </c>
      <c r="C28" s="1"/>
    </row>
    <row r="29" spans="1:4" x14ac:dyDescent="0.25">
      <c r="A29" t="s">
        <v>581</v>
      </c>
      <c r="C29">
        <v>2</v>
      </c>
      <c r="D29" t="s">
        <v>116</v>
      </c>
    </row>
    <row r="30" spans="1:4" x14ac:dyDescent="0.25">
      <c r="A30" t="s">
        <v>582</v>
      </c>
      <c r="C30">
        <v>25</v>
      </c>
      <c r="D30" t="s">
        <v>2</v>
      </c>
    </row>
    <row r="31" spans="1:4" x14ac:dyDescent="0.25">
      <c r="A31" t="s">
        <v>585</v>
      </c>
      <c r="C31" s="25">
        <v>42</v>
      </c>
      <c r="D31" t="s">
        <v>579</v>
      </c>
    </row>
    <row r="32" spans="1:4" x14ac:dyDescent="0.25">
      <c r="A32" t="s">
        <v>514</v>
      </c>
      <c r="C32">
        <v>8.3299999999999999E-2</v>
      </c>
      <c r="D32" t="s">
        <v>515</v>
      </c>
    </row>
    <row r="33" spans="1:10" x14ac:dyDescent="0.25">
      <c r="A33" t="s">
        <v>586</v>
      </c>
      <c r="C33">
        <f>C29*C30*C31*C32</f>
        <v>174.93</v>
      </c>
      <c r="D33" t="s">
        <v>13</v>
      </c>
    </row>
    <row r="35" spans="1:10" x14ac:dyDescent="0.25">
      <c r="A35" t="s">
        <v>405</v>
      </c>
      <c r="C35" s="52">
        <f>C26+C33</f>
        <v>850.1597999999999</v>
      </c>
      <c r="D35" s="7" t="s">
        <v>13</v>
      </c>
    </row>
    <row r="36" spans="1:10" x14ac:dyDescent="0.25">
      <c r="C36" s="52">
        <f>C35/27</f>
        <v>31.487399999999997</v>
      </c>
      <c r="D36" s="7" t="s">
        <v>8</v>
      </c>
    </row>
    <row r="38" spans="1:10" x14ac:dyDescent="0.25">
      <c r="A38" s="56" t="s">
        <v>524</v>
      </c>
      <c r="C38" s="52">
        <f>0.02*C19</f>
        <v>22.68</v>
      </c>
      <c r="D38" s="7" t="s">
        <v>525</v>
      </c>
    </row>
    <row r="40" spans="1:10" x14ac:dyDescent="0.25">
      <c r="A40" s="147" t="s">
        <v>411</v>
      </c>
      <c r="B40" s="3"/>
    </row>
    <row r="41" spans="1:10" x14ac:dyDescent="0.25">
      <c r="A41" t="s">
        <v>202</v>
      </c>
      <c r="C41">
        <f xml:space="preserve"> 676+80</f>
        <v>756</v>
      </c>
      <c r="D41" t="s">
        <v>278</v>
      </c>
    </row>
    <row r="42" spans="1:10" x14ac:dyDescent="0.25">
      <c r="A42" t="s">
        <v>602</v>
      </c>
      <c r="C42" s="3">
        <v>0.5</v>
      </c>
      <c r="D42" s="3" t="s">
        <v>2</v>
      </c>
    </row>
    <row r="43" spans="1:10" x14ac:dyDescent="0.25">
      <c r="C43" s="7">
        <f>C41*C42</f>
        <v>378</v>
      </c>
      <c r="D43" s="7" t="s">
        <v>295</v>
      </c>
    </row>
    <row r="44" spans="1:10" x14ac:dyDescent="0.25">
      <c r="C44" s="7">
        <f>C43/27</f>
        <v>14</v>
      </c>
      <c r="D44" s="7" t="s">
        <v>297</v>
      </c>
    </row>
    <row r="46" spans="1:10" x14ac:dyDescent="0.25">
      <c r="A46" s="147" t="s">
        <v>598</v>
      </c>
      <c r="B46" s="3"/>
      <c r="C46" s="3"/>
      <c r="D46" s="3"/>
      <c r="E46" s="3"/>
      <c r="F46" s="3"/>
      <c r="G46" s="3"/>
      <c r="H46" s="3"/>
      <c r="I46" s="3"/>
      <c r="J46" s="3"/>
    </row>
    <row r="48" spans="1:10" x14ac:dyDescent="0.25">
      <c r="A48" t="s">
        <v>587</v>
      </c>
      <c r="C48">
        <v>42</v>
      </c>
      <c r="D48" t="s">
        <v>2</v>
      </c>
    </row>
    <row r="49" spans="1:6" x14ac:dyDescent="0.25">
      <c r="A49" t="s">
        <v>588</v>
      </c>
      <c r="C49" s="3">
        <v>2</v>
      </c>
      <c r="D49" s="3" t="s">
        <v>116</v>
      </c>
    </row>
    <row r="50" spans="1:6" x14ac:dyDescent="0.25">
      <c r="A50" t="s">
        <v>28</v>
      </c>
      <c r="C50" s="7">
        <f>C48*C49</f>
        <v>84</v>
      </c>
      <c r="D50" s="7" t="s">
        <v>2</v>
      </c>
    </row>
    <row r="54" spans="1:6" x14ac:dyDescent="0.25">
      <c r="A54" s="147" t="s">
        <v>592</v>
      </c>
      <c r="B54" s="3"/>
      <c r="C54" s="3"/>
      <c r="D54" s="3"/>
      <c r="E54" s="3"/>
      <c r="F54" s="3"/>
    </row>
    <row r="56" spans="1:6" x14ac:dyDescent="0.25">
      <c r="A56" t="s">
        <v>587</v>
      </c>
      <c r="C56">
        <v>54</v>
      </c>
      <c r="D56" t="s">
        <v>2</v>
      </c>
    </row>
    <row r="57" spans="1:6" x14ac:dyDescent="0.25">
      <c r="A57" t="s">
        <v>588</v>
      </c>
      <c r="C57" s="3">
        <v>2</v>
      </c>
      <c r="D57" s="3" t="s">
        <v>116</v>
      </c>
    </row>
    <row r="58" spans="1:6" x14ac:dyDescent="0.25">
      <c r="A58" t="s">
        <v>28</v>
      </c>
      <c r="C58" s="7">
        <f>C56*C57</f>
        <v>108</v>
      </c>
      <c r="D58" s="7" t="s">
        <v>2</v>
      </c>
    </row>
    <row r="61" spans="1:6" x14ac:dyDescent="0.25">
      <c r="A61" s="147" t="s">
        <v>599</v>
      </c>
      <c r="B61" s="3"/>
      <c r="C61" s="3"/>
      <c r="D61" s="3"/>
    </row>
    <row r="63" spans="1:6" x14ac:dyDescent="0.25">
      <c r="A63" t="s">
        <v>600</v>
      </c>
      <c r="C63" s="7">
        <v>54.5</v>
      </c>
      <c r="D63" s="7" t="s">
        <v>278</v>
      </c>
    </row>
    <row r="66" spans="1:15" x14ac:dyDescent="0.25">
      <c r="A66" s="147" t="s">
        <v>597</v>
      </c>
      <c r="B66" s="3"/>
      <c r="C66" s="3"/>
      <c r="D66" s="3"/>
      <c r="E66" s="3"/>
      <c r="F66" s="3"/>
      <c r="G66" s="3"/>
    </row>
    <row r="68" spans="1:15" x14ac:dyDescent="0.25">
      <c r="A68" t="s">
        <v>593</v>
      </c>
      <c r="C68">
        <f xml:space="preserve"> 5</f>
        <v>5</v>
      </c>
      <c r="D68" t="s">
        <v>278</v>
      </c>
      <c r="O68">
        <f>0.25*5280*24*0.08333/27</f>
        <v>97.773866666666677</v>
      </c>
    </row>
    <row r="69" spans="1:15" x14ac:dyDescent="0.25">
      <c r="O69">
        <f>0.25*5280*24/9*0.09</f>
        <v>316.8</v>
      </c>
    </row>
    <row r="70" spans="1:15" x14ac:dyDescent="0.25">
      <c r="A70" t="s">
        <v>594</v>
      </c>
      <c r="C70">
        <v>568</v>
      </c>
      <c r="D70" t="s">
        <v>278</v>
      </c>
    </row>
    <row r="72" spans="1:15" x14ac:dyDescent="0.25">
      <c r="A72" t="s">
        <v>595</v>
      </c>
      <c r="C72" s="3">
        <v>173</v>
      </c>
      <c r="D72" s="3" t="s">
        <v>278</v>
      </c>
    </row>
    <row r="73" spans="1:15" x14ac:dyDescent="0.25">
      <c r="C73" s="7">
        <f>SUM(C68:C72)</f>
        <v>746</v>
      </c>
      <c r="D73" s="7" t="s">
        <v>278</v>
      </c>
    </row>
    <row r="76" spans="1:15" x14ac:dyDescent="0.25">
      <c r="A76" s="147" t="s">
        <v>606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7" t="s">
        <v>441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A5A8-BAAC-4A01-9370-7AB7F878F408}">
  <dimension ref="A1:H244"/>
  <sheetViews>
    <sheetView topLeftCell="A40" workbookViewId="0">
      <selection activeCell="C20" sqref="C20"/>
    </sheetView>
  </sheetViews>
  <sheetFormatPr defaultRowHeight="14.85" x14ac:dyDescent="0.25"/>
  <cols>
    <col min="3" max="3" width="20.28515625" customWidth="1"/>
    <col min="4" max="4" width="22" customWidth="1"/>
    <col min="5" max="5" width="10.7109375" customWidth="1"/>
    <col min="8" max="8" width="12.85546875" customWidth="1"/>
    <col min="9" max="9" width="10.42578125" customWidth="1"/>
    <col min="11" max="11" width="12.85546875" customWidth="1"/>
    <col min="12" max="12" width="12.140625" customWidth="1"/>
    <col min="13" max="13" width="14.42578125" customWidth="1"/>
    <col min="14" max="14" width="14" customWidth="1"/>
    <col min="15" max="20" width="12.85546875" customWidth="1"/>
    <col min="22" max="23" width="13.42578125" customWidth="1"/>
    <col min="24" max="24" width="11" customWidth="1"/>
    <col min="32" max="32" width="14.42578125" customWidth="1"/>
    <col min="43" max="43" width="17.28515625" customWidth="1"/>
    <col min="54" max="54" width="16.5703125" customWidth="1"/>
  </cols>
  <sheetData>
    <row r="1" spans="1:8" x14ac:dyDescent="0.25">
      <c r="A1" s="56" t="s">
        <v>492</v>
      </c>
      <c r="G1" s="7" t="s">
        <v>245</v>
      </c>
      <c r="H1" s="7"/>
    </row>
    <row r="4" spans="1:8" x14ac:dyDescent="0.25">
      <c r="A4" s="56" t="s">
        <v>58</v>
      </c>
      <c r="B4" s="6"/>
      <c r="C4" s="6"/>
      <c r="D4" s="6"/>
      <c r="E4" s="6"/>
    </row>
    <row r="5" spans="1:8" x14ac:dyDescent="0.25">
      <c r="A5" s="2"/>
    </row>
    <row r="6" spans="1:8" x14ac:dyDescent="0.25">
      <c r="A6" s="3" t="s">
        <v>398</v>
      </c>
      <c r="B6" s="3"/>
    </row>
    <row r="7" spans="1:8" x14ac:dyDescent="0.25">
      <c r="A7" t="s">
        <v>60</v>
      </c>
      <c r="D7">
        <v>110.13</v>
      </c>
      <c r="E7" t="s">
        <v>2</v>
      </c>
    </row>
    <row r="8" spans="1:8" x14ac:dyDescent="0.25">
      <c r="A8" t="s">
        <v>59</v>
      </c>
      <c r="D8">
        <f>1.75+0.5</f>
        <v>2.25</v>
      </c>
      <c r="E8" t="s">
        <v>2</v>
      </c>
    </row>
    <row r="9" spans="1:8" x14ac:dyDescent="0.25">
      <c r="A9" t="s">
        <v>61</v>
      </c>
      <c r="D9">
        <v>2</v>
      </c>
    </row>
    <row r="10" spans="1:8" x14ac:dyDescent="0.25">
      <c r="A10" t="s">
        <v>62</v>
      </c>
      <c r="D10">
        <f>D7*D8*D9</f>
        <v>495.58499999999998</v>
      </c>
      <c r="E10" t="s">
        <v>40</v>
      </c>
    </row>
    <row r="11" spans="1:8" x14ac:dyDescent="0.25">
      <c r="D11">
        <f>D10/9</f>
        <v>55.064999999999998</v>
      </c>
      <c r="E11" t="s">
        <v>24</v>
      </c>
    </row>
    <row r="13" spans="1:8" x14ac:dyDescent="0.25">
      <c r="A13" s="6" t="s">
        <v>63</v>
      </c>
    </row>
    <row r="14" spans="1:8" x14ac:dyDescent="0.25">
      <c r="A14" t="s">
        <v>64</v>
      </c>
      <c r="D14">
        <v>0</v>
      </c>
    </row>
    <row r="15" spans="1:8" x14ac:dyDescent="0.25">
      <c r="A15" t="s">
        <v>76</v>
      </c>
      <c r="D15">
        <v>3</v>
      </c>
      <c r="E15" t="s">
        <v>2</v>
      </c>
    </row>
    <row r="16" spans="1:8" x14ac:dyDescent="0.25">
      <c r="A16" t="s">
        <v>65</v>
      </c>
      <c r="D16">
        <f>D15*4</f>
        <v>12</v>
      </c>
      <c r="E16" t="s">
        <v>40</v>
      </c>
    </row>
    <row r="17" spans="1:5" x14ac:dyDescent="0.25">
      <c r="A17" t="s">
        <v>68</v>
      </c>
      <c r="D17">
        <v>0</v>
      </c>
    </row>
    <row r="19" spans="1:5" x14ac:dyDescent="0.25">
      <c r="A19" t="s">
        <v>66</v>
      </c>
      <c r="D19">
        <f>D15*3</f>
        <v>9</v>
      </c>
      <c r="E19" t="s">
        <v>40</v>
      </c>
    </row>
    <row r="20" spans="1:5" x14ac:dyDescent="0.25">
      <c r="A20" t="s">
        <v>69</v>
      </c>
      <c r="D20">
        <v>0</v>
      </c>
    </row>
    <row r="22" spans="1:5" x14ac:dyDescent="0.25">
      <c r="A22" t="s">
        <v>67</v>
      </c>
      <c r="D22">
        <f>D15*(4+5.5)/2</f>
        <v>14.25</v>
      </c>
      <c r="E22" t="s">
        <v>40</v>
      </c>
    </row>
    <row r="23" spans="1:5" x14ac:dyDescent="0.25">
      <c r="A23" t="s">
        <v>70</v>
      </c>
      <c r="D23">
        <v>0</v>
      </c>
    </row>
    <row r="25" spans="1:5" x14ac:dyDescent="0.25">
      <c r="A25" t="s">
        <v>71</v>
      </c>
    </row>
    <row r="26" spans="1:5" x14ac:dyDescent="0.25">
      <c r="A26" t="s">
        <v>73</v>
      </c>
      <c r="D26">
        <f>ATAN(7.5/15)*180/PI()</f>
        <v>26.56505117707799</v>
      </c>
      <c r="E26" t="s">
        <v>72</v>
      </c>
    </row>
    <row r="27" spans="1:5" x14ac:dyDescent="0.25">
      <c r="A27" t="s">
        <v>74</v>
      </c>
      <c r="D27">
        <f>3/COS(D26*PI()/180)</f>
        <v>3.3541019662496847</v>
      </c>
      <c r="E27" t="s">
        <v>2</v>
      </c>
    </row>
    <row r="28" spans="1:5" x14ac:dyDescent="0.25">
      <c r="A28" t="s">
        <v>75</v>
      </c>
      <c r="D28">
        <f>D15*D27</f>
        <v>10.062305898749054</v>
      </c>
      <c r="E28" t="s">
        <v>40</v>
      </c>
    </row>
    <row r="29" spans="1:5" x14ac:dyDescent="0.25">
      <c r="A29" t="s">
        <v>77</v>
      </c>
      <c r="D29">
        <v>0</v>
      </c>
    </row>
    <row r="31" spans="1:5" x14ac:dyDescent="0.25">
      <c r="A31" t="s">
        <v>552</v>
      </c>
      <c r="D31">
        <f>D14*(D16*D17+D19*D20+D22*D23+D28*D29)</f>
        <v>0</v>
      </c>
      <c r="E31" t="s">
        <v>40</v>
      </c>
    </row>
    <row r="32" spans="1:5" x14ac:dyDescent="0.25">
      <c r="D32">
        <f>D31/9</f>
        <v>0</v>
      </c>
      <c r="E32" t="s">
        <v>24</v>
      </c>
    </row>
    <row r="34" spans="1:8" x14ac:dyDescent="0.25">
      <c r="A34" s="3" t="s">
        <v>80</v>
      </c>
      <c r="B34" s="3"/>
      <c r="C34" s="3"/>
      <c r="D34" s="3"/>
      <c r="E34" s="3"/>
      <c r="F34" s="3"/>
      <c r="G34" s="3"/>
      <c r="H34" s="3"/>
    </row>
    <row r="36" spans="1:8" x14ac:dyDescent="0.25">
      <c r="A36" t="s">
        <v>81</v>
      </c>
      <c r="D36">
        <v>1.25</v>
      </c>
      <c r="E36" t="s">
        <v>2</v>
      </c>
    </row>
    <row r="37" spans="1:8" x14ac:dyDescent="0.25">
      <c r="A37" t="s">
        <v>82</v>
      </c>
      <c r="D37">
        <v>52.34</v>
      </c>
      <c r="E37" t="s">
        <v>2</v>
      </c>
    </row>
    <row r="38" spans="1:8" x14ac:dyDescent="0.25">
      <c r="A38" t="s">
        <v>276</v>
      </c>
      <c r="D38">
        <v>3.25</v>
      </c>
      <c r="E38" t="s">
        <v>2</v>
      </c>
      <c r="F38" t="s">
        <v>566</v>
      </c>
    </row>
    <row r="39" spans="1:8" x14ac:dyDescent="0.25">
      <c r="A39" t="s">
        <v>88</v>
      </c>
      <c r="D39">
        <v>0</v>
      </c>
      <c r="E39" t="s">
        <v>2</v>
      </c>
    </row>
    <row r="40" spans="1:8" x14ac:dyDescent="0.25">
      <c r="A40" t="s">
        <v>275</v>
      </c>
      <c r="D40">
        <v>0</v>
      </c>
      <c r="E40" t="s">
        <v>2</v>
      </c>
    </row>
    <row r="42" spans="1:8" x14ac:dyDescent="0.25">
      <c r="A42" t="s">
        <v>84</v>
      </c>
      <c r="D42">
        <f>D37*D38</f>
        <v>170.10500000000002</v>
      </c>
      <c r="E42" t="s">
        <v>40</v>
      </c>
    </row>
    <row r="43" spans="1:8" x14ac:dyDescent="0.25">
      <c r="A43" t="s">
        <v>85</v>
      </c>
      <c r="D43">
        <f>D37*D36*0</f>
        <v>0</v>
      </c>
      <c r="E43" t="s">
        <v>40</v>
      </c>
    </row>
    <row r="44" spans="1:8" x14ac:dyDescent="0.25">
      <c r="A44" t="s">
        <v>86</v>
      </c>
      <c r="D44">
        <f>2*(D36*D38)*0</f>
        <v>0</v>
      </c>
      <c r="E44" t="s">
        <v>40</v>
      </c>
    </row>
    <row r="46" spans="1:8" ht="15.05" customHeight="1" x14ac:dyDescent="0.25">
      <c r="A46" s="29" t="s">
        <v>300</v>
      </c>
      <c r="B46" s="5"/>
      <c r="D46">
        <f>D40*D37</f>
        <v>0</v>
      </c>
      <c r="E46" t="s">
        <v>40</v>
      </c>
    </row>
    <row r="47" spans="1:8" x14ac:dyDescent="0.25">
      <c r="A47" s="5"/>
      <c r="B47" s="5"/>
      <c r="H47" s="54"/>
    </row>
    <row r="48" spans="1:8" x14ac:dyDescent="0.25">
      <c r="A48" s="4"/>
      <c r="B48" s="4"/>
    </row>
    <row r="49" spans="1:8" ht="15.05" customHeight="1" x14ac:dyDescent="0.25">
      <c r="A49" s="29" t="s">
        <v>555</v>
      </c>
      <c r="B49" s="55"/>
      <c r="D49">
        <f>4.9*4.2+(4.2)*(2+0.5)</f>
        <v>31.080000000000002</v>
      </c>
      <c r="E49" t="s">
        <v>40</v>
      </c>
      <c r="F49" t="s">
        <v>564</v>
      </c>
    </row>
    <row r="50" spans="1:8" ht="15.05" customHeight="1" x14ac:dyDescent="0.25">
      <c r="A50" s="29" t="s">
        <v>556</v>
      </c>
      <c r="B50" s="55"/>
      <c r="D50">
        <f>4.9*2</f>
        <v>9.8000000000000007</v>
      </c>
      <c r="E50" t="s">
        <v>40</v>
      </c>
    </row>
    <row r="51" spans="1:8" x14ac:dyDescent="0.25">
      <c r="A51" s="29" t="s">
        <v>302</v>
      </c>
      <c r="B51" s="55"/>
      <c r="D51" s="3">
        <v>2</v>
      </c>
      <c r="E51" s="3" t="s">
        <v>116</v>
      </c>
    </row>
    <row r="52" spans="1:8" x14ac:dyDescent="0.25">
      <c r="A52" s="55"/>
      <c r="B52" s="55"/>
      <c r="D52">
        <f>(D49+D50)*D51</f>
        <v>81.760000000000005</v>
      </c>
      <c r="E52" t="s">
        <v>40</v>
      </c>
    </row>
    <row r="54" spans="1:8" x14ac:dyDescent="0.25">
      <c r="A54" t="s">
        <v>553</v>
      </c>
      <c r="D54">
        <f>D42+D43+D44+D46+(D52)</f>
        <v>251.86500000000001</v>
      </c>
      <c r="E54" t="s">
        <v>40</v>
      </c>
    </row>
    <row r="55" spans="1:8" x14ac:dyDescent="0.25">
      <c r="D55">
        <f>D54/9</f>
        <v>27.984999999999999</v>
      </c>
      <c r="E55" t="s">
        <v>24</v>
      </c>
    </row>
    <row r="58" spans="1:8" x14ac:dyDescent="0.25">
      <c r="A58" s="3" t="s">
        <v>89</v>
      </c>
      <c r="B58" s="3"/>
      <c r="C58" s="3"/>
      <c r="D58" s="3"/>
      <c r="E58" s="3"/>
      <c r="F58" s="3"/>
      <c r="G58" s="3"/>
      <c r="H58" s="3"/>
    </row>
    <row r="60" spans="1:8" x14ac:dyDescent="0.25">
      <c r="A60" t="s">
        <v>81</v>
      </c>
      <c r="D60">
        <v>1.25</v>
      </c>
      <c r="E60" t="s">
        <v>2</v>
      </c>
    </row>
    <row r="61" spans="1:8" x14ac:dyDescent="0.25">
      <c r="A61" t="s">
        <v>82</v>
      </c>
      <c r="D61">
        <v>52.34</v>
      </c>
      <c r="E61" t="s">
        <v>2</v>
      </c>
    </row>
    <row r="62" spans="1:8" x14ac:dyDescent="0.25">
      <c r="A62" t="s">
        <v>276</v>
      </c>
      <c r="D62">
        <v>3.25</v>
      </c>
      <c r="E62" t="s">
        <v>2</v>
      </c>
      <c r="F62" t="s">
        <v>566</v>
      </c>
    </row>
    <row r="63" spans="1:8" x14ac:dyDescent="0.25">
      <c r="A63" t="s">
        <v>88</v>
      </c>
      <c r="D63">
        <v>0</v>
      </c>
      <c r="E63" t="s">
        <v>2</v>
      </c>
    </row>
    <row r="64" spans="1:8" x14ac:dyDescent="0.25">
      <c r="A64" t="s">
        <v>275</v>
      </c>
      <c r="D64">
        <v>0</v>
      </c>
      <c r="E64" t="s">
        <v>2</v>
      </c>
    </row>
    <row r="66" spans="1:5" x14ac:dyDescent="0.25">
      <c r="A66" t="s">
        <v>84</v>
      </c>
      <c r="D66">
        <f>D61*D62</f>
        <v>170.10500000000002</v>
      </c>
      <c r="E66" t="s">
        <v>40</v>
      </c>
    </row>
    <row r="67" spans="1:5" x14ac:dyDescent="0.25">
      <c r="A67" t="s">
        <v>85</v>
      </c>
      <c r="D67">
        <f>D61*D60*0</f>
        <v>0</v>
      </c>
      <c r="E67" t="s">
        <v>40</v>
      </c>
    </row>
    <row r="68" spans="1:5" x14ac:dyDescent="0.25">
      <c r="A68" t="s">
        <v>86</v>
      </c>
      <c r="D68">
        <f>2*(D60*D62)*0</f>
        <v>0</v>
      </c>
      <c r="E68" t="s">
        <v>40</v>
      </c>
    </row>
    <row r="69" spans="1:5" ht="15.05" customHeight="1" x14ac:dyDescent="0.25"/>
    <row r="70" spans="1:5" x14ac:dyDescent="0.25">
      <c r="A70" s="29" t="s">
        <v>300</v>
      </c>
      <c r="B70" s="5"/>
      <c r="D70">
        <f>D64*D61</f>
        <v>0</v>
      </c>
      <c r="E70" t="s">
        <v>40</v>
      </c>
    </row>
    <row r="71" spans="1:5" x14ac:dyDescent="0.25">
      <c r="A71" s="5"/>
      <c r="B71" s="5"/>
    </row>
    <row r="72" spans="1:5" ht="15.05" customHeight="1" x14ac:dyDescent="0.25">
      <c r="A72" s="4"/>
      <c r="B72" s="4"/>
    </row>
    <row r="73" spans="1:5" x14ac:dyDescent="0.25">
      <c r="A73" s="29" t="s">
        <v>555</v>
      </c>
      <c r="B73" s="55"/>
      <c r="D73">
        <f>4.9*4.2+(4.2)*(1.25+0.5)</f>
        <v>27.930000000000003</v>
      </c>
      <c r="E73" t="s">
        <v>40</v>
      </c>
    </row>
    <row r="74" spans="1:5" x14ac:dyDescent="0.25">
      <c r="A74" s="29" t="s">
        <v>556</v>
      </c>
      <c r="B74" s="55"/>
      <c r="D74">
        <f>4.9*2</f>
        <v>9.8000000000000007</v>
      </c>
      <c r="E74" t="s">
        <v>40</v>
      </c>
    </row>
    <row r="75" spans="1:5" x14ac:dyDescent="0.25">
      <c r="A75" s="29" t="s">
        <v>302</v>
      </c>
      <c r="B75" s="55"/>
      <c r="D75" s="3">
        <v>2</v>
      </c>
      <c r="E75" s="3" t="s">
        <v>116</v>
      </c>
    </row>
    <row r="76" spans="1:5" x14ac:dyDescent="0.25">
      <c r="A76" s="55"/>
      <c r="B76" s="55"/>
      <c r="D76">
        <f>(D73+D74)*D75</f>
        <v>75.460000000000008</v>
      </c>
      <c r="E76" t="s">
        <v>40</v>
      </c>
    </row>
    <row r="78" spans="1:5" x14ac:dyDescent="0.25">
      <c r="A78" t="s">
        <v>554</v>
      </c>
      <c r="D78">
        <f>D66+D67+D68+D70+(D76)</f>
        <v>245.56500000000003</v>
      </c>
      <c r="E78" t="s">
        <v>40</v>
      </c>
    </row>
    <row r="79" spans="1:5" x14ac:dyDescent="0.25">
      <c r="D79">
        <f>D78/9</f>
        <v>27.285000000000004</v>
      </c>
      <c r="E79" t="s">
        <v>24</v>
      </c>
    </row>
    <row r="81" spans="1:8" x14ac:dyDescent="0.25">
      <c r="A81" s="7" t="s">
        <v>90</v>
      </c>
      <c r="B81" s="7"/>
      <c r="C81" s="7"/>
      <c r="D81" s="7">
        <f>ROUNDUP(D11+D32+D55+D79,0)</f>
        <v>111</v>
      </c>
      <c r="E81" s="7" t="s">
        <v>24</v>
      </c>
    </row>
    <row r="84" spans="1:8" x14ac:dyDescent="0.25">
      <c r="A84" s="56" t="s">
        <v>79</v>
      </c>
    </row>
    <row r="86" spans="1:8" x14ac:dyDescent="0.25">
      <c r="A86" s="3" t="s">
        <v>398</v>
      </c>
      <c r="B86" s="3"/>
    </row>
    <row r="87" spans="1:8" x14ac:dyDescent="0.25">
      <c r="A87" t="s">
        <v>60</v>
      </c>
      <c r="D87">
        <v>110.13</v>
      </c>
      <c r="E87" t="s">
        <v>2</v>
      </c>
    </row>
    <row r="88" spans="1:8" x14ac:dyDescent="0.25">
      <c r="A88" t="s">
        <v>248</v>
      </c>
      <c r="D88">
        <v>2.25</v>
      </c>
      <c r="E88" t="s">
        <v>2</v>
      </c>
    </row>
    <row r="89" spans="1:8" x14ac:dyDescent="0.25">
      <c r="A89" t="s">
        <v>61</v>
      </c>
      <c r="D89">
        <v>2</v>
      </c>
    </row>
    <row r="90" spans="1:8" x14ac:dyDescent="0.25">
      <c r="A90" t="s">
        <v>62</v>
      </c>
      <c r="D90">
        <f>D87*D88*D89</f>
        <v>495.58499999999998</v>
      </c>
      <c r="E90" t="s">
        <v>40</v>
      </c>
    </row>
    <row r="91" spans="1:8" x14ac:dyDescent="0.25">
      <c r="D91">
        <f>D90/9</f>
        <v>55.064999999999998</v>
      </c>
      <c r="E91" t="s">
        <v>24</v>
      </c>
    </row>
    <row r="94" spans="1:8" x14ac:dyDescent="0.25">
      <c r="A94" s="3" t="s">
        <v>80</v>
      </c>
      <c r="B94" s="3"/>
      <c r="C94" s="3"/>
      <c r="D94" s="3"/>
      <c r="E94" s="3"/>
      <c r="F94" s="3"/>
      <c r="G94" s="3"/>
      <c r="H94" s="3"/>
    </row>
    <row r="96" spans="1:8" x14ac:dyDescent="0.25">
      <c r="A96" t="s">
        <v>81</v>
      </c>
      <c r="D96">
        <v>1.25</v>
      </c>
      <c r="E96" t="s">
        <v>2</v>
      </c>
    </row>
    <row r="97" spans="1:8" x14ac:dyDescent="0.25">
      <c r="A97" t="s">
        <v>82</v>
      </c>
      <c r="D97">
        <v>52.34</v>
      </c>
      <c r="E97" t="s">
        <v>2</v>
      </c>
    </row>
    <row r="98" spans="1:8" x14ac:dyDescent="0.25">
      <c r="A98" t="s">
        <v>276</v>
      </c>
      <c r="D98">
        <v>2.15</v>
      </c>
      <c r="E98" t="s">
        <v>2</v>
      </c>
    </row>
    <row r="99" spans="1:8" x14ac:dyDescent="0.25">
      <c r="A99" t="s">
        <v>88</v>
      </c>
      <c r="D99">
        <v>0</v>
      </c>
      <c r="E99" t="s">
        <v>2</v>
      </c>
    </row>
    <row r="100" spans="1:8" x14ac:dyDescent="0.25">
      <c r="A100" t="s">
        <v>275</v>
      </c>
      <c r="D100">
        <v>0</v>
      </c>
      <c r="E100" t="s">
        <v>2</v>
      </c>
    </row>
    <row r="102" spans="1:8" x14ac:dyDescent="0.25">
      <c r="A102" t="s">
        <v>84</v>
      </c>
      <c r="D102">
        <f>D97*D98</f>
        <v>112.53100000000001</v>
      </c>
      <c r="E102" t="s">
        <v>40</v>
      </c>
    </row>
    <row r="103" spans="1:8" x14ac:dyDescent="0.25">
      <c r="A103" t="s">
        <v>85</v>
      </c>
      <c r="D103">
        <f>D97*D96*0</f>
        <v>0</v>
      </c>
      <c r="E103" t="s">
        <v>40</v>
      </c>
    </row>
    <row r="104" spans="1:8" x14ac:dyDescent="0.25">
      <c r="A104" t="s">
        <v>86</v>
      </c>
      <c r="D104">
        <f>2*(D96*D98)*0</f>
        <v>0</v>
      </c>
      <c r="E104" t="s">
        <v>40</v>
      </c>
    </row>
    <row r="106" spans="1:8" x14ac:dyDescent="0.25">
      <c r="A106" s="29" t="s">
        <v>300</v>
      </c>
      <c r="B106" s="5"/>
      <c r="D106">
        <f>D100*D97</f>
        <v>0</v>
      </c>
      <c r="E106" t="s">
        <v>40</v>
      </c>
    </row>
    <row r="107" spans="1:8" x14ac:dyDescent="0.25">
      <c r="A107" s="5"/>
      <c r="B107" s="5"/>
      <c r="H107" s="54"/>
    </row>
    <row r="108" spans="1:8" x14ac:dyDescent="0.25">
      <c r="A108" s="4"/>
      <c r="B108" s="4"/>
    </row>
    <row r="109" spans="1:8" x14ac:dyDescent="0.25">
      <c r="A109" s="29" t="s">
        <v>555</v>
      </c>
      <c r="B109" s="55"/>
      <c r="D109">
        <f>3.9*4.2+(4.2)*(1.25+0.5)</f>
        <v>23.73</v>
      </c>
      <c r="E109" t="s">
        <v>40</v>
      </c>
    </row>
    <row r="110" spans="1:8" x14ac:dyDescent="0.25">
      <c r="A110" s="29" t="s">
        <v>556</v>
      </c>
      <c r="B110" s="55"/>
      <c r="D110">
        <f>3.9*2</f>
        <v>7.8</v>
      </c>
      <c r="E110" t="s">
        <v>40</v>
      </c>
    </row>
    <row r="111" spans="1:8" x14ac:dyDescent="0.25">
      <c r="A111" s="29" t="s">
        <v>302</v>
      </c>
      <c r="B111" s="55"/>
      <c r="D111" s="3">
        <v>2</v>
      </c>
      <c r="E111" s="3" t="s">
        <v>116</v>
      </c>
    </row>
    <row r="112" spans="1:8" x14ac:dyDescent="0.25">
      <c r="A112" s="55"/>
      <c r="B112" s="55"/>
      <c r="D112">
        <f>(D109+D110)*D111</f>
        <v>63.06</v>
      </c>
      <c r="E112" t="s">
        <v>40</v>
      </c>
    </row>
    <row r="114" spans="1:8" x14ac:dyDescent="0.25">
      <c r="A114" t="s">
        <v>553</v>
      </c>
      <c r="D114">
        <f>D102+D103+D104+D106+(D112)</f>
        <v>175.59100000000001</v>
      </c>
      <c r="E114" t="s">
        <v>40</v>
      </c>
    </row>
    <row r="115" spans="1:8" x14ac:dyDescent="0.25">
      <c r="D115">
        <f>D114/9</f>
        <v>19.510111111111112</v>
      </c>
      <c r="E115" t="s">
        <v>24</v>
      </c>
    </row>
    <row r="118" spans="1:8" x14ac:dyDescent="0.25">
      <c r="A118" s="3" t="s">
        <v>89</v>
      </c>
      <c r="B118" s="3"/>
      <c r="C118" s="3"/>
      <c r="D118" s="3"/>
      <c r="E118" s="3"/>
      <c r="F118" s="3"/>
      <c r="G118" s="3"/>
      <c r="H118" s="3"/>
    </row>
    <row r="120" spans="1:8" x14ac:dyDescent="0.25">
      <c r="A120" t="s">
        <v>81</v>
      </c>
      <c r="D120">
        <v>1.25</v>
      </c>
      <c r="E120" t="s">
        <v>2</v>
      </c>
    </row>
    <row r="121" spans="1:8" x14ac:dyDescent="0.25">
      <c r="A121" t="s">
        <v>82</v>
      </c>
      <c r="D121">
        <v>52.34</v>
      </c>
      <c r="E121" t="s">
        <v>2</v>
      </c>
    </row>
    <row r="122" spans="1:8" x14ac:dyDescent="0.25">
      <c r="A122" t="s">
        <v>276</v>
      </c>
      <c r="D122">
        <v>2.15</v>
      </c>
      <c r="E122" t="s">
        <v>2</v>
      </c>
    </row>
    <row r="123" spans="1:8" x14ac:dyDescent="0.25">
      <c r="A123" t="s">
        <v>88</v>
      </c>
      <c r="D123">
        <v>0</v>
      </c>
      <c r="E123" t="s">
        <v>2</v>
      </c>
    </row>
    <row r="124" spans="1:8" x14ac:dyDescent="0.25">
      <c r="A124" t="s">
        <v>275</v>
      </c>
      <c r="D124">
        <v>0</v>
      </c>
      <c r="E124" t="s">
        <v>2</v>
      </c>
    </row>
    <row r="126" spans="1:8" x14ac:dyDescent="0.25">
      <c r="A126" t="s">
        <v>84</v>
      </c>
      <c r="D126">
        <f>D121*D122</f>
        <v>112.53100000000001</v>
      </c>
      <c r="E126" t="s">
        <v>40</v>
      </c>
    </row>
    <row r="127" spans="1:8" x14ac:dyDescent="0.25">
      <c r="A127" t="s">
        <v>85</v>
      </c>
      <c r="D127">
        <f>D121*D120*0</f>
        <v>0</v>
      </c>
      <c r="E127" t="s">
        <v>40</v>
      </c>
    </row>
    <row r="128" spans="1:8" x14ac:dyDescent="0.25">
      <c r="A128" t="s">
        <v>86</v>
      </c>
      <c r="D128">
        <f>2*(D120*D122)*0</f>
        <v>0</v>
      </c>
      <c r="E128" t="s">
        <v>40</v>
      </c>
    </row>
    <row r="130" spans="1:5" x14ac:dyDescent="0.25">
      <c r="A130" s="29" t="s">
        <v>300</v>
      </c>
      <c r="B130" s="5"/>
      <c r="D130">
        <f>D124*D121</f>
        <v>0</v>
      </c>
      <c r="E130" t="s">
        <v>40</v>
      </c>
    </row>
    <row r="131" spans="1:5" x14ac:dyDescent="0.25">
      <c r="A131" s="5"/>
      <c r="B131" s="5"/>
    </row>
    <row r="132" spans="1:5" x14ac:dyDescent="0.25">
      <c r="A132" s="4"/>
      <c r="B132" s="4"/>
    </row>
    <row r="133" spans="1:5" x14ac:dyDescent="0.25">
      <c r="A133" s="29" t="s">
        <v>555</v>
      </c>
      <c r="B133" s="55"/>
      <c r="D133">
        <f>3.9*4.2+(4.2)*(1.25+0.5)</f>
        <v>23.73</v>
      </c>
      <c r="E133" t="s">
        <v>40</v>
      </c>
    </row>
    <row r="134" spans="1:5" x14ac:dyDescent="0.25">
      <c r="A134" s="29" t="s">
        <v>556</v>
      </c>
      <c r="B134" s="55"/>
      <c r="D134">
        <f>3.9*2</f>
        <v>7.8</v>
      </c>
      <c r="E134" t="s">
        <v>40</v>
      </c>
    </row>
    <row r="135" spans="1:5" x14ac:dyDescent="0.25">
      <c r="A135" s="29" t="s">
        <v>302</v>
      </c>
      <c r="B135" s="55"/>
      <c r="D135" s="3">
        <v>2</v>
      </c>
      <c r="E135" s="3" t="s">
        <v>116</v>
      </c>
    </row>
    <row r="136" spans="1:5" x14ac:dyDescent="0.25">
      <c r="A136" s="55"/>
      <c r="B136" s="55"/>
      <c r="D136">
        <f>(D133+D134)*D135</f>
        <v>63.06</v>
      </c>
      <c r="E136" t="s">
        <v>40</v>
      </c>
    </row>
    <row r="138" spans="1:5" x14ac:dyDescent="0.25">
      <c r="A138" t="s">
        <v>553</v>
      </c>
      <c r="D138">
        <f>D126+D127+D128+D130+(D136)</f>
        <v>175.59100000000001</v>
      </c>
      <c r="E138" t="s">
        <v>40</v>
      </c>
    </row>
    <row r="139" spans="1:5" x14ac:dyDescent="0.25">
      <c r="D139">
        <f>D138/9</f>
        <v>19.510111111111112</v>
      </c>
      <c r="E139" t="s">
        <v>24</v>
      </c>
    </row>
    <row r="142" spans="1:5" x14ac:dyDescent="0.25">
      <c r="A142" s="7" t="s">
        <v>90</v>
      </c>
      <c r="B142" s="7"/>
      <c r="C142" s="7"/>
      <c r="D142" s="7">
        <f>ROUNDUP(D91+D115+D139,0)</f>
        <v>95</v>
      </c>
      <c r="E142" s="7" t="s">
        <v>24</v>
      </c>
    </row>
    <row r="147" spans="1:7" x14ac:dyDescent="0.25">
      <c r="A147" s="2" t="s">
        <v>565</v>
      </c>
    </row>
    <row r="149" spans="1:7" x14ac:dyDescent="0.25">
      <c r="A149" t="s">
        <v>11</v>
      </c>
      <c r="D149">
        <v>0</v>
      </c>
      <c r="E149" t="s">
        <v>2</v>
      </c>
    </row>
    <row r="150" spans="1:7" x14ac:dyDescent="0.25">
      <c r="A150" t="s">
        <v>10</v>
      </c>
      <c r="D150">
        <v>45.332999999999998</v>
      </c>
      <c r="E150" t="s">
        <v>2</v>
      </c>
      <c r="F150" t="s">
        <v>21</v>
      </c>
    </row>
    <row r="151" spans="1:7" x14ac:dyDescent="0.25">
      <c r="A151" t="s">
        <v>12</v>
      </c>
      <c r="D151">
        <v>0</v>
      </c>
    </row>
    <row r="152" spans="1:7" x14ac:dyDescent="0.25">
      <c r="A152" t="s">
        <v>22</v>
      </c>
      <c r="D152">
        <f>D149*D150*D151</f>
        <v>0</v>
      </c>
      <c r="E152" t="s">
        <v>23</v>
      </c>
      <c r="F152">
        <f>D152/9</f>
        <v>0</v>
      </c>
      <c r="G152" t="s">
        <v>24</v>
      </c>
    </row>
    <row r="154" spans="1:7" x14ac:dyDescent="0.25">
      <c r="A154" t="s">
        <v>25</v>
      </c>
      <c r="D154">
        <v>110.13</v>
      </c>
      <c r="E154" t="s">
        <v>2</v>
      </c>
      <c r="F154" t="s">
        <v>27</v>
      </c>
    </row>
    <row r="155" spans="1:7" x14ac:dyDescent="0.25">
      <c r="A155" t="s">
        <v>26</v>
      </c>
      <c r="D155">
        <v>2</v>
      </c>
      <c r="E155" t="s">
        <v>2</v>
      </c>
      <c r="F155" t="s">
        <v>21</v>
      </c>
    </row>
    <row r="156" spans="1:7" x14ac:dyDescent="0.25">
      <c r="A156" t="s">
        <v>36</v>
      </c>
      <c r="D156">
        <f>D154*D155</f>
        <v>220.26</v>
      </c>
      <c r="E156" t="s">
        <v>23</v>
      </c>
      <c r="F156">
        <f>D156/9</f>
        <v>24.473333333333333</v>
      </c>
      <c r="G156" t="s">
        <v>24</v>
      </c>
    </row>
    <row r="158" spans="1:7" x14ac:dyDescent="0.25">
      <c r="A158" s="7" t="s">
        <v>28</v>
      </c>
      <c r="B158" s="7">
        <f>ROUNDUP(F152+F156,0)</f>
        <v>25</v>
      </c>
      <c r="C158" s="7" t="s">
        <v>24</v>
      </c>
    </row>
    <row r="159" spans="1:7" x14ac:dyDescent="0.25">
      <c r="A159" s="7"/>
      <c r="B159" s="7"/>
      <c r="C159" s="7"/>
    </row>
    <row r="161" spans="1:5" x14ac:dyDescent="0.25">
      <c r="A161" s="147" t="s">
        <v>559</v>
      </c>
      <c r="B161" s="3"/>
      <c r="C161" s="3"/>
      <c r="D161" s="3"/>
    </row>
    <row r="163" spans="1:5" x14ac:dyDescent="0.25">
      <c r="A163" t="s">
        <v>57</v>
      </c>
      <c r="D163">
        <f>3*110.13</f>
        <v>330.39</v>
      </c>
      <c r="E163" t="s">
        <v>2</v>
      </c>
    </row>
    <row r="164" spans="1:5" ht="15.8" customHeight="1" x14ac:dyDescent="0.25"/>
    <row r="166" spans="1:5" x14ac:dyDescent="0.25">
      <c r="A166" s="2" t="s">
        <v>557</v>
      </c>
    </row>
    <row r="168" spans="1:5" x14ac:dyDescent="0.25">
      <c r="A168" t="s">
        <v>542</v>
      </c>
      <c r="C168">
        <v>113</v>
      </c>
      <c r="D168" t="s">
        <v>2</v>
      </c>
    </row>
    <row r="169" spans="1:5" x14ac:dyDescent="0.25">
      <c r="A169" t="s">
        <v>541</v>
      </c>
      <c r="C169" s="3">
        <v>2</v>
      </c>
      <c r="D169" s="3" t="s">
        <v>329</v>
      </c>
    </row>
    <row r="170" spans="1:5" x14ac:dyDescent="0.25">
      <c r="C170" s="7">
        <f>C168*C169</f>
        <v>226</v>
      </c>
      <c r="D170" s="7" t="s">
        <v>2</v>
      </c>
    </row>
    <row r="173" spans="1:5" x14ac:dyDescent="0.25">
      <c r="A173" s="2" t="s">
        <v>568</v>
      </c>
    </row>
    <row r="174" spans="1:5" x14ac:dyDescent="0.25">
      <c r="A174" t="s">
        <v>569</v>
      </c>
      <c r="C174">
        <v>113</v>
      </c>
      <c r="D174" t="s">
        <v>2</v>
      </c>
    </row>
    <row r="175" spans="1:5" x14ac:dyDescent="0.25">
      <c r="A175" t="s">
        <v>570</v>
      </c>
      <c r="C175">
        <v>2</v>
      </c>
      <c r="D175" t="s">
        <v>329</v>
      </c>
    </row>
    <row r="176" spans="1:5" x14ac:dyDescent="0.25">
      <c r="A176" t="s">
        <v>572</v>
      </c>
      <c r="C176">
        <v>1</v>
      </c>
      <c r="D176" t="s">
        <v>2</v>
      </c>
    </row>
    <row r="177" spans="1:5" x14ac:dyDescent="0.25">
      <c r="A177" t="s">
        <v>571</v>
      </c>
      <c r="C177" s="3">
        <f>2*18</f>
        <v>36</v>
      </c>
      <c r="D177" s="3" t="s">
        <v>116</v>
      </c>
    </row>
    <row r="178" spans="1:5" x14ac:dyDescent="0.25">
      <c r="C178" s="7">
        <f>C174*C175+C176*C177</f>
        <v>262</v>
      </c>
      <c r="D178" s="7" t="s">
        <v>2</v>
      </c>
    </row>
    <row r="180" spans="1:5" x14ac:dyDescent="0.25">
      <c r="A180" s="2" t="s">
        <v>573</v>
      </c>
    </row>
    <row r="181" spans="1:5" x14ac:dyDescent="0.25">
      <c r="A181" s="2"/>
    </row>
    <row r="182" spans="1:5" x14ac:dyDescent="0.25">
      <c r="A182" t="s">
        <v>305</v>
      </c>
      <c r="C182">
        <f>2+4+8+12+24</f>
        <v>50</v>
      </c>
      <c r="D182" t="s">
        <v>278</v>
      </c>
      <c r="E182" t="s">
        <v>563</v>
      </c>
    </row>
    <row r="183" spans="1:5" x14ac:dyDescent="0.25">
      <c r="A183" s="2"/>
    </row>
    <row r="184" spans="1:5" x14ac:dyDescent="0.25">
      <c r="A184" t="s">
        <v>175</v>
      </c>
    </row>
    <row r="185" spans="1:5" x14ac:dyDescent="0.25">
      <c r="A185" t="s">
        <v>37</v>
      </c>
      <c r="D185">
        <v>1.5</v>
      </c>
      <c r="E185" t="s">
        <v>2</v>
      </c>
    </row>
    <row r="186" spans="1:5" x14ac:dyDescent="0.25">
      <c r="A186" t="s">
        <v>38</v>
      </c>
      <c r="D186">
        <v>2.5</v>
      </c>
      <c r="E186" t="s">
        <v>2</v>
      </c>
    </row>
    <row r="187" spans="1:5" x14ac:dyDescent="0.25">
      <c r="A187" t="s">
        <v>43</v>
      </c>
      <c r="D187">
        <v>1</v>
      </c>
    </row>
    <row r="188" spans="1:5" x14ac:dyDescent="0.25">
      <c r="A188" t="s">
        <v>42</v>
      </c>
      <c r="C188">
        <f>D185*D186*D187</f>
        <v>3.75</v>
      </c>
      <c r="D188" t="s">
        <v>40</v>
      </c>
    </row>
    <row r="190" spans="1:5" x14ac:dyDescent="0.25">
      <c r="A190" t="s">
        <v>179</v>
      </c>
    </row>
    <row r="191" spans="1:5" x14ac:dyDescent="0.25">
      <c r="A191" t="s">
        <v>37</v>
      </c>
      <c r="D191">
        <v>3</v>
      </c>
      <c r="E191" t="s">
        <v>2</v>
      </c>
    </row>
    <row r="192" spans="1:5" x14ac:dyDescent="0.25">
      <c r="A192" t="s">
        <v>38</v>
      </c>
      <c r="D192">
        <v>2</v>
      </c>
      <c r="E192" t="s">
        <v>2</v>
      </c>
    </row>
    <row r="193" spans="1:8" x14ac:dyDescent="0.25">
      <c r="A193" t="s">
        <v>43</v>
      </c>
      <c r="D193">
        <v>1</v>
      </c>
    </row>
    <row r="194" spans="1:8" x14ac:dyDescent="0.25">
      <c r="A194" t="s">
        <v>42</v>
      </c>
      <c r="C194">
        <f>D191*D192*D193</f>
        <v>6</v>
      </c>
      <c r="D194" t="s">
        <v>40</v>
      </c>
    </row>
    <row r="196" spans="1:8" x14ac:dyDescent="0.25">
      <c r="A196" t="s">
        <v>182</v>
      </c>
    </row>
    <row r="197" spans="1:8" x14ac:dyDescent="0.25">
      <c r="A197" t="s">
        <v>37</v>
      </c>
      <c r="D197">
        <v>0</v>
      </c>
      <c r="E197" t="s">
        <v>2</v>
      </c>
    </row>
    <row r="198" spans="1:8" x14ac:dyDescent="0.25">
      <c r="A198" t="s">
        <v>38</v>
      </c>
      <c r="D198">
        <v>0</v>
      </c>
      <c r="E198" t="s">
        <v>2</v>
      </c>
    </row>
    <row r="199" spans="1:8" x14ac:dyDescent="0.25">
      <c r="A199" t="s">
        <v>43</v>
      </c>
      <c r="D199">
        <v>1</v>
      </c>
    </row>
    <row r="200" spans="1:8" x14ac:dyDescent="0.25">
      <c r="A200" t="s">
        <v>42</v>
      </c>
      <c r="C200">
        <f>D197*D198*D199</f>
        <v>0</v>
      </c>
      <c r="D200" t="s">
        <v>40</v>
      </c>
    </row>
    <row r="202" spans="1:8" x14ac:dyDescent="0.25">
      <c r="A202" t="s">
        <v>181</v>
      </c>
    </row>
    <row r="203" spans="1:8" x14ac:dyDescent="0.25">
      <c r="A203" t="s">
        <v>37</v>
      </c>
      <c r="D203">
        <v>0</v>
      </c>
      <c r="E203" t="s">
        <v>2</v>
      </c>
    </row>
    <row r="204" spans="1:8" x14ac:dyDescent="0.25">
      <c r="A204" t="s">
        <v>38</v>
      </c>
      <c r="D204">
        <v>0</v>
      </c>
      <c r="E204" t="s">
        <v>2</v>
      </c>
    </row>
    <row r="205" spans="1:8" x14ac:dyDescent="0.25">
      <c r="A205" t="s">
        <v>43</v>
      </c>
      <c r="D205">
        <v>1</v>
      </c>
    </row>
    <row r="206" spans="1:8" x14ac:dyDescent="0.25">
      <c r="A206" t="s">
        <v>42</v>
      </c>
      <c r="C206">
        <f>D203*D204*D205</f>
        <v>0</v>
      </c>
      <c r="D206" t="s">
        <v>40</v>
      </c>
    </row>
    <row r="208" spans="1:8" x14ac:dyDescent="0.25">
      <c r="A208" t="s">
        <v>180</v>
      </c>
      <c r="C208" s="7">
        <f>ROUNDUP((C182+C188+C194+C200+C206)*1.5,0)</f>
        <v>90</v>
      </c>
      <c r="D208" s="7" t="s">
        <v>40</v>
      </c>
      <c r="F208" s="7" t="s">
        <v>574</v>
      </c>
      <c r="G208" s="7"/>
      <c r="H208" s="7"/>
    </row>
    <row r="211" spans="1:5" x14ac:dyDescent="0.25">
      <c r="A211" s="2" t="s">
        <v>0</v>
      </c>
    </row>
    <row r="213" spans="1:5" x14ac:dyDescent="0.25">
      <c r="A213" t="s">
        <v>1</v>
      </c>
      <c r="C213">
        <v>1.67</v>
      </c>
      <c r="D213" t="s">
        <v>2</v>
      </c>
    </row>
    <row r="214" spans="1:5" x14ac:dyDescent="0.25">
      <c r="A214" t="s">
        <v>4</v>
      </c>
      <c r="C214">
        <v>45.332999999999998</v>
      </c>
      <c r="D214" t="s">
        <v>2</v>
      </c>
    </row>
    <row r="215" spans="1:5" x14ac:dyDescent="0.25">
      <c r="A215" t="s">
        <v>30</v>
      </c>
      <c r="C215">
        <v>30</v>
      </c>
      <c r="D215" t="s">
        <v>31</v>
      </c>
    </row>
    <row r="216" spans="1:5" x14ac:dyDescent="0.25">
      <c r="A216" t="s">
        <v>5</v>
      </c>
      <c r="C216" s="1">
        <f>C214/COS(RADIANS(C215))</f>
        <v>52.346039506346607</v>
      </c>
      <c r="D216" t="s">
        <v>2</v>
      </c>
    </row>
    <row r="217" spans="1:5" x14ac:dyDescent="0.25">
      <c r="A217" t="s">
        <v>3</v>
      </c>
      <c r="C217">
        <v>0.25</v>
      </c>
      <c r="D217" t="s">
        <v>2</v>
      </c>
    </row>
    <row r="219" spans="1:5" x14ac:dyDescent="0.25">
      <c r="A219" t="s">
        <v>6</v>
      </c>
      <c r="C219">
        <v>2</v>
      </c>
    </row>
    <row r="221" spans="1:5" x14ac:dyDescent="0.25">
      <c r="A221" t="s">
        <v>7</v>
      </c>
      <c r="C221" s="52">
        <f>C213*C216*C217*C219</f>
        <v>43.708942987799418</v>
      </c>
      <c r="D221" s="7" t="s">
        <v>13</v>
      </c>
    </row>
    <row r="224" spans="1:5" x14ac:dyDescent="0.25">
      <c r="A224" s="125" t="s">
        <v>486</v>
      </c>
      <c r="B224" s="114"/>
      <c r="C224" s="114"/>
      <c r="D224" s="114"/>
      <c r="E224" s="114"/>
    </row>
    <row r="225" spans="1:5" x14ac:dyDescent="0.25">
      <c r="A225" s="125" t="s">
        <v>399</v>
      </c>
      <c r="B225" s="114"/>
      <c r="C225" s="114"/>
      <c r="D225" s="114"/>
      <c r="E225" s="114"/>
    </row>
    <row r="226" spans="1:5" x14ac:dyDescent="0.25">
      <c r="A226" s="125" t="s">
        <v>562</v>
      </c>
      <c r="B226" s="114"/>
      <c r="C226" s="114"/>
      <c r="D226" s="114"/>
      <c r="E226" s="114"/>
    </row>
    <row r="228" spans="1:5" x14ac:dyDescent="0.25">
      <c r="A228" t="s">
        <v>398</v>
      </c>
    </row>
    <row r="229" spans="1:5" x14ac:dyDescent="0.25">
      <c r="A229" t="s">
        <v>394</v>
      </c>
      <c r="C229">
        <v>110.13</v>
      </c>
      <c r="D229" t="s">
        <v>2</v>
      </c>
    </row>
    <row r="230" spans="1:5" x14ac:dyDescent="0.25">
      <c r="A230" t="s">
        <v>395</v>
      </c>
      <c r="C230" s="25">
        <v>45.332999999999998</v>
      </c>
      <c r="D230" t="s">
        <v>561</v>
      </c>
    </row>
    <row r="232" spans="1:5" x14ac:dyDescent="0.25">
      <c r="A232" t="s">
        <v>202</v>
      </c>
      <c r="C232">
        <f>C229*C230</f>
        <v>4992.5232899999992</v>
      </c>
      <c r="D232" t="s">
        <v>40</v>
      </c>
    </row>
    <row r="233" spans="1:5" x14ac:dyDescent="0.25">
      <c r="C233" s="52">
        <f>C232/9</f>
        <v>554.72480999999993</v>
      </c>
      <c r="D233" s="7" t="s">
        <v>24</v>
      </c>
    </row>
    <row r="235" spans="1:5" x14ac:dyDescent="0.25">
      <c r="A235" s="56" t="s">
        <v>513</v>
      </c>
    </row>
    <row r="236" spans="1:5" x14ac:dyDescent="0.25">
      <c r="A236" t="s">
        <v>398</v>
      </c>
    </row>
    <row r="237" spans="1:5" x14ac:dyDescent="0.25">
      <c r="A237" t="s">
        <v>394</v>
      </c>
      <c r="C237">
        <v>110.13</v>
      </c>
      <c r="D237" t="s">
        <v>2</v>
      </c>
    </row>
    <row r="238" spans="1:5" x14ac:dyDescent="0.25">
      <c r="A238" t="s">
        <v>395</v>
      </c>
      <c r="C238" s="25">
        <v>45.332999999999998</v>
      </c>
      <c r="D238" t="s">
        <v>561</v>
      </c>
    </row>
    <row r="239" spans="1:5" x14ac:dyDescent="0.25">
      <c r="A239" t="s">
        <v>514</v>
      </c>
      <c r="C239">
        <v>8.3299999999999999E-2</v>
      </c>
      <c r="D239" t="s">
        <v>515</v>
      </c>
    </row>
    <row r="240" spans="1:5" x14ac:dyDescent="0.25">
      <c r="A240" t="s">
        <v>202</v>
      </c>
      <c r="C240">
        <f>C237*C238*C239</f>
        <v>415.87719005699995</v>
      </c>
      <c r="D240" t="s">
        <v>13</v>
      </c>
    </row>
    <row r="241" spans="1:4" x14ac:dyDescent="0.25">
      <c r="C241" s="52">
        <f>C240/27</f>
        <v>15.402858890999997</v>
      </c>
      <c r="D241" s="7" t="s">
        <v>8</v>
      </c>
    </row>
    <row r="243" spans="1:4" x14ac:dyDescent="0.25">
      <c r="A243" s="56" t="s">
        <v>567</v>
      </c>
    </row>
    <row r="244" spans="1:4" x14ac:dyDescent="0.25">
      <c r="C244" s="7">
        <f>0.02*C233</f>
        <v>11.094496199999998</v>
      </c>
      <c r="D244" s="7" t="s">
        <v>525</v>
      </c>
    </row>
  </sheetData>
  <pageMargins left="0.7" right="0.7" top="0.75" bottom="0.75" header="0.3" footer="0.3"/>
  <pageSetup paperSize="1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E9E14-4034-436A-8080-63CD0A7D3E23}">
  <dimension ref="A1:BJ279"/>
  <sheetViews>
    <sheetView topLeftCell="A37" workbookViewId="0">
      <selection activeCell="C20" sqref="C20"/>
    </sheetView>
  </sheetViews>
  <sheetFormatPr defaultRowHeight="14.85" x14ac:dyDescent="0.25"/>
  <cols>
    <col min="3" max="3" width="20.28515625" customWidth="1"/>
    <col min="4" max="4" width="22" customWidth="1"/>
    <col min="5" max="5" width="10.7109375" customWidth="1"/>
    <col min="8" max="8" width="12.85546875" customWidth="1"/>
    <col min="9" max="9" width="10.42578125" customWidth="1"/>
    <col min="11" max="11" width="12.85546875" customWidth="1"/>
    <col min="12" max="12" width="12.140625" customWidth="1"/>
    <col min="13" max="13" width="14.42578125" customWidth="1"/>
    <col min="14" max="14" width="14" customWidth="1"/>
    <col min="15" max="20" width="12.85546875" customWidth="1"/>
    <col min="22" max="23" width="13.42578125" customWidth="1"/>
    <col min="24" max="24" width="11" customWidth="1"/>
    <col min="32" max="32" width="14.42578125" customWidth="1"/>
    <col min="43" max="43" width="17.28515625" customWidth="1"/>
    <col min="54" max="54" width="16.5703125" customWidth="1"/>
  </cols>
  <sheetData>
    <row r="1" spans="1:7" x14ac:dyDescent="0.25">
      <c r="A1" s="56" t="s">
        <v>492</v>
      </c>
      <c r="G1" t="s">
        <v>245</v>
      </c>
    </row>
    <row r="3" spans="1:7" x14ac:dyDescent="0.25">
      <c r="A3" s="147" t="s">
        <v>558</v>
      </c>
      <c r="B3" s="3"/>
      <c r="C3" s="3"/>
      <c r="D3" s="3"/>
      <c r="F3" t="s">
        <v>245</v>
      </c>
    </row>
    <row r="4" spans="1:7" x14ac:dyDescent="0.25">
      <c r="B4" s="6"/>
      <c r="C4" s="6"/>
      <c r="D4" s="6"/>
      <c r="E4" s="6"/>
    </row>
    <row r="5" spans="1:7" x14ac:dyDescent="0.25">
      <c r="A5" s="147" t="s">
        <v>410</v>
      </c>
      <c r="B5" s="148"/>
      <c r="C5" s="148"/>
      <c r="D5" s="6"/>
      <c r="E5" s="6"/>
      <c r="F5" t="s">
        <v>245</v>
      </c>
    </row>
    <row r="6" spans="1:7" x14ac:dyDescent="0.25">
      <c r="B6" s="6"/>
      <c r="C6" s="6"/>
      <c r="D6" s="6"/>
      <c r="E6" s="6"/>
    </row>
    <row r="7" spans="1:7" x14ac:dyDescent="0.25">
      <c r="A7" s="56" t="s">
        <v>58</v>
      </c>
      <c r="B7" s="6"/>
      <c r="C7" s="6"/>
      <c r="D7" s="6"/>
      <c r="E7" s="6"/>
    </row>
    <row r="8" spans="1:7" x14ac:dyDescent="0.25">
      <c r="A8" s="2"/>
    </row>
    <row r="9" spans="1:7" x14ac:dyDescent="0.25">
      <c r="A9" s="3" t="s">
        <v>398</v>
      </c>
      <c r="B9" s="3"/>
    </row>
    <row r="10" spans="1:7" x14ac:dyDescent="0.25">
      <c r="A10" t="s">
        <v>60</v>
      </c>
      <c r="D10">
        <v>87.07</v>
      </c>
      <c r="E10" t="s">
        <v>2</v>
      </c>
    </row>
    <row r="11" spans="1:7" x14ac:dyDescent="0.25">
      <c r="A11" t="s">
        <v>59</v>
      </c>
      <c r="D11">
        <v>2.25</v>
      </c>
      <c r="E11" t="s">
        <v>2</v>
      </c>
    </row>
    <row r="12" spans="1:7" x14ac:dyDescent="0.25">
      <c r="A12" t="s">
        <v>61</v>
      </c>
      <c r="D12">
        <v>2</v>
      </c>
    </row>
    <row r="13" spans="1:7" x14ac:dyDescent="0.25">
      <c r="A13" t="s">
        <v>62</v>
      </c>
      <c r="D13">
        <f>D10*D11*D12</f>
        <v>391.81499999999994</v>
      </c>
      <c r="E13" t="s">
        <v>40</v>
      </c>
    </row>
    <row r="14" spans="1:7" x14ac:dyDescent="0.25">
      <c r="D14">
        <f>D13/9</f>
        <v>43.534999999999997</v>
      </c>
      <c r="E14" t="s">
        <v>24</v>
      </c>
    </row>
    <row r="16" spans="1:7" x14ac:dyDescent="0.25">
      <c r="A16" s="6" t="s">
        <v>63</v>
      </c>
    </row>
    <row r="17" spans="1:5" x14ac:dyDescent="0.25">
      <c r="A17" t="s">
        <v>64</v>
      </c>
      <c r="D17">
        <v>0</v>
      </c>
    </row>
    <row r="18" spans="1:5" x14ac:dyDescent="0.25">
      <c r="A18" t="s">
        <v>76</v>
      </c>
      <c r="D18">
        <v>3</v>
      </c>
      <c r="E18" t="s">
        <v>2</v>
      </c>
    </row>
    <row r="19" spans="1:5" x14ac:dyDescent="0.25">
      <c r="A19" t="s">
        <v>65</v>
      </c>
      <c r="D19">
        <f>D18*4</f>
        <v>12</v>
      </c>
      <c r="E19" t="s">
        <v>40</v>
      </c>
    </row>
    <row r="20" spans="1:5" x14ac:dyDescent="0.25">
      <c r="A20" t="s">
        <v>68</v>
      </c>
      <c r="D20">
        <v>0</v>
      </c>
    </row>
    <row r="22" spans="1:5" x14ac:dyDescent="0.25">
      <c r="A22" t="s">
        <v>66</v>
      </c>
      <c r="D22">
        <f>D18*3</f>
        <v>9</v>
      </c>
      <c r="E22" t="s">
        <v>40</v>
      </c>
    </row>
    <row r="23" spans="1:5" x14ac:dyDescent="0.25">
      <c r="A23" t="s">
        <v>69</v>
      </c>
      <c r="D23">
        <v>0</v>
      </c>
    </row>
    <row r="25" spans="1:5" x14ac:dyDescent="0.25">
      <c r="A25" t="s">
        <v>67</v>
      </c>
      <c r="D25">
        <f>D18*(4+5.5)/2</f>
        <v>14.25</v>
      </c>
      <c r="E25" t="s">
        <v>40</v>
      </c>
    </row>
    <row r="26" spans="1:5" x14ac:dyDescent="0.25">
      <c r="A26" t="s">
        <v>70</v>
      </c>
      <c r="D26">
        <v>0</v>
      </c>
    </row>
    <row r="28" spans="1:5" x14ac:dyDescent="0.25">
      <c r="A28" t="s">
        <v>71</v>
      </c>
    </row>
    <row r="29" spans="1:5" x14ac:dyDescent="0.25">
      <c r="A29" t="s">
        <v>73</v>
      </c>
      <c r="D29">
        <f>ATAN(7.5/15)*180/PI()</f>
        <v>26.56505117707799</v>
      </c>
      <c r="E29" t="s">
        <v>72</v>
      </c>
    </row>
    <row r="30" spans="1:5" x14ac:dyDescent="0.25">
      <c r="A30" t="s">
        <v>74</v>
      </c>
      <c r="D30">
        <f>3/COS(D29*PI()/180)</f>
        <v>3.3541019662496847</v>
      </c>
      <c r="E30" t="s">
        <v>2</v>
      </c>
    </row>
    <row r="31" spans="1:5" x14ac:dyDescent="0.25">
      <c r="A31" t="s">
        <v>75</v>
      </c>
      <c r="D31">
        <f>D18*D30</f>
        <v>10.062305898749054</v>
      </c>
      <c r="E31" t="s">
        <v>40</v>
      </c>
    </row>
    <row r="32" spans="1:5" x14ac:dyDescent="0.25">
      <c r="A32" t="s">
        <v>77</v>
      </c>
      <c r="D32">
        <v>0</v>
      </c>
    </row>
    <row r="34" spans="1:8" x14ac:dyDescent="0.25">
      <c r="A34" t="s">
        <v>552</v>
      </c>
      <c r="D34">
        <f>D17*(D19*D20+D22*D23+D25*D26+D31*D32)</f>
        <v>0</v>
      </c>
      <c r="E34" t="s">
        <v>40</v>
      </c>
    </row>
    <row r="35" spans="1:8" x14ac:dyDescent="0.25">
      <c r="D35">
        <f>D34/9</f>
        <v>0</v>
      </c>
      <c r="E35" t="s">
        <v>24</v>
      </c>
    </row>
    <row r="37" spans="1:8" x14ac:dyDescent="0.25">
      <c r="A37" s="3" t="s">
        <v>80</v>
      </c>
      <c r="B37" s="3"/>
      <c r="C37" s="3"/>
      <c r="D37" s="3"/>
      <c r="E37" s="3"/>
      <c r="F37" s="3"/>
      <c r="G37" s="3"/>
      <c r="H37" s="3"/>
    </row>
    <row r="39" spans="1:8" x14ac:dyDescent="0.25">
      <c r="A39" t="s">
        <v>81</v>
      </c>
      <c r="D39">
        <v>1.25</v>
      </c>
      <c r="E39" t="s">
        <v>2</v>
      </c>
    </row>
    <row r="40" spans="1:8" x14ac:dyDescent="0.25">
      <c r="A40" t="s">
        <v>82</v>
      </c>
      <c r="D40">
        <v>46.53</v>
      </c>
      <c r="E40" t="s">
        <v>2</v>
      </c>
    </row>
    <row r="41" spans="1:8" x14ac:dyDescent="0.25">
      <c r="A41" t="s">
        <v>276</v>
      </c>
      <c r="D41">
        <f>3.25+0.5</f>
        <v>3.75</v>
      </c>
      <c r="E41" t="s">
        <v>2</v>
      </c>
    </row>
    <row r="42" spans="1:8" x14ac:dyDescent="0.25">
      <c r="A42" t="s">
        <v>88</v>
      </c>
      <c r="D42">
        <v>0</v>
      </c>
      <c r="E42" t="s">
        <v>2</v>
      </c>
    </row>
    <row r="43" spans="1:8" x14ac:dyDescent="0.25">
      <c r="A43" t="s">
        <v>275</v>
      </c>
      <c r="D43">
        <v>0</v>
      </c>
      <c r="E43" t="s">
        <v>2</v>
      </c>
    </row>
    <row r="45" spans="1:8" x14ac:dyDescent="0.25">
      <c r="A45" t="s">
        <v>84</v>
      </c>
      <c r="D45">
        <f>D40*D41</f>
        <v>174.48750000000001</v>
      </c>
      <c r="E45" t="s">
        <v>40</v>
      </c>
    </row>
    <row r="46" spans="1:8" x14ac:dyDescent="0.25">
      <c r="A46" t="s">
        <v>85</v>
      </c>
      <c r="D46">
        <f>D40*D39*0</f>
        <v>0</v>
      </c>
      <c r="E46" t="s">
        <v>40</v>
      </c>
    </row>
    <row r="47" spans="1:8" x14ac:dyDescent="0.25">
      <c r="A47" t="s">
        <v>86</v>
      </c>
      <c r="D47">
        <f>2*(D39*D41)</f>
        <v>9.375</v>
      </c>
      <c r="E47" t="s">
        <v>40</v>
      </c>
    </row>
    <row r="49" spans="1:8" ht="15.05" customHeight="1" x14ac:dyDescent="0.25">
      <c r="A49" s="29" t="s">
        <v>300</v>
      </c>
      <c r="B49" s="5"/>
      <c r="D49">
        <f>D43*D40</f>
        <v>0</v>
      </c>
      <c r="E49" t="s">
        <v>40</v>
      </c>
    </row>
    <row r="50" spans="1:8" x14ac:dyDescent="0.25">
      <c r="A50" s="5"/>
      <c r="B50" s="5"/>
      <c r="H50" s="54"/>
    </row>
    <row r="51" spans="1:8" x14ac:dyDescent="0.25">
      <c r="A51" s="4"/>
      <c r="B51" s="4"/>
    </row>
    <row r="52" spans="1:8" ht="15.05" customHeight="1" x14ac:dyDescent="0.25">
      <c r="A52" s="29" t="s">
        <v>555</v>
      </c>
      <c r="B52" s="55"/>
      <c r="D52">
        <f>18.5+(5)*(1.25+0.5)</f>
        <v>27.25</v>
      </c>
      <c r="E52" t="s">
        <v>40</v>
      </c>
    </row>
    <row r="53" spans="1:8" ht="15.05" customHeight="1" x14ac:dyDescent="0.25">
      <c r="A53" s="29" t="s">
        <v>556</v>
      </c>
      <c r="B53" s="55"/>
      <c r="D53">
        <f>4.25*1.25</f>
        <v>5.3125</v>
      </c>
      <c r="E53" t="s">
        <v>40</v>
      </c>
    </row>
    <row r="54" spans="1:8" x14ac:dyDescent="0.25">
      <c r="A54" s="29" t="s">
        <v>302</v>
      </c>
      <c r="B54" s="55"/>
      <c r="D54" s="3">
        <v>2</v>
      </c>
      <c r="E54" s="3" t="s">
        <v>116</v>
      </c>
    </row>
    <row r="55" spans="1:8" x14ac:dyDescent="0.25">
      <c r="A55" s="55"/>
      <c r="B55" s="55"/>
      <c r="D55">
        <f>(D52+D53)*D54</f>
        <v>65.125</v>
      </c>
      <c r="E55" t="s">
        <v>40</v>
      </c>
    </row>
    <row r="57" spans="1:8" x14ac:dyDescent="0.25">
      <c r="A57" t="s">
        <v>553</v>
      </c>
      <c r="D57">
        <f>D45+D46+D47+D49+(D55)</f>
        <v>248.98750000000001</v>
      </c>
      <c r="E57" t="s">
        <v>40</v>
      </c>
    </row>
    <row r="58" spans="1:8" x14ac:dyDescent="0.25">
      <c r="D58">
        <f>D57/9</f>
        <v>27.665277777777778</v>
      </c>
      <c r="E58" t="s">
        <v>24</v>
      </c>
    </row>
    <row r="61" spans="1:8" x14ac:dyDescent="0.25">
      <c r="A61" s="3" t="s">
        <v>89</v>
      </c>
      <c r="B61" s="3"/>
      <c r="C61" s="3"/>
      <c r="D61" s="3"/>
      <c r="E61" s="3"/>
      <c r="F61" s="3"/>
      <c r="G61" s="3"/>
      <c r="H61" s="3"/>
    </row>
    <row r="63" spans="1:8" x14ac:dyDescent="0.25">
      <c r="A63" t="s">
        <v>81</v>
      </c>
      <c r="D63">
        <v>1.25</v>
      </c>
      <c r="E63" t="s">
        <v>2</v>
      </c>
    </row>
    <row r="64" spans="1:8" x14ac:dyDescent="0.25">
      <c r="A64" t="s">
        <v>82</v>
      </c>
      <c r="D64">
        <v>46.53</v>
      </c>
      <c r="E64" t="s">
        <v>2</v>
      </c>
    </row>
    <row r="65" spans="1:5" x14ac:dyDescent="0.25">
      <c r="A65" t="s">
        <v>276</v>
      </c>
      <c r="D65">
        <f>3.25+0.5</f>
        <v>3.75</v>
      </c>
      <c r="E65" t="s">
        <v>2</v>
      </c>
    </row>
    <row r="66" spans="1:5" x14ac:dyDescent="0.25">
      <c r="A66" t="s">
        <v>88</v>
      </c>
      <c r="D66">
        <v>0</v>
      </c>
      <c r="E66" t="s">
        <v>2</v>
      </c>
    </row>
    <row r="67" spans="1:5" x14ac:dyDescent="0.25">
      <c r="A67" t="s">
        <v>275</v>
      </c>
      <c r="D67">
        <v>0</v>
      </c>
      <c r="E67" t="s">
        <v>2</v>
      </c>
    </row>
    <row r="69" spans="1:5" x14ac:dyDescent="0.25">
      <c r="A69" t="s">
        <v>84</v>
      </c>
      <c r="D69">
        <f>D64*D65</f>
        <v>174.48750000000001</v>
      </c>
      <c r="E69" t="s">
        <v>40</v>
      </c>
    </row>
    <row r="70" spans="1:5" x14ac:dyDescent="0.25">
      <c r="A70" t="s">
        <v>85</v>
      </c>
      <c r="D70">
        <f>D64*D63*0</f>
        <v>0</v>
      </c>
      <c r="E70" t="s">
        <v>40</v>
      </c>
    </row>
    <row r="71" spans="1:5" x14ac:dyDescent="0.25">
      <c r="A71" t="s">
        <v>86</v>
      </c>
      <c r="D71">
        <f>2*(D63*D65)</f>
        <v>9.375</v>
      </c>
      <c r="E71" t="s">
        <v>40</v>
      </c>
    </row>
    <row r="72" spans="1:5" ht="15.05" customHeight="1" x14ac:dyDescent="0.25"/>
    <row r="73" spans="1:5" x14ac:dyDescent="0.25">
      <c r="A73" s="29" t="s">
        <v>300</v>
      </c>
      <c r="B73" s="5"/>
      <c r="D73">
        <f>D67*D64</f>
        <v>0</v>
      </c>
      <c r="E73" t="s">
        <v>40</v>
      </c>
    </row>
    <row r="74" spans="1:5" x14ac:dyDescent="0.25">
      <c r="A74" s="5"/>
      <c r="B74" s="5"/>
    </row>
    <row r="75" spans="1:5" ht="15.05" customHeight="1" x14ac:dyDescent="0.25">
      <c r="A75" s="4"/>
      <c r="B75" s="4"/>
    </row>
    <row r="76" spans="1:5" x14ac:dyDescent="0.25">
      <c r="A76" s="29" t="s">
        <v>555</v>
      </c>
      <c r="B76" s="55"/>
      <c r="D76">
        <f>18.5+(5)*(1.25+0.5)</f>
        <v>27.25</v>
      </c>
      <c r="E76" t="s">
        <v>40</v>
      </c>
    </row>
    <row r="77" spans="1:5" x14ac:dyDescent="0.25">
      <c r="A77" s="29" t="s">
        <v>556</v>
      </c>
      <c r="B77" s="55"/>
      <c r="D77">
        <f>4.25*1.25</f>
        <v>5.3125</v>
      </c>
      <c r="E77" t="s">
        <v>40</v>
      </c>
    </row>
    <row r="78" spans="1:5" x14ac:dyDescent="0.25">
      <c r="A78" s="29" t="s">
        <v>302</v>
      </c>
      <c r="B78" s="55"/>
      <c r="D78" s="3">
        <v>2</v>
      </c>
      <c r="E78" s="3" t="s">
        <v>116</v>
      </c>
    </row>
    <row r="79" spans="1:5" x14ac:dyDescent="0.25">
      <c r="A79" s="55"/>
      <c r="B79" s="55"/>
      <c r="D79">
        <f>(D76+D77)*D78</f>
        <v>65.125</v>
      </c>
      <c r="E79" t="s">
        <v>40</v>
      </c>
    </row>
    <row r="81" spans="1:5" x14ac:dyDescent="0.25">
      <c r="A81" t="s">
        <v>554</v>
      </c>
      <c r="D81">
        <f>D69+D70+D71+D73+(D79)</f>
        <v>248.98750000000001</v>
      </c>
      <c r="E81" t="s">
        <v>40</v>
      </c>
    </row>
    <row r="82" spans="1:5" x14ac:dyDescent="0.25">
      <c r="D82">
        <f>D81/9</f>
        <v>27.665277777777778</v>
      </c>
      <c r="E82" t="s">
        <v>24</v>
      </c>
    </row>
    <row r="84" spans="1:5" x14ac:dyDescent="0.25">
      <c r="A84" s="7" t="s">
        <v>90</v>
      </c>
      <c r="B84" s="7"/>
      <c r="C84" s="7"/>
      <c r="D84" s="7">
        <f>ROUNDUP(D14+D35+D58+D82,0)</f>
        <v>99</v>
      </c>
      <c r="E84" s="7" t="s">
        <v>24</v>
      </c>
    </row>
    <row r="87" spans="1:5" x14ac:dyDescent="0.25">
      <c r="A87" s="56" t="s">
        <v>79</v>
      </c>
    </row>
    <row r="89" spans="1:5" x14ac:dyDescent="0.25">
      <c r="A89" s="3" t="s">
        <v>398</v>
      </c>
      <c r="B89" s="3"/>
    </row>
    <row r="90" spans="1:5" x14ac:dyDescent="0.25">
      <c r="A90" t="s">
        <v>60</v>
      </c>
      <c r="D90">
        <v>87</v>
      </c>
      <c r="E90" t="s">
        <v>2</v>
      </c>
    </row>
    <row r="91" spans="1:5" x14ac:dyDescent="0.25">
      <c r="A91" t="s">
        <v>248</v>
      </c>
      <c r="D91">
        <v>2.25</v>
      </c>
      <c r="E91" t="s">
        <v>2</v>
      </c>
    </row>
    <row r="92" spans="1:5" x14ac:dyDescent="0.25">
      <c r="A92" t="s">
        <v>61</v>
      </c>
      <c r="D92">
        <v>0</v>
      </c>
    </row>
    <row r="93" spans="1:5" x14ac:dyDescent="0.25">
      <c r="A93" t="s">
        <v>62</v>
      </c>
      <c r="D93">
        <f>D90*D91*D92</f>
        <v>0</v>
      </c>
      <c r="E93" t="s">
        <v>40</v>
      </c>
    </row>
    <row r="94" spans="1:5" x14ac:dyDescent="0.25">
      <c r="D94">
        <f>D93/9</f>
        <v>0</v>
      </c>
      <c r="E94" t="s">
        <v>24</v>
      </c>
    </row>
    <row r="97" spans="1:8" x14ac:dyDescent="0.25">
      <c r="A97" s="3" t="s">
        <v>80</v>
      </c>
      <c r="B97" s="3"/>
      <c r="C97" s="3"/>
      <c r="D97" s="3"/>
      <c r="E97" s="3"/>
      <c r="F97" s="3"/>
      <c r="G97" s="3"/>
      <c r="H97" s="3"/>
    </row>
    <row r="99" spans="1:8" x14ac:dyDescent="0.25">
      <c r="A99" t="s">
        <v>81</v>
      </c>
      <c r="D99">
        <v>1.25</v>
      </c>
      <c r="E99" t="s">
        <v>2</v>
      </c>
    </row>
    <row r="100" spans="1:8" x14ac:dyDescent="0.25">
      <c r="A100" t="s">
        <v>82</v>
      </c>
      <c r="D100">
        <v>45</v>
      </c>
      <c r="E100" t="s">
        <v>2</v>
      </c>
    </row>
    <row r="101" spans="1:8" x14ac:dyDescent="0.25">
      <c r="A101" t="s">
        <v>276</v>
      </c>
      <c r="D101">
        <v>2.5</v>
      </c>
      <c r="E101" t="s">
        <v>2</v>
      </c>
      <c r="F101" t="s">
        <v>432</v>
      </c>
    </row>
    <row r="102" spans="1:8" x14ac:dyDescent="0.25">
      <c r="A102" t="s">
        <v>88</v>
      </c>
      <c r="D102">
        <v>0</v>
      </c>
      <c r="E102" t="s">
        <v>2</v>
      </c>
    </row>
    <row r="103" spans="1:8" x14ac:dyDescent="0.25">
      <c r="A103" t="s">
        <v>275</v>
      </c>
      <c r="D103">
        <v>0</v>
      </c>
      <c r="E103" t="s">
        <v>2</v>
      </c>
    </row>
    <row r="105" spans="1:8" x14ac:dyDescent="0.25">
      <c r="A105" t="s">
        <v>84</v>
      </c>
      <c r="D105">
        <f>D100*D101</f>
        <v>112.5</v>
      </c>
      <c r="E105" t="s">
        <v>40</v>
      </c>
    </row>
    <row r="106" spans="1:8" x14ac:dyDescent="0.25">
      <c r="A106" t="s">
        <v>85</v>
      </c>
      <c r="D106">
        <f>D100*D99*0</f>
        <v>0</v>
      </c>
      <c r="E106" t="s">
        <v>40</v>
      </c>
    </row>
    <row r="107" spans="1:8" x14ac:dyDescent="0.25">
      <c r="A107" t="s">
        <v>86</v>
      </c>
      <c r="D107">
        <f>2*(D99*D101)</f>
        <v>6.25</v>
      </c>
      <c r="E107" t="s">
        <v>40</v>
      </c>
    </row>
    <row r="109" spans="1:8" x14ac:dyDescent="0.25">
      <c r="A109" s="29" t="s">
        <v>300</v>
      </c>
      <c r="B109" s="5"/>
      <c r="D109">
        <f>D103*D100</f>
        <v>0</v>
      </c>
      <c r="E109" t="s">
        <v>40</v>
      </c>
    </row>
    <row r="110" spans="1:8" x14ac:dyDescent="0.25">
      <c r="A110" s="5"/>
      <c r="B110" s="5"/>
      <c r="H110" s="54"/>
    </row>
    <row r="111" spans="1:8" x14ac:dyDescent="0.25">
      <c r="A111" s="4"/>
      <c r="B111" s="4"/>
    </row>
    <row r="112" spans="1:8" x14ac:dyDescent="0.25">
      <c r="A112" s="29" t="s">
        <v>555</v>
      </c>
      <c r="B112" s="55"/>
      <c r="D112">
        <f>(4.42+1.25+0.5)*4.3</f>
        <v>26.530999999999999</v>
      </c>
      <c r="E112" t="s">
        <v>40</v>
      </c>
    </row>
    <row r="113" spans="1:8" x14ac:dyDescent="0.25">
      <c r="A113" s="29" t="s">
        <v>556</v>
      </c>
      <c r="B113" s="55"/>
      <c r="D113">
        <f>4.42*1.25</f>
        <v>5.5250000000000004</v>
      </c>
      <c r="E113" t="s">
        <v>40</v>
      </c>
    </row>
    <row r="114" spans="1:8" x14ac:dyDescent="0.25">
      <c r="A114" s="29" t="s">
        <v>302</v>
      </c>
      <c r="B114" s="55"/>
      <c r="D114" s="3">
        <v>2</v>
      </c>
      <c r="E114" s="3" t="s">
        <v>116</v>
      </c>
    </row>
    <row r="115" spans="1:8" x14ac:dyDescent="0.25">
      <c r="A115" s="55"/>
      <c r="B115" s="55"/>
      <c r="D115">
        <f>(D112+D113)*D114</f>
        <v>64.111999999999995</v>
      </c>
      <c r="E115" t="s">
        <v>40</v>
      </c>
    </row>
    <row r="117" spans="1:8" x14ac:dyDescent="0.25">
      <c r="A117" t="s">
        <v>553</v>
      </c>
      <c r="D117">
        <f>D105+D106+D107+D109+(D115)</f>
        <v>182.86199999999999</v>
      </c>
      <c r="E117" t="s">
        <v>40</v>
      </c>
    </row>
    <row r="118" spans="1:8" x14ac:dyDescent="0.25">
      <c r="D118">
        <f>D117/9</f>
        <v>20.317999999999998</v>
      </c>
      <c r="E118" t="s">
        <v>24</v>
      </c>
    </row>
    <row r="121" spans="1:8" x14ac:dyDescent="0.25">
      <c r="A121" s="3" t="s">
        <v>89</v>
      </c>
      <c r="B121" s="3"/>
      <c r="C121" s="3"/>
      <c r="D121" s="3"/>
      <c r="E121" s="3"/>
      <c r="F121" s="3"/>
      <c r="G121" s="3"/>
      <c r="H121" s="3"/>
    </row>
    <row r="123" spans="1:8" x14ac:dyDescent="0.25">
      <c r="A123" t="s">
        <v>81</v>
      </c>
      <c r="D123">
        <v>1.25</v>
      </c>
      <c r="E123" t="s">
        <v>2</v>
      </c>
    </row>
    <row r="124" spans="1:8" x14ac:dyDescent="0.25">
      <c r="A124" t="s">
        <v>82</v>
      </c>
      <c r="D124">
        <v>45</v>
      </c>
      <c r="E124" t="s">
        <v>2</v>
      </c>
    </row>
    <row r="125" spans="1:8" x14ac:dyDescent="0.25">
      <c r="A125" t="s">
        <v>276</v>
      </c>
      <c r="D125">
        <v>2.5</v>
      </c>
      <c r="E125" t="s">
        <v>2</v>
      </c>
      <c r="F125" t="s">
        <v>432</v>
      </c>
    </row>
    <row r="126" spans="1:8" x14ac:dyDescent="0.25">
      <c r="A126" t="s">
        <v>88</v>
      </c>
      <c r="D126">
        <v>0</v>
      </c>
      <c r="E126" t="s">
        <v>2</v>
      </c>
    </row>
    <row r="127" spans="1:8" x14ac:dyDescent="0.25">
      <c r="A127" t="s">
        <v>275</v>
      </c>
      <c r="D127">
        <v>0</v>
      </c>
      <c r="E127" t="s">
        <v>2</v>
      </c>
    </row>
    <row r="129" spans="1:5" x14ac:dyDescent="0.25">
      <c r="A129" t="s">
        <v>84</v>
      </c>
      <c r="D129">
        <f>D124*D125</f>
        <v>112.5</v>
      </c>
      <c r="E129" t="s">
        <v>40</v>
      </c>
    </row>
    <row r="130" spans="1:5" x14ac:dyDescent="0.25">
      <c r="A130" t="s">
        <v>85</v>
      </c>
      <c r="D130">
        <f>D124*D123*0</f>
        <v>0</v>
      </c>
      <c r="E130" t="s">
        <v>40</v>
      </c>
    </row>
    <row r="131" spans="1:5" x14ac:dyDescent="0.25">
      <c r="A131" t="s">
        <v>86</v>
      </c>
      <c r="D131">
        <f>2*(D123*D125)</f>
        <v>6.25</v>
      </c>
      <c r="E131" t="s">
        <v>40</v>
      </c>
    </row>
    <row r="133" spans="1:5" x14ac:dyDescent="0.25">
      <c r="A133" s="29" t="s">
        <v>300</v>
      </c>
      <c r="B133" s="5"/>
      <c r="D133">
        <f>D127*D124</f>
        <v>0</v>
      </c>
      <c r="E133" t="s">
        <v>40</v>
      </c>
    </row>
    <row r="134" spans="1:5" x14ac:dyDescent="0.25">
      <c r="A134" s="5"/>
      <c r="B134" s="5"/>
    </row>
    <row r="135" spans="1:5" x14ac:dyDescent="0.25">
      <c r="A135" s="4"/>
      <c r="B135" s="4"/>
    </row>
    <row r="136" spans="1:5" x14ac:dyDescent="0.25">
      <c r="A136" s="29" t="s">
        <v>555</v>
      </c>
      <c r="B136" s="55"/>
      <c r="D136">
        <f>(4.42+1.25+0.5)*4.3</f>
        <v>26.530999999999999</v>
      </c>
      <c r="E136" t="s">
        <v>40</v>
      </c>
    </row>
    <row r="137" spans="1:5" x14ac:dyDescent="0.25">
      <c r="A137" s="29" t="s">
        <v>556</v>
      </c>
      <c r="B137" s="55"/>
      <c r="D137">
        <f>4.42*1.25</f>
        <v>5.5250000000000004</v>
      </c>
      <c r="E137" t="s">
        <v>40</v>
      </c>
    </row>
    <row r="138" spans="1:5" x14ac:dyDescent="0.25">
      <c r="A138" s="29" t="s">
        <v>302</v>
      </c>
      <c r="B138" s="55"/>
      <c r="D138" s="3">
        <v>2</v>
      </c>
      <c r="E138" s="3" t="s">
        <v>116</v>
      </c>
    </row>
    <row r="139" spans="1:5" x14ac:dyDescent="0.25">
      <c r="A139" s="55"/>
      <c r="B139" s="55"/>
      <c r="D139">
        <f>(D136+D137)*D138</f>
        <v>64.111999999999995</v>
      </c>
      <c r="E139" t="s">
        <v>40</v>
      </c>
    </row>
    <row r="141" spans="1:5" x14ac:dyDescent="0.25">
      <c r="A141" t="s">
        <v>553</v>
      </c>
      <c r="D141">
        <f>D129+D130+D131+D133+(D139)</f>
        <v>182.86199999999999</v>
      </c>
      <c r="E141" t="s">
        <v>40</v>
      </c>
    </row>
    <row r="142" spans="1:5" x14ac:dyDescent="0.25">
      <c r="D142">
        <f>D141/9</f>
        <v>20.317999999999998</v>
      </c>
      <c r="E142" t="s">
        <v>24</v>
      </c>
    </row>
    <row r="145" spans="1:7" x14ac:dyDescent="0.25">
      <c r="A145" s="7" t="s">
        <v>90</v>
      </c>
      <c r="B145" s="7"/>
      <c r="C145" s="7"/>
      <c r="D145" s="7">
        <f>ROUNDUP(D94+D118+D142,0)</f>
        <v>41</v>
      </c>
      <c r="E145" s="7" t="s">
        <v>24</v>
      </c>
    </row>
    <row r="150" spans="1:7" x14ac:dyDescent="0.25">
      <c r="A150" s="2" t="s">
        <v>534</v>
      </c>
    </row>
    <row r="152" spans="1:7" x14ac:dyDescent="0.25">
      <c r="A152" t="s">
        <v>11</v>
      </c>
      <c r="D152">
        <v>0</v>
      </c>
      <c r="E152" t="s">
        <v>2</v>
      </c>
    </row>
    <row r="153" spans="1:7" x14ac:dyDescent="0.25">
      <c r="A153" t="s">
        <v>10</v>
      </c>
      <c r="D153">
        <v>45.332999999999998</v>
      </c>
      <c r="E153" t="s">
        <v>2</v>
      </c>
      <c r="F153" t="s">
        <v>21</v>
      </c>
    </row>
    <row r="154" spans="1:7" x14ac:dyDescent="0.25">
      <c r="A154" t="s">
        <v>12</v>
      </c>
      <c r="D154">
        <v>0</v>
      </c>
    </row>
    <row r="155" spans="1:7" x14ac:dyDescent="0.25">
      <c r="A155" t="s">
        <v>22</v>
      </c>
      <c r="D155">
        <f>D152*D153*D154</f>
        <v>0</v>
      </c>
      <c r="E155" t="s">
        <v>23</v>
      </c>
      <c r="F155">
        <f>D155/9</f>
        <v>0</v>
      </c>
      <c r="G155" t="s">
        <v>24</v>
      </c>
    </row>
    <row r="157" spans="1:7" x14ac:dyDescent="0.25">
      <c r="A157" t="s">
        <v>25</v>
      </c>
      <c r="D157">
        <v>87</v>
      </c>
      <c r="E157" t="s">
        <v>2</v>
      </c>
      <c r="F157" t="s">
        <v>27</v>
      </c>
    </row>
    <row r="158" spans="1:7" x14ac:dyDescent="0.25">
      <c r="A158" t="s">
        <v>26</v>
      </c>
      <c r="D158">
        <v>45.332999999999998</v>
      </c>
      <c r="E158" t="s">
        <v>2</v>
      </c>
      <c r="F158" t="s">
        <v>21</v>
      </c>
    </row>
    <row r="159" spans="1:7" x14ac:dyDescent="0.25">
      <c r="A159" t="s">
        <v>36</v>
      </c>
      <c r="D159">
        <f>D157*D158</f>
        <v>3943.971</v>
      </c>
      <c r="E159" t="s">
        <v>23</v>
      </c>
      <c r="F159">
        <f>D159/9</f>
        <v>438.21899999999999</v>
      </c>
      <c r="G159" t="s">
        <v>24</v>
      </c>
    </row>
    <row r="161" spans="1:5" x14ac:dyDescent="0.25">
      <c r="A161" s="7" t="s">
        <v>28</v>
      </c>
      <c r="B161" s="7">
        <f>ROUNDUP(F155+F159,0)</f>
        <v>439</v>
      </c>
      <c r="C161" s="7" t="s">
        <v>24</v>
      </c>
    </row>
    <row r="162" spans="1:5" x14ac:dyDescent="0.25">
      <c r="A162" s="7"/>
      <c r="B162" s="7"/>
      <c r="C162" s="7"/>
    </row>
    <row r="164" spans="1:5" x14ac:dyDescent="0.25">
      <c r="A164" s="147" t="s">
        <v>559</v>
      </c>
      <c r="B164" s="3"/>
      <c r="C164" s="3"/>
      <c r="D164" s="3"/>
    </row>
    <row r="166" spans="1:5" x14ac:dyDescent="0.25">
      <c r="A166" t="s">
        <v>57</v>
      </c>
      <c r="D166">
        <f>3*87</f>
        <v>261</v>
      </c>
      <c r="E166" t="s">
        <v>2</v>
      </c>
    </row>
    <row r="169" spans="1:5" x14ac:dyDescent="0.25">
      <c r="A169" s="147" t="s">
        <v>560</v>
      </c>
      <c r="B169" s="3"/>
      <c r="C169" s="3"/>
      <c r="D169" s="3"/>
    </row>
    <row r="170" spans="1:5" x14ac:dyDescent="0.25">
      <c r="A170" t="s">
        <v>543</v>
      </c>
      <c r="D170">
        <f>2*(4*1.083*(0.375/12))</f>
        <v>0.27074999999999999</v>
      </c>
      <c r="E170" t="s">
        <v>545</v>
      </c>
    </row>
    <row r="171" spans="1:5" x14ac:dyDescent="0.25">
      <c r="A171" t="s">
        <v>544</v>
      </c>
      <c r="D171" s="3">
        <f>1*(4*(9.5*0.375)/144)</f>
        <v>9.8958333333333329E-2</v>
      </c>
      <c r="E171" s="3" t="s">
        <v>545</v>
      </c>
    </row>
    <row r="172" spans="1:5" x14ac:dyDescent="0.25">
      <c r="D172">
        <f>SUM(D170:D171)</f>
        <v>0.36970833333333331</v>
      </c>
      <c r="E172" t="s">
        <v>545</v>
      </c>
    </row>
    <row r="174" spans="1:5" x14ac:dyDescent="0.25">
      <c r="A174" t="s">
        <v>546</v>
      </c>
      <c r="D174">
        <v>6</v>
      </c>
      <c r="E174" t="s">
        <v>116</v>
      </c>
    </row>
    <row r="175" spans="1:5" x14ac:dyDescent="0.25">
      <c r="A175" t="s">
        <v>547</v>
      </c>
      <c r="D175">
        <f>D172*D174*490</f>
        <v>1086.9424999999999</v>
      </c>
      <c r="E175" t="s">
        <v>548</v>
      </c>
    </row>
    <row r="176" spans="1:5" x14ac:dyDescent="0.25">
      <c r="A176" s="57"/>
    </row>
    <row r="177" spans="1:62" x14ac:dyDescent="0.25">
      <c r="A177" s="230" t="s">
        <v>309</v>
      </c>
      <c r="B177" s="230"/>
      <c r="C177" s="230"/>
      <c r="D177" s="230"/>
      <c r="E177" s="230"/>
      <c r="F177" s="230"/>
      <c r="G177" s="230"/>
      <c r="H177" s="230"/>
      <c r="I177" s="230"/>
      <c r="J177" s="230"/>
    </row>
    <row r="178" spans="1:62" x14ac:dyDescent="0.25">
      <c r="A178" s="230"/>
      <c r="B178" s="230"/>
      <c r="C178" s="230"/>
      <c r="D178" s="230"/>
      <c r="E178" s="230"/>
      <c r="F178" s="230"/>
      <c r="G178" s="230"/>
      <c r="H178" s="230"/>
      <c r="I178" s="230"/>
      <c r="J178" s="230"/>
    </row>
    <row r="179" spans="1:62" x14ac:dyDescent="0.25">
      <c r="A179" s="230"/>
      <c r="B179" s="230"/>
      <c r="C179" s="230"/>
      <c r="D179" s="230"/>
      <c r="E179" s="230"/>
      <c r="F179" s="230"/>
      <c r="G179" s="230"/>
      <c r="H179" s="230"/>
      <c r="I179" s="230"/>
      <c r="J179" s="230"/>
    </row>
    <row r="180" spans="1:62" ht="15.6" x14ac:dyDescent="0.25">
      <c r="AJ180" s="8"/>
    </row>
    <row r="181" spans="1:62" ht="17.850000000000001" x14ac:dyDescent="0.25">
      <c r="H181" s="9" t="s">
        <v>91</v>
      </c>
      <c r="I181" s="10">
        <v>0</v>
      </c>
      <c r="J181" s="10" t="s">
        <v>92</v>
      </c>
      <c r="K181" s="9" t="s">
        <v>93</v>
      </c>
      <c r="M181" s="9" t="s">
        <v>91</v>
      </c>
      <c r="N181" s="10">
        <v>0</v>
      </c>
      <c r="O181" s="10" t="s">
        <v>92</v>
      </c>
      <c r="P181" s="9" t="s">
        <v>93</v>
      </c>
      <c r="Q181" s="9" t="s">
        <v>91</v>
      </c>
      <c r="R181" s="10">
        <v>0</v>
      </c>
      <c r="S181" s="10" t="s">
        <v>92</v>
      </c>
      <c r="T181" s="9" t="s">
        <v>93</v>
      </c>
    </row>
    <row r="182" spans="1:62" ht="59.4" x14ac:dyDescent="0.25">
      <c r="B182">
        <v>514</v>
      </c>
      <c r="C182" s="11" t="s">
        <v>94</v>
      </c>
      <c r="D182" s="4" t="s">
        <v>95</v>
      </c>
      <c r="E182" t="s">
        <v>40</v>
      </c>
      <c r="F182" s="12">
        <f>J229+O227</f>
        <v>1510.9839999999999</v>
      </c>
      <c r="H182" s="58" t="s">
        <v>311</v>
      </c>
      <c r="I182" s="10">
        <f>I181/12</f>
        <v>0</v>
      </c>
      <c r="J182" s="10" t="s">
        <v>52</v>
      </c>
      <c r="K182" s="13"/>
      <c r="M182" s="58" t="s">
        <v>312</v>
      </c>
      <c r="N182" s="10">
        <f>N181/12</f>
        <v>0</v>
      </c>
      <c r="O182" s="10" t="s">
        <v>52</v>
      </c>
      <c r="P182" s="13"/>
      <c r="Q182" s="58" t="s">
        <v>312</v>
      </c>
      <c r="R182" s="10">
        <f>R181/12</f>
        <v>0</v>
      </c>
      <c r="S182" s="10" t="s">
        <v>52</v>
      </c>
      <c r="T182" s="13"/>
    </row>
    <row r="183" spans="1:62" ht="44.55" x14ac:dyDescent="0.25">
      <c r="B183">
        <v>514</v>
      </c>
      <c r="C183" s="11" t="s">
        <v>96</v>
      </c>
      <c r="D183" s="4" t="s">
        <v>97</v>
      </c>
      <c r="E183" t="s">
        <v>40</v>
      </c>
      <c r="F183" s="12">
        <f>J229+O227</f>
        <v>1510.9839999999999</v>
      </c>
      <c r="V183" s="14"/>
      <c r="W183" s="15" t="s">
        <v>184</v>
      </c>
      <c r="X183" s="16"/>
      <c r="Y183" s="16"/>
      <c r="Z183" s="16"/>
      <c r="AA183" s="16"/>
      <c r="AB183" s="16"/>
      <c r="AC183" s="17"/>
      <c r="AE183" s="18" t="s">
        <v>185</v>
      </c>
      <c r="AF183" s="16"/>
      <c r="AG183" s="16"/>
      <c r="AH183" s="16"/>
      <c r="AI183" s="16"/>
      <c r="AJ183" s="16"/>
      <c r="AK183" s="16"/>
      <c r="AL183" s="16"/>
      <c r="AM183" s="16"/>
      <c r="AN183" s="17"/>
      <c r="AP183" s="18" t="s">
        <v>205</v>
      </c>
      <c r="AQ183" s="16"/>
      <c r="AR183" s="16"/>
      <c r="AS183" s="16"/>
      <c r="AT183" s="16"/>
      <c r="AU183" s="16"/>
      <c r="AV183" s="16"/>
      <c r="AW183" s="16"/>
      <c r="AX183" s="16"/>
      <c r="AY183" s="17"/>
      <c r="BA183" s="87" t="s">
        <v>205</v>
      </c>
      <c r="BB183" s="60"/>
      <c r="BC183" s="60"/>
      <c r="BD183" s="60"/>
      <c r="BE183" s="60"/>
      <c r="BF183" s="60"/>
      <c r="BG183" s="60"/>
      <c r="BH183" s="60"/>
      <c r="BI183" s="60"/>
      <c r="BJ183" s="61"/>
    </row>
    <row r="184" spans="1:62" ht="59.4" x14ac:dyDescent="0.25">
      <c r="B184">
        <v>514</v>
      </c>
      <c r="C184" s="11" t="s">
        <v>98</v>
      </c>
      <c r="D184" s="4" t="s">
        <v>99</v>
      </c>
      <c r="E184" t="s">
        <v>40</v>
      </c>
      <c r="F184" s="12">
        <v>1440</v>
      </c>
      <c r="H184" s="10" t="s">
        <v>100</v>
      </c>
      <c r="I184" s="10">
        <v>0</v>
      </c>
      <c r="J184" s="10" t="s">
        <v>52</v>
      </c>
      <c r="K184" s="10" t="s">
        <v>100</v>
      </c>
      <c r="L184" s="10">
        <v>0</v>
      </c>
      <c r="M184" s="10" t="s">
        <v>52</v>
      </c>
      <c r="N184" s="10" t="s">
        <v>100</v>
      </c>
      <c r="O184" s="10">
        <v>0</v>
      </c>
      <c r="P184" s="10" t="s">
        <v>52</v>
      </c>
      <c r="Q184" s="10" t="s">
        <v>52</v>
      </c>
      <c r="R184" s="10" t="s">
        <v>100</v>
      </c>
      <c r="S184" s="10">
        <v>0</v>
      </c>
      <c r="T184" s="10" t="s">
        <v>52</v>
      </c>
      <c r="V184" s="19"/>
      <c r="X184" t="s">
        <v>101</v>
      </c>
      <c r="AE184" s="19"/>
      <c r="AJ184" t="s">
        <v>102</v>
      </c>
      <c r="AL184" s="20">
        <v>8.1999999999999993</v>
      </c>
      <c r="AM184" s="28" t="s">
        <v>103</v>
      </c>
      <c r="AN184" s="21"/>
      <c r="AP184" s="19"/>
      <c r="AU184" t="s">
        <v>102</v>
      </c>
      <c r="AW184" s="20">
        <v>8.1999999999999993</v>
      </c>
      <c r="AX184" s="28" t="s">
        <v>103</v>
      </c>
      <c r="AY184" s="21"/>
      <c r="BA184" s="62"/>
      <c r="BB184" s="63"/>
      <c r="BC184" s="63"/>
      <c r="BD184" s="63"/>
      <c r="BE184" s="63"/>
      <c r="BF184" s="63" t="s">
        <v>102</v>
      </c>
      <c r="BG184" s="63"/>
      <c r="BH184" s="64">
        <v>8.1999999999999993</v>
      </c>
      <c r="BI184" s="65" t="s">
        <v>103</v>
      </c>
      <c r="BJ184" s="66"/>
    </row>
    <row r="185" spans="1:62" ht="44.55" x14ac:dyDescent="0.25">
      <c r="B185">
        <v>514</v>
      </c>
      <c r="C185" s="11" t="s">
        <v>104</v>
      </c>
      <c r="D185" s="4" t="s">
        <v>105</v>
      </c>
      <c r="E185" t="s">
        <v>40</v>
      </c>
      <c r="F185" s="12">
        <v>1440</v>
      </c>
      <c r="H185" s="22" t="s">
        <v>106</v>
      </c>
      <c r="I185" s="23" t="s">
        <v>107</v>
      </c>
      <c r="J185" s="24"/>
      <c r="K185" s="22" t="s">
        <v>106</v>
      </c>
      <c r="L185" s="23" t="s">
        <v>108</v>
      </c>
      <c r="M185" s="24"/>
      <c r="N185" s="22" t="s">
        <v>106</v>
      </c>
      <c r="O185" s="23" t="s">
        <v>310</v>
      </c>
      <c r="P185" s="24"/>
      <c r="Q185" s="24"/>
      <c r="R185" s="22" t="s">
        <v>106</v>
      </c>
      <c r="S185" s="23" t="s">
        <v>310</v>
      </c>
      <c r="T185" s="24"/>
      <c r="V185" s="19"/>
      <c r="AA185" s="25"/>
      <c r="AC185" s="21"/>
      <c r="AE185" s="19"/>
      <c r="AI185" s="28"/>
      <c r="AJ185" s="28"/>
      <c r="AK185" s="28"/>
      <c r="AN185" s="21"/>
      <c r="AP185" s="19"/>
      <c r="AT185" s="28"/>
      <c r="AU185" s="28"/>
      <c r="AV185" s="28"/>
      <c r="AY185" s="21"/>
      <c r="BA185" s="62"/>
      <c r="BB185" s="63"/>
      <c r="BC185" s="63"/>
      <c r="BD185" s="63"/>
      <c r="BE185" s="65"/>
      <c r="BF185" s="65"/>
      <c r="BG185" s="65"/>
      <c r="BH185" s="63"/>
      <c r="BI185" s="63"/>
      <c r="BJ185" s="66"/>
    </row>
    <row r="186" spans="1:62" ht="44.55" x14ac:dyDescent="0.25">
      <c r="B186">
        <v>514</v>
      </c>
      <c r="C186" s="11" t="s">
        <v>109</v>
      </c>
      <c r="D186" s="5" t="s">
        <v>110</v>
      </c>
      <c r="E186" t="s">
        <v>111</v>
      </c>
      <c r="F186" s="26">
        <f>ROUNDUP(J188*J190/60,0)</f>
        <v>0</v>
      </c>
      <c r="H186" s="10" t="s">
        <v>112</v>
      </c>
      <c r="I186" s="10">
        <f>I184*I182</f>
        <v>0</v>
      </c>
      <c r="J186" s="10" t="s">
        <v>113</v>
      </c>
      <c r="K186" s="10" t="s">
        <v>112</v>
      </c>
      <c r="L186" s="10">
        <f>L184*I182</f>
        <v>0</v>
      </c>
      <c r="M186" s="10" t="s">
        <v>113</v>
      </c>
      <c r="N186" s="10" t="s">
        <v>112</v>
      </c>
      <c r="O186" s="10">
        <f>O184*N182</f>
        <v>0</v>
      </c>
      <c r="P186" s="10" t="s">
        <v>113</v>
      </c>
      <c r="Q186" s="10" t="s">
        <v>113</v>
      </c>
      <c r="R186" s="10" t="s">
        <v>112</v>
      </c>
      <c r="S186" s="10">
        <f>S184*R182</f>
        <v>0</v>
      </c>
      <c r="T186" s="10" t="s">
        <v>113</v>
      </c>
      <c r="V186" s="19"/>
      <c r="W186" t="s">
        <v>114</v>
      </c>
      <c r="X186" s="27">
        <v>9.5</v>
      </c>
      <c r="Y186" s="27" t="s">
        <v>52</v>
      </c>
      <c r="Z186" s="27"/>
      <c r="AC186" s="21"/>
      <c r="AE186" s="226" t="s">
        <v>183</v>
      </c>
      <c r="AF186" s="227"/>
      <c r="AG186" s="227"/>
      <c r="AH186" s="227"/>
      <c r="AI186" s="227"/>
      <c r="AJ186" s="227"/>
      <c r="AK186" s="227"/>
      <c r="AN186" s="21"/>
      <c r="AP186" s="226" t="s">
        <v>192</v>
      </c>
      <c r="AQ186" s="227"/>
      <c r="AR186" s="227"/>
      <c r="AS186" s="227"/>
      <c r="AT186" s="227"/>
      <c r="AU186" s="227"/>
      <c r="AV186" s="227"/>
      <c r="AY186" s="21"/>
      <c r="BA186" s="216" t="s">
        <v>191</v>
      </c>
      <c r="BB186" s="217"/>
      <c r="BC186" s="217"/>
      <c r="BD186" s="217"/>
      <c r="BE186" s="217"/>
      <c r="BF186" s="217"/>
      <c r="BG186" s="217"/>
      <c r="BH186" s="63"/>
      <c r="BI186" s="63"/>
      <c r="BJ186" s="66"/>
    </row>
    <row r="187" spans="1:62" ht="31.2" x14ac:dyDescent="0.35">
      <c r="B187">
        <v>514</v>
      </c>
      <c r="C187" s="29">
        <v>10000</v>
      </c>
      <c r="D187" s="5" t="s">
        <v>115</v>
      </c>
      <c r="E187" t="s">
        <v>116</v>
      </c>
      <c r="F187" s="30">
        <f>ROUNDUP(MAX(F182/1200,(J188*J190/150)),0)</f>
        <v>2</v>
      </c>
      <c r="H187" s="10" t="s">
        <v>117</v>
      </c>
      <c r="I187" s="31">
        <f>I186*1.1</f>
        <v>0</v>
      </c>
      <c r="J187" s="10" t="s">
        <v>113</v>
      </c>
      <c r="K187" s="10" t="s">
        <v>117</v>
      </c>
      <c r="L187" s="31">
        <f>L186*1.1</f>
        <v>0</v>
      </c>
      <c r="M187" s="10" t="s">
        <v>113</v>
      </c>
      <c r="N187" s="10" t="s">
        <v>117</v>
      </c>
      <c r="O187" s="31">
        <f>O186*1.1</f>
        <v>0</v>
      </c>
      <c r="P187" s="10" t="s">
        <v>113</v>
      </c>
      <c r="Q187" s="10" t="s">
        <v>113</v>
      </c>
      <c r="R187" s="10" t="s">
        <v>117</v>
      </c>
      <c r="S187" s="31">
        <f>S186*1.1</f>
        <v>0</v>
      </c>
      <c r="T187" s="10" t="s">
        <v>113</v>
      </c>
      <c r="V187" s="19" t="s">
        <v>313</v>
      </c>
      <c r="W187" s="28" t="s">
        <v>317</v>
      </c>
      <c r="X187">
        <v>60</v>
      </c>
      <c r="Y187" t="s">
        <v>92</v>
      </c>
      <c r="AA187" s="25" t="s">
        <v>118</v>
      </c>
      <c r="AB187">
        <v>2</v>
      </c>
      <c r="AC187" s="21" t="s">
        <v>92</v>
      </c>
      <c r="AE187" s="32"/>
      <c r="AF187" s="28"/>
      <c r="AG187" s="28" t="s">
        <v>101</v>
      </c>
      <c r="AH187" s="28" t="s">
        <v>119</v>
      </c>
      <c r="AI187" s="28" t="s">
        <v>120</v>
      </c>
      <c r="AJ187" s="28"/>
      <c r="AK187" s="28"/>
      <c r="AL187" s="25" t="s">
        <v>118</v>
      </c>
      <c r="AM187">
        <v>2</v>
      </c>
      <c r="AN187" s="21" t="s">
        <v>92</v>
      </c>
      <c r="AP187" s="32"/>
      <c r="AQ187" s="28"/>
      <c r="AR187" s="28" t="s">
        <v>101</v>
      </c>
      <c r="AS187" s="28" t="s">
        <v>119</v>
      </c>
      <c r="AT187" s="28" t="s">
        <v>120</v>
      </c>
      <c r="AU187" s="28"/>
      <c r="AV187" s="28"/>
      <c r="AW187" s="25" t="s">
        <v>118</v>
      </c>
      <c r="AX187">
        <v>2</v>
      </c>
      <c r="AY187" s="21" t="s">
        <v>92</v>
      </c>
      <c r="BA187" s="67"/>
      <c r="BB187" s="65"/>
      <c r="BC187" s="65" t="s">
        <v>101</v>
      </c>
      <c r="BD187" s="65" t="s">
        <v>119</v>
      </c>
      <c r="BE187" s="65" t="s">
        <v>120</v>
      </c>
      <c r="BF187" s="65"/>
      <c r="BG187" s="65"/>
      <c r="BH187" s="68" t="s">
        <v>118</v>
      </c>
      <c r="BI187" s="63">
        <v>2</v>
      </c>
      <c r="BJ187" s="66" t="s">
        <v>92</v>
      </c>
    </row>
    <row r="188" spans="1:62" x14ac:dyDescent="0.25">
      <c r="H188" s="33" t="s">
        <v>121</v>
      </c>
      <c r="I188" s="34"/>
      <c r="J188" s="10">
        <f>0</f>
        <v>0</v>
      </c>
      <c r="K188" s="10" t="s">
        <v>52</v>
      </c>
      <c r="V188" s="19"/>
      <c r="X188">
        <f>X187/12</f>
        <v>5</v>
      </c>
      <c r="Y188" t="s">
        <v>52</v>
      </c>
      <c r="AA188" s="25"/>
      <c r="AC188" s="21"/>
      <c r="AE188" s="32"/>
      <c r="AF188" s="28" t="s">
        <v>114</v>
      </c>
      <c r="AG188" s="28">
        <v>9.5</v>
      </c>
      <c r="AH188" s="28">
        <f>AG188/3</f>
        <v>3.1666666666666665</v>
      </c>
      <c r="AI188" s="28">
        <f>AG188/6</f>
        <v>1.5833333333333333</v>
      </c>
      <c r="AJ188" s="28"/>
      <c r="AK188" s="28"/>
      <c r="AL188" t="s">
        <v>92</v>
      </c>
      <c r="AN188" s="21"/>
      <c r="AP188" s="32"/>
      <c r="AQ188" s="28" t="s">
        <v>114</v>
      </c>
      <c r="AR188" s="28">
        <v>9.5</v>
      </c>
      <c r="AS188" s="28">
        <f>AR188/3</f>
        <v>3.1666666666666665</v>
      </c>
      <c r="AT188" s="28">
        <f>AR188/6</f>
        <v>1.5833333333333333</v>
      </c>
      <c r="AU188" s="28"/>
      <c r="AV188" s="28"/>
      <c r="AW188" t="s">
        <v>92</v>
      </c>
      <c r="AY188" s="21"/>
      <c r="BA188" s="67"/>
      <c r="BB188" s="65" t="s">
        <v>114</v>
      </c>
      <c r="BC188" s="65">
        <v>17.666599999999999</v>
      </c>
      <c r="BD188" s="65">
        <f>BC188/3</f>
        <v>5.888866666666666</v>
      </c>
      <c r="BE188" s="65">
        <f>BC188/6</f>
        <v>2.944433333333333</v>
      </c>
      <c r="BF188" s="65"/>
      <c r="BG188" s="65"/>
      <c r="BH188" s="63" t="s">
        <v>92</v>
      </c>
      <c r="BI188" s="63"/>
      <c r="BJ188" s="66"/>
    </row>
    <row r="189" spans="1:62" x14ac:dyDescent="0.25">
      <c r="H189" s="33" t="s">
        <v>122</v>
      </c>
      <c r="I189" s="35"/>
      <c r="J189" s="10">
        <f>2*I187+4*L187+3*O187+2*S187</f>
        <v>0</v>
      </c>
      <c r="K189" s="10" t="s">
        <v>113</v>
      </c>
      <c r="V189" s="19"/>
      <c r="AC189" s="21"/>
      <c r="AE189" s="32"/>
      <c r="AF189" s="28" t="s">
        <v>321</v>
      </c>
      <c r="AG189" s="28">
        <v>60</v>
      </c>
      <c r="AH189" s="36" t="s">
        <v>92</v>
      </c>
      <c r="AI189" s="28"/>
      <c r="AJ189" s="28"/>
      <c r="AK189" s="28"/>
      <c r="AL189" t="s">
        <v>92</v>
      </c>
      <c r="AN189" s="21"/>
      <c r="AP189" s="32"/>
      <c r="AQ189" s="28" t="s">
        <v>321</v>
      </c>
      <c r="AR189" s="28">
        <v>60</v>
      </c>
      <c r="AS189" s="36" t="s">
        <v>92</v>
      </c>
      <c r="AT189" s="28"/>
      <c r="AU189" s="28"/>
      <c r="AV189" s="28"/>
      <c r="AW189" t="s">
        <v>92</v>
      </c>
      <c r="AY189" s="21"/>
      <c r="BA189" s="67"/>
      <c r="BB189" s="65" t="s">
        <v>321</v>
      </c>
      <c r="BC189" s="65">
        <f>X187-AB187-AB187-1</f>
        <v>55</v>
      </c>
      <c r="BD189" s="69" t="s">
        <v>92</v>
      </c>
      <c r="BE189" s="65"/>
      <c r="BF189" s="65"/>
      <c r="BG189" s="65"/>
      <c r="BH189" s="63" t="s">
        <v>92</v>
      </c>
      <c r="BI189" s="63"/>
      <c r="BJ189" s="66"/>
    </row>
    <row r="190" spans="1:62" x14ac:dyDescent="0.25">
      <c r="H190" s="33" t="s">
        <v>123</v>
      </c>
      <c r="I190" s="35"/>
      <c r="J190" s="10">
        <v>0</v>
      </c>
      <c r="K190" s="10"/>
      <c r="V190" s="19"/>
      <c r="AC190" s="21"/>
      <c r="AE190" s="32"/>
      <c r="AF190" s="28"/>
      <c r="AG190" s="28">
        <f>AG189/12</f>
        <v>5</v>
      </c>
      <c r="AH190" s="36" t="s">
        <v>52</v>
      </c>
      <c r="AI190" s="28">
        <f>AF194^2+AF197^2</f>
        <v>30.283778222222217</v>
      </c>
      <c r="AJ190" s="28"/>
      <c r="AK190" s="37">
        <f>AF194^2+AG197^2</f>
        <v>22.762944888888885</v>
      </c>
      <c r="AL190" t="s">
        <v>92</v>
      </c>
      <c r="AN190" s="21"/>
      <c r="AP190" s="32"/>
      <c r="AQ190" s="28"/>
      <c r="AR190" s="28">
        <f>AR189/12</f>
        <v>5</v>
      </c>
      <c r="AS190" s="36" t="s">
        <v>52</v>
      </c>
      <c r="AT190" s="28">
        <f>AQ194^2+AQ197^2</f>
        <v>30.283778222222217</v>
      </c>
      <c r="AU190" s="28"/>
      <c r="AV190" s="37">
        <f>AQ194^2+AR197^2</f>
        <v>22.762944888888885</v>
      </c>
      <c r="AW190" t="s">
        <v>92</v>
      </c>
      <c r="AY190" s="21"/>
      <c r="BA190" s="67"/>
      <c r="BB190" s="65"/>
      <c r="BC190" s="65">
        <f>BC189/12</f>
        <v>4.583333333333333</v>
      </c>
      <c r="BD190" s="69" t="s">
        <v>52</v>
      </c>
      <c r="BE190" s="65">
        <f>BB194^2+BB197^2</f>
        <v>55.685695062222216</v>
      </c>
      <c r="BF190" s="65"/>
      <c r="BG190" s="70">
        <f>BB194^2+BC197^2</f>
        <v>29.676632098888888</v>
      </c>
      <c r="BH190" s="63" t="s">
        <v>92</v>
      </c>
      <c r="BI190" s="63"/>
      <c r="BJ190" s="66"/>
    </row>
    <row r="191" spans="1:62" ht="44.55" x14ac:dyDescent="0.25">
      <c r="H191" s="38" t="s">
        <v>124</v>
      </c>
      <c r="I191" s="35"/>
      <c r="J191" s="89">
        <f>J189*J190</f>
        <v>0</v>
      </c>
      <c r="K191" s="10" t="s">
        <v>113</v>
      </c>
      <c r="M191" s="38" t="s">
        <v>331</v>
      </c>
      <c r="N191" s="51">
        <f>0</f>
        <v>0</v>
      </c>
      <c r="O191" s="35" t="s">
        <v>126</v>
      </c>
      <c r="V191" s="19"/>
      <c r="Y191">
        <f>SQRT((Y196)^2+(W192)^2)</f>
        <v>10.512183428976325</v>
      </c>
      <c r="Z191" t="s">
        <v>2</v>
      </c>
      <c r="AC191" s="21"/>
      <c r="AE191" s="32"/>
      <c r="AF191" s="28"/>
      <c r="AG191" s="28"/>
      <c r="AH191" s="36"/>
      <c r="AI191" s="28"/>
      <c r="AJ191" s="28"/>
      <c r="AK191" s="28"/>
      <c r="AN191" s="21"/>
      <c r="AP191" s="32"/>
      <c r="AQ191" s="28"/>
      <c r="AR191" s="28"/>
      <c r="AS191" s="36"/>
      <c r="AT191" s="28"/>
      <c r="AU191" s="28"/>
      <c r="AV191" s="28"/>
      <c r="AY191" s="21"/>
      <c r="BA191" s="67"/>
      <c r="BB191" s="65"/>
      <c r="BC191" s="65"/>
      <c r="BD191" s="69"/>
      <c r="BE191" s="65"/>
      <c r="BF191" s="65"/>
      <c r="BG191" s="65"/>
      <c r="BH191" s="63"/>
      <c r="BI191" s="63"/>
      <c r="BJ191" s="66"/>
    </row>
    <row r="192" spans="1:62" x14ac:dyDescent="0.25">
      <c r="H192" s="4"/>
      <c r="V192" s="19"/>
      <c r="W192">
        <f>X188-2*(AB187/12+0.083)</f>
        <v>4.5006666666666666</v>
      </c>
      <c r="X192" t="s">
        <v>2</v>
      </c>
      <c r="AC192" s="21"/>
      <c r="AE192" s="32"/>
      <c r="AF192" s="28"/>
      <c r="AG192" s="28"/>
      <c r="AH192" s="28"/>
      <c r="AI192" s="28"/>
      <c r="AJ192" s="28"/>
      <c r="AK192" s="28"/>
      <c r="AM192">
        <v>1.1659999999999999</v>
      </c>
      <c r="AN192" s="21" t="s">
        <v>125</v>
      </c>
      <c r="AP192" s="32"/>
      <c r="AQ192" s="28"/>
      <c r="AR192" s="28"/>
      <c r="AS192" s="28"/>
      <c r="AT192" s="28"/>
      <c r="AU192" s="28"/>
      <c r="AV192" s="28"/>
      <c r="AX192">
        <v>1.1659999999999999</v>
      </c>
      <c r="AY192" s="21" t="s">
        <v>125</v>
      </c>
      <c r="BA192" s="67"/>
      <c r="BB192" s="65"/>
      <c r="BC192" s="65"/>
      <c r="BD192" s="65"/>
      <c r="BE192" s="65"/>
      <c r="BF192" s="65"/>
      <c r="BG192" s="65"/>
      <c r="BH192" s="63"/>
      <c r="BI192" s="63">
        <v>1.1659999999999999</v>
      </c>
      <c r="BJ192" s="66" t="s">
        <v>125</v>
      </c>
    </row>
    <row r="193" spans="8:62" x14ac:dyDescent="0.25">
      <c r="H193" s="14" t="s">
        <v>325</v>
      </c>
      <c r="I193" s="16"/>
      <c r="J193" s="16">
        <f>(5+5)*56/144</f>
        <v>3.8888888888888888</v>
      </c>
      <c r="K193" s="17" t="s">
        <v>126</v>
      </c>
      <c r="L193" s="14" t="s">
        <v>324</v>
      </c>
      <c r="M193" s="16"/>
      <c r="N193" s="16"/>
      <c r="O193" s="17"/>
      <c r="P193" s="14" t="s">
        <v>334</v>
      </c>
      <c r="Q193" s="16"/>
      <c r="R193" s="16"/>
      <c r="S193" s="17"/>
      <c r="V193" s="19"/>
      <c r="W193">
        <f>W192*12</f>
        <v>54.007999999999996</v>
      </c>
      <c r="AC193" s="21"/>
      <c r="AE193" s="32"/>
      <c r="AF193" s="28"/>
      <c r="AG193" s="37">
        <f>SQRT(AK190)</f>
        <v>4.771052807178819</v>
      </c>
      <c r="AH193" s="37"/>
      <c r="AI193" s="28"/>
      <c r="AJ193" s="37">
        <f>AE194</f>
        <v>5.5030698907266498</v>
      </c>
      <c r="AK193" s="28"/>
      <c r="AM193" s="1">
        <f>0.33*AM192*2</f>
        <v>0.76956000000000002</v>
      </c>
      <c r="AN193" s="21" t="s">
        <v>126</v>
      </c>
      <c r="AP193" s="32"/>
      <c r="AQ193" s="28"/>
      <c r="AR193" s="37">
        <f>SQRT(AV190)</f>
        <v>4.771052807178819</v>
      </c>
      <c r="AS193" s="37"/>
      <c r="AT193" s="28"/>
      <c r="AU193" s="37">
        <f>AP194</f>
        <v>5.5030698907266498</v>
      </c>
      <c r="AV193" s="28"/>
      <c r="AX193" s="1">
        <f>0.33*AX192*2</f>
        <v>0.76956000000000002</v>
      </c>
      <c r="AY193" s="21" t="s">
        <v>126</v>
      </c>
      <c r="BA193" s="67"/>
      <c r="BB193" s="65"/>
      <c r="BC193" s="70">
        <f>SQRT(BG190)</f>
        <v>5.44762628113281</v>
      </c>
      <c r="BD193" s="70"/>
      <c r="BE193" s="65"/>
      <c r="BF193" s="70">
        <f>BA194</f>
        <v>7.4622848419383061</v>
      </c>
      <c r="BG193" s="65"/>
      <c r="BH193" s="63"/>
      <c r="BI193" s="71">
        <f>0.33*BI192*2</f>
        <v>0.76956000000000002</v>
      </c>
      <c r="BJ193" s="66" t="s">
        <v>126</v>
      </c>
    </row>
    <row r="194" spans="8:62" x14ac:dyDescent="0.25">
      <c r="H194" s="19" t="s">
        <v>187</v>
      </c>
      <c r="J194">
        <v>0</v>
      </c>
      <c r="K194" s="21" t="s">
        <v>329</v>
      </c>
      <c r="L194" s="19" t="s">
        <v>186</v>
      </c>
      <c r="N194">
        <f>((5+5)*(56+90)/2)/144</f>
        <v>5.0694444444444446</v>
      </c>
      <c r="O194" s="21" t="s">
        <v>126</v>
      </c>
      <c r="P194" s="19" t="s">
        <v>186</v>
      </c>
      <c r="R194">
        <f>((5+5)*(55)/144)</f>
        <v>3.8194444444444446</v>
      </c>
      <c r="S194" s="21" t="s">
        <v>126</v>
      </c>
      <c r="V194" s="19"/>
      <c r="AC194" s="21"/>
      <c r="AE194" s="39">
        <f>SQRT(AI190)</f>
        <v>5.5030698907266498</v>
      </c>
      <c r="AF194" s="40">
        <f>AG190-2*(AM187/12+0.083)</f>
        <v>4.5006666666666666</v>
      </c>
      <c r="AG194" s="28"/>
      <c r="AH194" s="28"/>
      <c r="AI194" s="28"/>
      <c r="AJ194" s="28"/>
      <c r="AK194" s="28"/>
      <c r="AM194">
        <v>7</v>
      </c>
      <c r="AN194" s="21" t="s">
        <v>125</v>
      </c>
      <c r="AP194" s="39">
        <f>SQRT(AT190)</f>
        <v>5.5030698907266498</v>
      </c>
      <c r="AQ194" s="40">
        <f>AR190-2*(AX187/12+0.083)</f>
        <v>4.5006666666666666</v>
      </c>
      <c r="AR194" s="28"/>
      <c r="AS194" s="28"/>
      <c r="AT194" s="28"/>
      <c r="AU194" s="28"/>
      <c r="AV194" s="28"/>
      <c r="AX194">
        <v>7</v>
      </c>
      <c r="AY194" s="21" t="s">
        <v>125</v>
      </c>
      <c r="BA194" s="72">
        <f>SQRT(BE190)</f>
        <v>7.4622848419383061</v>
      </c>
      <c r="BB194" s="73">
        <f>BC190</f>
        <v>4.583333333333333</v>
      </c>
      <c r="BC194" s="65"/>
      <c r="BD194" s="65"/>
      <c r="BE194" s="65"/>
      <c r="BF194" s="65"/>
      <c r="BG194" s="65"/>
      <c r="BH194" s="63"/>
      <c r="BI194" s="63">
        <v>7</v>
      </c>
      <c r="BJ194" s="66" t="s">
        <v>125</v>
      </c>
    </row>
    <row r="195" spans="8:62" x14ac:dyDescent="0.25">
      <c r="H195" s="19" t="s">
        <v>188</v>
      </c>
      <c r="J195" s="7">
        <f>J193*J194</f>
        <v>0</v>
      </c>
      <c r="K195" s="21" t="s">
        <v>126</v>
      </c>
      <c r="L195" s="19" t="s">
        <v>187</v>
      </c>
      <c r="N195">
        <v>0</v>
      </c>
      <c r="O195" s="21" t="s">
        <v>329</v>
      </c>
      <c r="P195" s="19" t="s">
        <v>187</v>
      </c>
      <c r="R195">
        <v>0</v>
      </c>
      <c r="S195" s="21" t="s">
        <v>329</v>
      </c>
      <c r="V195" s="19"/>
      <c r="AC195" s="21"/>
      <c r="AE195" s="32"/>
      <c r="AF195" s="28"/>
      <c r="AG195" s="28"/>
      <c r="AH195" s="28"/>
      <c r="AI195" s="28"/>
      <c r="AJ195" s="28"/>
      <c r="AK195" s="28"/>
      <c r="AM195" s="1">
        <f>0.33*AM194*2</f>
        <v>4.62</v>
      </c>
      <c r="AN195" s="21" t="s">
        <v>126</v>
      </c>
      <c r="AP195" s="32"/>
      <c r="AQ195" s="28"/>
      <c r="AR195" s="28"/>
      <c r="AS195" s="28"/>
      <c r="AT195" s="28"/>
      <c r="AU195" s="28"/>
      <c r="AV195" s="28"/>
      <c r="AX195" s="1">
        <f>0.33*AX194*2</f>
        <v>4.62</v>
      </c>
      <c r="AY195" s="21" t="s">
        <v>126</v>
      </c>
      <c r="BA195" s="67"/>
      <c r="BB195" s="65"/>
      <c r="BC195" s="65"/>
      <c r="BD195" s="65"/>
      <c r="BE195" s="65"/>
      <c r="BF195" s="65"/>
      <c r="BG195" s="65"/>
      <c r="BH195" s="63"/>
      <c r="BI195" s="71">
        <f>0.33*BI194*2</f>
        <v>4.62</v>
      </c>
      <c r="BJ195" s="66" t="s">
        <v>126</v>
      </c>
    </row>
    <row r="196" spans="8:62" x14ac:dyDescent="0.25">
      <c r="H196" s="49" t="s">
        <v>189</v>
      </c>
      <c r="I196" s="3"/>
      <c r="J196" s="3"/>
      <c r="K196" s="44"/>
      <c r="L196" s="49" t="s">
        <v>188</v>
      </c>
      <c r="M196" s="3"/>
      <c r="N196" s="59">
        <f>N194*N195</f>
        <v>0</v>
      </c>
      <c r="O196" s="44" t="s">
        <v>126</v>
      </c>
      <c r="P196" s="49" t="s">
        <v>188</v>
      </c>
      <c r="Q196" s="3"/>
      <c r="R196" s="59">
        <f>R194*R195</f>
        <v>0</v>
      </c>
      <c r="S196" s="44" t="s">
        <v>126</v>
      </c>
      <c r="V196" s="19"/>
      <c r="Y196" s="27">
        <f>X186</f>
        <v>9.5</v>
      </c>
      <c r="AC196" s="21"/>
      <c r="AE196" s="32"/>
      <c r="AF196" s="28"/>
      <c r="AG196" s="28"/>
      <c r="AH196" s="28"/>
      <c r="AI196" s="28"/>
      <c r="AJ196" s="28"/>
      <c r="AK196" s="28"/>
      <c r="AN196" s="21"/>
      <c r="AP196" s="32"/>
      <c r="AQ196" s="28"/>
      <c r="AR196" s="28"/>
      <c r="AS196" s="28"/>
      <c r="AT196" s="28"/>
      <c r="AU196" s="28"/>
      <c r="AV196" s="28"/>
      <c r="AY196" s="21"/>
      <c r="BA196" s="67"/>
      <c r="BB196" s="65"/>
      <c r="BC196" s="65"/>
      <c r="BD196" s="65"/>
      <c r="BE196" s="65"/>
      <c r="BF196" s="65"/>
      <c r="BG196" s="65"/>
      <c r="BH196" s="63"/>
      <c r="BI196" s="63"/>
      <c r="BJ196" s="66"/>
    </row>
    <row r="197" spans="8:62" x14ac:dyDescent="0.25">
      <c r="V197" s="19"/>
      <c r="AC197" s="21"/>
      <c r="AE197" s="32"/>
      <c r="AF197" s="37">
        <f>AG188/3</f>
        <v>3.1666666666666665</v>
      </c>
      <c r="AG197" s="37">
        <f>AF197/2</f>
        <v>1.5833333333333333</v>
      </c>
      <c r="AH197" s="28"/>
      <c r="AI197" s="28"/>
      <c r="AJ197" s="28"/>
      <c r="AK197" s="28"/>
      <c r="AN197" s="21"/>
      <c r="AP197" s="32"/>
      <c r="AQ197" s="37">
        <f>AR188/3</f>
        <v>3.1666666666666665</v>
      </c>
      <c r="AR197" s="37">
        <f>AQ197/2</f>
        <v>1.5833333333333333</v>
      </c>
      <c r="AS197" s="28"/>
      <c r="AT197" s="28"/>
      <c r="AU197" s="28"/>
      <c r="AV197" s="28"/>
      <c r="AY197" s="21"/>
      <c r="BA197" s="67"/>
      <c r="BB197" s="70">
        <f>BC188/3</f>
        <v>5.888866666666666</v>
      </c>
      <c r="BC197" s="70">
        <f>BB197/2</f>
        <v>2.944433333333333</v>
      </c>
      <c r="BD197" s="65"/>
      <c r="BE197" s="65"/>
      <c r="BF197" s="65"/>
      <c r="BG197" s="65"/>
      <c r="BH197" s="63"/>
      <c r="BI197" s="63"/>
      <c r="BJ197" s="66"/>
    </row>
    <row r="198" spans="8:62" x14ac:dyDescent="0.25">
      <c r="H198" s="14" t="s">
        <v>326</v>
      </c>
      <c r="I198" s="16"/>
      <c r="J198" s="88">
        <f>(7+7)*56/144</f>
        <v>5.4444444444444446</v>
      </c>
      <c r="K198" s="17" t="s">
        <v>126</v>
      </c>
      <c r="L198" s="14" t="s">
        <v>327</v>
      </c>
      <c r="M198" s="16"/>
      <c r="N198" s="16">
        <f>(9+9)*90/144</f>
        <v>11.25</v>
      </c>
      <c r="O198" s="17" t="s">
        <v>126</v>
      </c>
      <c r="P198" s="14" t="s">
        <v>330</v>
      </c>
      <c r="Q198" s="16"/>
      <c r="R198" s="16">
        <f>PI()*(0.67)*8</f>
        <v>16.838936623241292</v>
      </c>
      <c r="S198" s="17" t="s">
        <v>126</v>
      </c>
      <c r="V198" s="19" t="s">
        <v>129</v>
      </c>
      <c r="Y198" s="27">
        <f>(1*Y196)+(2*Y191)</f>
        <v>30.52436685795265</v>
      </c>
      <c r="Z198" t="s">
        <v>125</v>
      </c>
      <c r="AC198" s="21"/>
      <c r="AE198" s="42"/>
      <c r="AF198" s="43"/>
      <c r="AG198" s="43"/>
      <c r="AH198" s="43"/>
      <c r="AI198" s="43"/>
      <c r="AJ198" s="43"/>
      <c r="AK198" s="43"/>
      <c r="AL198" s="3"/>
      <c r="AM198" s="3"/>
      <c r="AN198" s="44"/>
      <c r="AP198" s="42"/>
      <c r="AQ198" s="43"/>
      <c r="AR198" s="43"/>
      <c r="AS198" s="43"/>
      <c r="AT198" s="43"/>
      <c r="AU198" s="43"/>
      <c r="AV198" s="43"/>
      <c r="AW198" s="3"/>
      <c r="AX198" s="3"/>
      <c r="AY198" s="44"/>
      <c r="BA198" s="74"/>
      <c r="BB198" s="75"/>
      <c r="BC198" s="75"/>
      <c r="BD198" s="75"/>
      <c r="BE198" s="75"/>
      <c r="BF198" s="75"/>
      <c r="BG198" s="75"/>
      <c r="BH198" s="76"/>
      <c r="BI198" s="76"/>
      <c r="BJ198" s="77"/>
    </row>
    <row r="199" spans="8:62" x14ac:dyDescent="0.25">
      <c r="H199" s="19" t="s">
        <v>187</v>
      </c>
      <c r="J199">
        <v>0</v>
      </c>
      <c r="K199" s="21" t="s">
        <v>329</v>
      </c>
      <c r="L199" s="19" t="s">
        <v>187</v>
      </c>
      <c r="N199">
        <v>0</v>
      </c>
      <c r="O199" s="21" t="s">
        <v>329</v>
      </c>
      <c r="P199" s="19" t="s">
        <v>328</v>
      </c>
      <c r="R199">
        <v>0</v>
      </c>
      <c r="S199" s="21" t="s">
        <v>329</v>
      </c>
      <c r="V199" s="19"/>
      <c r="AC199" s="21"/>
      <c r="AE199" s="45"/>
      <c r="AF199" s="46"/>
      <c r="AG199" s="46" t="s">
        <v>130</v>
      </c>
      <c r="AH199" s="47" t="s">
        <v>318</v>
      </c>
      <c r="AI199" s="46"/>
      <c r="AJ199" s="46"/>
      <c r="AK199" s="46"/>
      <c r="AL199" s="16"/>
      <c r="AM199" s="16"/>
      <c r="AN199" s="17"/>
      <c r="AP199" s="45"/>
      <c r="AQ199" s="46"/>
      <c r="AR199" s="46" t="s">
        <v>130</v>
      </c>
      <c r="AS199" s="47" t="s">
        <v>318</v>
      </c>
      <c r="AT199" s="46"/>
      <c r="AU199" s="46"/>
      <c r="AV199" s="46"/>
      <c r="AW199" s="16"/>
      <c r="AX199" s="16"/>
      <c r="AY199" s="17"/>
      <c r="BA199" s="78"/>
      <c r="BB199" s="79"/>
      <c r="BC199" s="79" t="s">
        <v>130</v>
      </c>
      <c r="BD199" s="80" t="s">
        <v>190</v>
      </c>
      <c r="BE199" s="79"/>
      <c r="BF199" s="79"/>
      <c r="BG199" s="79"/>
      <c r="BH199" s="60"/>
      <c r="BI199" s="60"/>
      <c r="BJ199" s="61"/>
    </row>
    <row r="200" spans="8:62" x14ac:dyDescent="0.25">
      <c r="H200" s="19" t="s">
        <v>188</v>
      </c>
      <c r="J200" s="7">
        <f>J198*J199</f>
        <v>0</v>
      </c>
      <c r="K200" s="21" t="s">
        <v>126</v>
      </c>
      <c r="L200" s="19" t="s">
        <v>188</v>
      </c>
      <c r="N200" s="7">
        <f>N198*N199</f>
        <v>0</v>
      </c>
      <c r="O200" s="21" t="s">
        <v>126</v>
      </c>
      <c r="P200" s="19" t="s">
        <v>188</v>
      </c>
      <c r="R200" s="7">
        <f>R198*R199</f>
        <v>0</v>
      </c>
      <c r="S200" s="21" t="s">
        <v>126</v>
      </c>
      <c r="V200" s="48" t="s">
        <v>131</v>
      </c>
      <c r="Y200" s="1">
        <f>0.25*4*Y198</f>
        <v>30.52436685795265</v>
      </c>
      <c r="Z200" t="s">
        <v>126</v>
      </c>
      <c r="AC200" s="21"/>
      <c r="AE200" s="42"/>
      <c r="AF200" s="43"/>
      <c r="AG200" s="43"/>
      <c r="AH200" s="43">
        <f>AG188+(2*AE194)+(2*AG193)</f>
        <v>30.048245395810937</v>
      </c>
      <c r="AI200" s="43" t="s">
        <v>52</v>
      </c>
      <c r="AJ200" s="43"/>
      <c r="AK200" s="43"/>
      <c r="AL200" s="3"/>
      <c r="AM200" s="3"/>
      <c r="AN200" s="44"/>
      <c r="AP200" s="42"/>
      <c r="AQ200" s="43"/>
      <c r="AR200" s="43"/>
      <c r="AS200" s="43">
        <f>AR188+(2*AP194)+(2*AR193)</f>
        <v>30.048245395810937</v>
      </c>
      <c r="AT200" s="43" t="s">
        <v>52</v>
      </c>
      <c r="AU200" s="43"/>
      <c r="AV200" s="43"/>
      <c r="AW200" s="3"/>
      <c r="AX200" s="3"/>
      <c r="AY200" s="44"/>
      <c r="BA200" s="74"/>
      <c r="BB200" s="75"/>
      <c r="BC200" s="75"/>
      <c r="BD200" s="75">
        <f>BC188+(2*BA194)+(2*BC193)+BB194</f>
        <v>48.069755579475569</v>
      </c>
      <c r="BE200" s="75" t="s">
        <v>52</v>
      </c>
      <c r="BF200" s="75"/>
      <c r="BG200" s="75"/>
      <c r="BH200" s="76"/>
      <c r="BI200" s="76"/>
      <c r="BJ200" s="77"/>
    </row>
    <row r="201" spans="8:62" x14ac:dyDescent="0.25">
      <c r="H201" s="49" t="s">
        <v>189</v>
      </c>
      <c r="I201" s="3"/>
      <c r="J201" s="3"/>
      <c r="K201" s="44"/>
      <c r="L201" s="49"/>
      <c r="M201" s="3"/>
      <c r="N201" s="3"/>
      <c r="O201" s="44"/>
      <c r="P201" s="49"/>
      <c r="Q201" s="3"/>
      <c r="R201" s="3"/>
      <c r="S201" s="44"/>
      <c r="V201" s="19" t="s">
        <v>132</v>
      </c>
      <c r="X201" t="s">
        <v>133</v>
      </c>
      <c r="Y201" s="27">
        <f>Y200*1.1</f>
        <v>33.576803543747914</v>
      </c>
      <c r="Z201" t="s">
        <v>126</v>
      </c>
      <c r="AC201" s="21"/>
      <c r="AE201" s="45"/>
      <c r="AF201" s="46"/>
      <c r="AG201" s="46"/>
      <c r="AH201" s="46"/>
      <c r="AI201" s="46"/>
      <c r="AJ201" s="46"/>
      <c r="AK201" s="46"/>
      <c r="AL201" s="16"/>
      <c r="AM201" s="16"/>
      <c r="AN201" s="17"/>
      <c r="AP201" s="45"/>
      <c r="AQ201" s="46"/>
      <c r="AR201" s="46"/>
      <c r="AS201" s="46"/>
      <c r="AT201" s="46"/>
      <c r="AU201" s="46"/>
      <c r="AV201" s="46"/>
      <c r="AW201" s="16"/>
      <c r="AX201" s="16"/>
      <c r="AY201" s="17"/>
      <c r="BA201" s="78"/>
      <c r="BB201" s="79"/>
      <c r="BC201" s="79"/>
      <c r="BD201" s="79"/>
      <c r="BE201" s="79"/>
      <c r="BF201" s="79"/>
      <c r="BG201" s="79"/>
      <c r="BH201" s="60"/>
      <c r="BI201" s="60"/>
      <c r="BJ201" s="61"/>
    </row>
    <row r="202" spans="8:62" x14ac:dyDescent="0.25">
      <c r="V202" s="49"/>
      <c r="W202" s="3"/>
      <c r="X202" s="3"/>
      <c r="Y202" s="3"/>
      <c r="Z202" s="3"/>
      <c r="AA202" s="3"/>
      <c r="AB202" s="3"/>
      <c r="AC202" s="44"/>
      <c r="AE202" s="32"/>
      <c r="AF202" s="28" t="s">
        <v>134</v>
      </c>
      <c r="AG202" s="28"/>
      <c r="AH202" s="28">
        <f>AH200*(0.3333*4)</f>
        <v>40.060320761695138</v>
      </c>
      <c r="AI202" s="28" t="s">
        <v>126</v>
      </c>
      <c r="AJ202" s="28"/>
      <c r="AK202" s="28"/>
      <c r="AN202" s="21"/>
      <c r="AP202" s="32"/>
      <c r="AQ202" s="28" t="s">
        <v>134</v>
      </c>
      <c r="AR202" s="28"/>
      <c r="AS202" s="28">
        <f>AS200*(0.3333*4)</f>
        <v>40.060320761695138</v>
      </c>
      <c r="AT202" s="28" t="s">
        <v>126</v>
      </c>
      <c r="AU202" s="28"/>
      <c r="AV202" s="28"/>
      <c r="AY202" s="21"/>
      <c r="BA202" s="67"/>
      <c r="BB202" s="65" t="s">
        <v>134</v>
      </c>
      <c r="BC202" s="65"/>
      <c r="BD202" s="65">
        <f>BD200*(0.3333*4)</f>
        <v>64.086598138556823</v>
      </c>
      <c r="BE202" s="65" t="s">
        <v>126</v>
      </c>
      <c r="BF202" s="65"/>
      <c r="BG202" s="65"/>
      <c r="BH202" s="63"/>
      <c r="BI202" s="63"/>
      <c r="BJ202" s="66"/>
    </row>
    <row r="203" spans="8:62" ht="15.05" customHeight="1" x14ac:dyDescent="0.25">
      <c r="H203" s="10" t="s">
        <v>91</v>
      </c>
      <c r="I203" s="10">
        <v>1</v>
      </c>
      <c r="J203" s="10" t="s">
        <v>52</v>
      </c>
      <c r="K203" s="10" t="s">
        <v>91</v>
      </c>
      <c r="L203" s="10">
        <f>16/12</f>
        <v>1.3333333333333333</v>
      </c>
      <c r="M203" s="10" t="s">
        <v>52</v>
      </c>
      <c r="N203" s="10" t="s">
        <v>91</v>
      </c>
      <c r="O203" s="10">
        <f>16/12</f>
        <v>1.3333333333333333</v>
      </c>
      <c r="P203" s="10" t="s">
        <v>52</v>
      </c>
      <c r="Q203" s="10" t="s">
        <v>91</v>
      </c>
      <c r="R203" s="10">
        <f>16/12</f>
        <v>1.3333333333333333</v>
      </c>
      <c r="S203" s="10" t="s">
        <v>52</v>
      </c>
      <c r="AE203" s="42"/>
      <c r="AF203" s="43" t="s">
        <v>135</v>
      </c>
      <c r="AG203" s="43"/>
      <c r="AH203" s="43"/>
      <c r="AI203" s="43"/>
      <c r="AJ203" s="43"/>
      <c r="AK203" s="43"/>
      <c r="AL203" s="3"/>
      <c r="AM203" s="3"/>
      <c r="AN203" s="44"/>
      <c r="AP203" s="42"/>
      <c r="AQ203" s="43" t="s">
        <v>135</v>
      </c>
      <c r="AR203" s="43"/>
      <c r="AS203" s="43"/>
      <c r="AT203" s="43"/>
      <c r="AU203" s="43"/>
      <c r="AV203" s="43"/>
      <c r="AW203" s="3"/>
      <c r="AX203" s="3"/>
      <c r="AY203" s="44"/>
      <c r="BA203" s="74"/>
      <c r="BB203" s="75" t="s">
        <v>135</v>
      </c>
      <c r="BC203" s="75"/>
      <c r="BD203" s="75"/>
      <c r="BE203" s="75"/>
      <c r="BF203" s="75"/>
      <c r="BG203" s="75"/>
      <c r="BH203" s="76"/>
      <c r="BI203" s="76"/>
      <c r="BJ203" s="77"/>
    </row>
    <row r="204" spans="8:62" x14ac:dyDescent="0.25">
      <c r="H204" s="10" t="s">
        <v>100</v>
      </c>
      <c r="I204" s="41">
        <f>Y198</f>
        <v>30.52436685795265</v>
      </c>
      <c r="J204" s="10" t="s">
        <v>52</v>
      </c>
      <c r="K204" s="10" t="s">
        <v>100</v>
      </c>
      <c r="L204" s="10">
        <f>AH200</f>
        <v>30.048245395810937</v>
      </c>
      <c r="M204" s="10" t="s">
        <v>52</v>
      </c>
      <c r="N204" s="10" t="s">
        <v>100</v>
      </c>
      <c r="O204" s="10">
        <f>AS200</f>
        <v>30.048245395810937</v>
      </c>
      <c r="P204" s="10" t="s">
        <v>52</v>
      </c>
      <c r="Q204" s="10" t="s">
        <v>100</v>
      </c>
      <c r="R204" s="10">
        <f>BD200</f>
        <v>48.069755579475569</v>
      </c>
      <c r="S204" s="10" t="s">
        <v>52</v>
      </c>
      <c r="AE204" s="14"/>
      <c r="AF204" s="16"/>
      <c r="AG204" s="16"/>
      <c r="AH204" s="16"/>
      <c r="AI204" s="16"/>
      <c r="AJ204" s="16"/>
      <c r="AK204" s="16"/>
      <c r="AL204" s="16"/>
      <c r="AM204" s="16"/>
      <c r="AN204" s="17"/>
      <c r="AP204" s="14"/>
      <c r="AQ204" s="16"/>
      <c r="AR204" s="16"/>
      <c r="AS204" s="16"/>
      <c r="AT204" s="16"/>
      <c r="AU204" s="16"/>
      <c r="AV204" s="16"/>
      <c r="AW204" s="16"/>
      <c r="AX204" s="16"/>
      <c r="AY204" s="17"/>
      <c r="BA204" s="81"/>
      <c r="BB204" s="60"/>
      <c r="BC204" s="60"/>
      <c r="BD204" s="60"/>
      <c r="BE204" s="60"/>
      <c r="BF204" s="60"/>
      <c r="BG204" s="60"/>
      <c r="BH204" s="60"/>
      <c r="BI204" s="60"/>
      <c r="BJ204" s="61"/>
    </row>
    <row r="205" spans="8:62" x14ac:dyDescent="0.25">
      <c r="H205" s="10" t="s">
        <v>106</v>
      </c>
      <c r="I205" s="33" t="s">
        <v>193</v>
      </c>
      <c r="J205" s="35"/>
      <c r="K205" s="10" t="s">
        <v>106</v>
      </c>
      <c r="L205" s="33" t="s">
        <v>319</v>
      </c>
      <c r="M205" s="35"/>
      <c r="N205" s="10" t="s">
        <v>106</v>
      </c>
      <c r="O205" s="33" t="s">
        <v>320</v>
      </c>
      <c r="P205" s="35"/>
      <c r="Q205" s="10" t="s">
        <v>106</v>
      </c>
      <c r="R205" s="33" t="s">
        <v>127</v>
      </c>
      <c r="S205" s="35"/>
      <c r="V205" s="14"/>
      <c r="W205" s="15" t="s">
        <v>314</v>
      </c>
      <c r="X205" s="16"/>
      <c r="Y205" s="16"/>
      <c r="Z205" s="16"/>
      <c r="AA205" s="16"/>
      <c r="AB205" s="16"/>
      <c r="AC205" s="17"/>
      <c r="AE205" s="19"/>
      <c r="AF205" s="222" t="s">
        <v>136</v>
      </c>
      <c r="AN205" s="21"/>
      <c r="AP205" s="19"/>
      <c r="AQ205" s="222" t="s">
        <v>136</v>
      </c>
      <c r="AY205" s="21"/>
      <c r="BA205" s="62"/>
      <c r="BB205" s="211" t="s">
        <v>136</v>
      </c>
      <c r="BC205" s="63"/>
      <c r="BD205" s="63"/>
      <c r="BE205" s="63"/>
      <c r="BF205" s="63"/>
      <c r="BG205" s="63"/>
      <c r="BH205" s="63"/>
      <c r="BI205" s="63"/>
      <c r="BJ205" s="66"/>
    </row>
    <row r="206" spans="8:62" x14ac:dyDescent="0.25">
      <c r="H206" s="10" t="s">
        <v>128</v>
      </c>
      <c r="I206" s="33">
        <v>0</v>
      </c>
      <c r="J206" s="35"/>
      <c r="K206" s="10" t="s">
        <v>128</v>
      </c>
      <c r="L206" s="33">
        <v>0</v>
      </c>
      <c r="M206" s="35"/>
      <c r="N206" s="10" t="s">
        <v>128</v>
      </c>
      <c r="O206" s="33">
        <v>0</v>
      </c>
      <c r="P206" s="35"/>
      <c r="Q206" s="10" t="s">
        <v>128</v>
      </c>
      <c r="R206" s="33">
        <v>0</v>
      </c>
      <c r="S206" s="35"/>
      <c r="V206" s="19"/>
      <c r="X206" t="s">
        <v>101</v>
      </c>
      <c r="AE206" s="19"/>
      <c r="AF206" s="222"/>
      <c r="AH206">
        <f>AL184*AH200</f>
        <v>246.39561224564966</v>
      </c>
      <c r="AI206" t="s">
        <v>137</v>
      </c>
      <c r="AN206" s="21"/>
      <c r="AP206" s="19"/>
      <c r="AQ206" s="222"/>
      <c r="AS206">
        <f>AW184*AS200</f>
        <v>246.39561224564966</v>
      </c>
      <c r="AT206" t="s">
        <v>137</v>
      </c>
      <c r="AY206" s="21"/>
      <c r="BA206" s="62"/>
      <c r="BB206" s="211"/>
      <c r="BC206" s="63"/>
      <c r="BD206" s="63">
        <f>BH184*BD200</f>
        <v>394.17199575169963</v>
      </c>
      <c r="BE206" s="63" t="s">
        <v>137</v>
      </c>
      <c r="BF206" s="63"/>
      <c r="BG206" s="63"/>
      <c r="BH206" s="63"/>
      <c r="BI206" s="63"/>
      <c r="BJ206" s="66"/>
    </row>
    <row r="207" spans="8:62" x14ac:dyDescent="0.25">
      <c r="H207" s="10" t="s">
        <v>112</v>
      </c>
      <c r="I207" s="10">
        <f>I204*I203*I206</f>
        <v>0</v>
      </c>
      <c r="J207" s="10" t="s">
        <v>113</v>
      </c>
      <c r="K207" s="10" t="s">
        <v>112</v>
      </c>
      <c r="L207" s="10">
        <f>L204*L203*L206</f>
        <v>0</v>
      </c>
      <c r="M207" s="10" t="s">
        <v>113</v>
      </c>
      <c r="N207" s="10" t="s">
        <v>112</v>
      </c>
      <c r="O207" s="10">
        <f>O204*O203*O206</f>
        <v>0</v>
      </c>
      <c r="P207" s="10" t="s">
        <v>113</v>
      </c>
      <c r="Q207" s="10" t="s">
        <v>112</v>
      </c>
      <c r="R207" s="10">
        <f>R204*R203*R206</f>
        <v>0</v>
      </c>
      <c r="S207" s="10" t="s">
        <v>113</v>
      </c>
      <c r="V207" s="19"/>
      <c r="AA207" s="25"/>
      <c r="AC207" s="21"/>
      <c r="AE207" s="49"/>
      <c r="AF207" s="228"/>
      <c r="AG207" s="3"/>
      <c r="AH207" s="3"/>
      <c r="AI207" s="3"/>
      <c r="AJ207" s="3"/>
      <c r="AK207" s="3"/>
      <c r="AL207" s="3"/>
      <c r="AM207" s="3"/>
      <c r="AN207" s="44"/>
      <c r="AP207" s="49"/>
      <c r="AQ207" s="228"/>
      <c r="AR207" s="3"/>
      <c r="AS207" s="3"/>
      <c r="AT207" s="3"/>
      <c r="AU207" s="3"/>
      <c r="AV207" s="3"/>
      <c r="AW207" s="3"/>
      <c r="AX207" s="3"/>
      <c r="AY207" s="44"/>
      <c r="BA207" s="82"/>
      <c r="BB207" s="218"/>
      <c r="BC207" s="76"/>
      <c r="BD207" s="76"/>
      <c r="BE207" s="76"/>
      <c r="BF207" s="76"/>
      <c r="BG207" s="76"/>
      <c r="BH207" s="76"/>
      <c r="BI207" s="76"/>
      <c r="BJ207" s="77"/>
    </row>
    <row r="208" spans="8:62" x14ac:dyDescent="0.25">
      <c r="H208" s="10" t="s">
        <v>117</v>
      </c>
      <c r="I208" s="31">
        <f>I207*1.1</f>
        <v>0</v>
      </c>
      <c r="J208" s="10" t="s">
        <v>113</v>
      </c>
      <c r="K208" s="10" t="s">
        <v>117</v>
      </c>
      <c r="L208" s="31">
        <f>L207*1.1</f>
        <v>0</v>
      </c>
      <c r="M208" s="10" t="s">
        <v>113</v>
      </c>
      <c r="N208" s="10" t="s">
        <v>117</v>
      </c>
      <c r="O208" s="31">
        <f>O207*1.1</f>
        <v>0</v>
      </c>
      <c r="P208" s="10" t="s">
        <v>113</v>
      </c>
      <c r="Q208" s="10" t="s">
        <v>117</v>
      </c>
      <c r="R208" s="31">
        <f>R207*1.1</f>
        <v>0</v>
      </c>
      <c r="S208" s="10" t="s">
        <v>113</v>
      </c>
      <c r="V208" s="19"/>
      <c r="W208" t="s">
        <v>114</v>
      </c>
      <c r="X208" s="27">
        <v>9.5</v>
      </c>
      <c r="Y208" s="27" t="s">
        <v>52</v>
      </c>
      <c r="Z208" s="27"/>
      <c r="AC208" s="21"/>
      <c r="AE208" s="14"/>
      <c r="AF208" s="16"/>
      <c r="AG208" s="16"/>
      <c r="AH208" s="16"/>
      <c r="AI208" s="16"/>
      <c r="AJ208" s="16"/>
      <c r="AK208" s="16"/>
      <c r="AL208" s="16"/>
      <c r="AM208" s="16"/>
      <c r="AN208" s="17"/>
      <c r="AP208" s="14"/>
      <c r="AQ208" s="16"/>
      <c r="AR208" s="16"/>
      <c r="AS208" s="16"/>
      <c r="AT208" s="16"/>
      <c r="AU208" s="16"/>
      <c r="AV208" s="16"/>
      <c r="AW208" s="16"/>
      <c r="AX208" s="16"/>
      <c r="AY208" s="17"/>
      <c r="BA208" s="81"/>
      <c r="BB208" s="60"/>
      <c r="BC208" s="60"/>
      <c r="BD208" s="60"/>
      <c r="BE208" s="60"/>
      <c r="BF208" s="60"/>
      <c r="BG208" s="60"/>
      <c r="BH208" s="60"/>
      <c r="BI208" s="60"/>
      <c r="BJ208" s="61"/>
    </row>
    <row r="209" spans="8:62" ht="17.850000000000001" x14ac:dyDescent="0.35">
      <c r="V209" s="229" t="s">
        <v>315</v>
      </c>
      <c r="W209" s="28" t="s">
        <v>317</v>
      </c>
      <c r="X209">
        <f>(60+94)/2</f>
        <v>77</v>
      </c>
      <c r="Y209" t="s">
        <v>92</v>
      </c>
      <c r="AA209" s="25" t="s">
        <v>118</v>
      </c>
      <c r="AB209">
        <v>2</v>
      </c>
      <c r="AC209" s="21" t="s">
        <v>92</v>
      </c>
      <c r="AE209" s="19"/>
      <c r="AF209" s="222" t="s">
        <v>138</v>
      </c>
      <c r="AH209">
        <f>1.1*AH206</f>
        <v>271.03517347021466</v>
      </c>
      <c r="AI209" t="s">
        <v>137</v>
      </c>
      <c r="AN209" s="21"/>
      <c r="AP209" s="19"/>
      <c r="AQ209" s="222" t="s">
        <v>138</v>
      </c>
      <c r="AS209">
        <f>1.1*AS206</f>
        <v>271.03517347021466</v>
      </c>
      <c r="AT209" t="s">
        <v>137</v>
      </c>
      <c r="AY209" s="21"/>
      <c r="BA209" s="62"/>
      <c r="BB209" s="211" t="s">
        <v>138</v>
      </c>
      <c r="BC209" s="63"/>
      <c r="BD209" s="63">
        <f>1.1*BD206</f>
        <v>433.58919532686963</v>
      </c>
      <c r="BE209" s="63" t="s">
        <v>137</v>
      </c>
      <c r="BF209" s="63"/>
      <c r="BG209" s="63"/>
      <c r="BH209" s="63"/>
      <c r="BI209" s="63"/>
      <c r="BJ209" s="66"/>
    </row>
    <row r="210" spans="8:62" x14ac:dyDescent="0.25">
      <c r="H210" s="10" t="s">
        <v>91</v>
      </c>
      <c r="I210" s="10">
        <v>1</v>
      </c>
      <c r="J210" s="10" t="s">
        <v>52</v>
      </c>
      <c r="K210" s="10" t="s">
        <v>91</v>
      </c>
      <c r="L210" s="10">
        <v>1</v>
      </c>
      <c r="M210" s="10" t="s">
        <v>52</v>
      </c>
      <c r="N210" s="10" t="s">
        <v>91</v>
      </c>
      <c r="O210" s="10">
        <f>(13.14+8)*2/12</f>
        <v>3.5233333333333334</v>
      </c>
      <c r="P210" s="10" t="s">
        <v>52</v>
      </c>
      <c r="Q210" s="10" t="s">
        <v>91</v>
      </c>
      <c r="R210" s="10">
        <f>(13.14+8)*2/12</f>
        <v>3.5233333333333334</v>
      </c>
      <c r="S210" s="10" t="s">
        <v>52</v>
      </c>
      <c r="V210" s="229"/>
      <c r="X210">
        <f>X209/12</f>
        <v>6.416666666666667</v>
      </c>
      <c r="Y210" t="s">
        <v>52</v>
      </c>
      <c r="AA210" s="25"/>
      <c r="AC210" s="21"/>
      <c r="AE210" s="49"/>
      <c r="AF210" s="228"/>
      <c r="AG210" s="3"/>
      <c r="AH210" s="3"/>
      <c r="AI210" s="3"/>
      <c r="AJ210" s="3"/>
      <c r="AK210" s="3"/>
      <c r="AL210" s="3"/>
      <c r="AM210" s="3"/>
      <c r="AN210" s="44"/>
      <c r="AP210" s="49"/>
      <c r="AQ210" s="228"/>
      <c r="AR210" s="3"/>
      <c r="AS210" s="3"/>
      <c r="AT210" s="3"/>
      <c r="AU210" s="3"/>
      <c r="AV210" s="3"/>
      <c r="AW210" s="3"/>
      <c r="AX210" s="3"/>
      <c r="AY210" s="44"/>
      <c r="BA210" s="82"/>
      <c r="BB210" s="218"/>
      <c r="BC210" s="76"/>
      <c r="BD210" s="76"/>
      <c r="BE210" s="76"/>
      <c r="BF210" s="76"/>
      <c r="BG210" s="76"/>
      <c r="BH210" s="76"/>
      <c r="BI210" s="76"/>
      <c r="BJ210" s="77"/>
    </row>
    <row r="211" spans="8:62" x14ac:dyDescent="0.25">
      <c r="H211" s="10" t="s">
        <v>100</v>
      </c>
      <c r="I211" s="41">
        <v>9.5</v>
      </c>
      <c r="J211" s="10" t="s">
        <v>52</v>
      </c>
      <c r="K211" s="10" t="s">
        <v>100</v>
      </c>
      <c r="L211" s="41">
        <f>Y220</f>
        <v>31.884354694989781</v>
      </c>
      <c r="M211" s="10" t="s">
        <v>52</v>
      </c>
      <c r="N211" s="10" t="s">
        <v>100</v>
      </c>
      <c r="O211" s="41">
        <v>17.920000000000002</v>
      </c>
      <c r="P211" s="10" t="s">
        <v>52</v>
      </c>
      <c r="Q211" s="10" t="s">
        <v>100</v>
      </c>
      <c r="R211" s="41">
        <v>17.25</v>
      </c>
      <c r="S211" s="10" t="s">
        <v>52</v>
      </c>
      <c r="V211" s="19"/>
      <c r="AC211" s="21"/>
      <c r="AE211" s="14"/>
      <c r="AF211" s="16"/>
      <c r="AG211" s="16"/>
      <c r="AH211" s="16"/>
      <c r="AI211" s="16"/>
      <c r="AJ211" s="16"/>
      <c r="AK211" s="16"/>
      <c r="AL211" s="16"/>
      <c r="AM211" s="16"/>
      <c r="AN211" s="17"/>
      <c r="AP211" s="14"/>
      <c r="AQ211" s="16"/>
      <c r="AR211" s="16"/>
      <c r="AS211" s="16"/>
      <c r="AT211" s="16"/>
      <c r="AU211" s="16"/>
      <c r="AV211" s="16"/>
      <c r="AW211" s="16"/>
      <c r="AX211" s="16"/>
      <c r="AY211" s="17"/>
      <c r="BA211" s="81"/>
      <c r="BB211" s="60"/>
      <c r="BC211" s="60"/>
      <c r="BD211" s="60"/>
      <c r="BE211" s="60"/>
      <c r="BF211" s="60"/>
      <c r="BG211" s="60"/>
      <c r="BH211" s="60"/>
      <c r="BI211" s="60"/>
      <c r="BJ211" s="61"/>
    </row>
    <row r="212" spans="8:62" x14ac:dyDescent="0.25">
      <c r="H212" s="10" t="s">
        <v>106</v>
      </c>
      <c r="I212" s="33" t="s">
        <v>322</v>
      </c>
      <c r="J212" s="35"/>
      <c r="K212" s="10" t="s">
        <v>106</v>
      </c>
      <c r="L212" s="33" t="s">
        <v>316</v>
      </c>
      <c r="M212" s="35"/>
      <c r="N212" s="10" t="s">
        <v>106</v>
      </c>
      <c r="O212" s="33" t="s">
        <v>323</v>
      </c>
      <c r="P212" s="35"/>
      <c r="Q212" s="10" t="s">
        <v>106</v>
      </c>
      <c r="R212" s="33" t="s">
        <v>323</v>
      </c>
      <c r="S212" s="35"/>
      <c r="V212" s="19"/>
      <c r="AC212" s="21"/>
      <c r="AE212" s="19"/>
      <c r="AF212" s="222" t="s">
        <v>139</v>
      </c>
      <c r="AH212">
        <v>4</v>
      </c>
      <c r="AN212" s="21"/>
      <c r="AP212" s="19"/>
      <c r="AQ212" s="222" t="s">
        <v>139</v>
      </c>
      <c r="AS212">
        <v>4</v>
      </c>
      <c r="AY212" s="21"/>
      <c r="BA212" s="62"/>
      <c r="BB212" s="211" t="s">
        <v>139</v>
      </c>
      <c r="BC212" s="63"/>
      <c r="BD212" s="63">
        <v>2</v>
      </c>
      <c r="BE212" s="63"/>
      <c r="BF212" s="63"/>
      <c r="BG212" s="63"/>
      <c r="BH212" s="63"/>
      <c r="BI212" s="63"/>
      <c r="BJ212" s="66"/>
    </row>
    <row r="213" spans="8:62" x14ac:dyDescent="0.25">
      <c r="H213" s="10" t="s">
        <v>128</v>
      </c>
      <c r="I213" s="33">
        <v>0</v>
      </c>
      <c r="J213" s="35"/>
      <c r="K213" s="10" t="s">
        <v>128</v>
      </c>
      <c r="L213" s="33">
        <v>0</v>
      </c>
      <c r="M213" s="35"/>
      <c r="N213" s="10" t="s">
        <v>128</v>
      </c>
      <c r="O213" s="33">
        <v>0</v>
      </c>
      <c r="P213" s="35"/>
      <c r="Q213" s="10" t="s">
        <v>128</v>
      </c>
      <c r="R213" s="33">
        <v>0</v>
      </c>
      <c r="S213" s="35"/>
      <c r="V213" s="19"/>
      <c r="AC213" s="21"/>
      <c r="AE213" s="19"/>
      <c r="AF213" s="222"/>
      <c r="AN213" s="21"/>
      <c r="AP213" s="19"/>
      <c r="AQ213" s="222"/>
      <c r="AY213" s="21"/>
      <c r="BA213" s="62"/>
      <c r="BB213" s="211"/>
      <c r="BC213" s="63"/>
      <c r="BD213" s="63"/>
      <c r="BE213" s="63"/>
      <c r="BF213" s="63"/>
      <c r="BG213" s="63"/>
      <c r="BH213" s="63"/>
      <c r="BI213" s="63"/>
      <c r="BJ213" s="66"/>
    </row>
    <row r="214" spans="8:62" x14ac:dyDescent="0.25">
      <c r="H214" s="10" t="s">
        <v>112</v>
      </c>
      <c r="I214" s="10">
        <f>I211*I210*I213</f>
        <v>0</v>
      </c>
      <c r="J214" s="10" t="s">
        <v>113</v>
      </c>
      <c r="K214" s="10" t="s">
        <v>112</v>
      </c>
      <c r="L214" s="10">
        <f>L211*L210*L213</f>
        <v>0</v>
      </c>
      <c r="M214" s="10" t="s">
        <v>113</v>
      </c>
      <c r="N214" s="10" t="s">
        <v>112</v>
      </c>
      <c r="O214" s="10">
        <f>O211*O210*O213</f>
        <v>0</v>
      </c>
      <c r="P214" s="10" t="s">
        <v>113</v>
      </c>
      <c r="Q214" s="10" t="s">
        <v>112</v>
      </c>
      <c r="R214" s="10">
        <f>R211*R210*R213</f>
        <v>0</v>
      </c>
      <c r="S214" s="10" t="s">
        <v>113</v>
      </c>
      <c r="V214" s="19"/>
      <c r="W214">
        <f>X210-2*(AB209/12+0.083)</f>
        <v>5.9173333333333336</v>
      </c>
      <c r="X214" t="s">
        <v>2</v>
      </c>
      <c r="Z214">
        <f>SQRT((Y218)^2+(W214)^2)</f>
        <v>11.192177347494891</v>
      </c>
      <c r="AA214" t="s">
        <v>2</v>
      </c>
      <c r="AC214" s="21"/>
      <c r="AE214" s="49"/>
      <c r="AF214" s="3"/>
      <c r="AG214" s="3"/>
      <c r="AH214" s="3"/>
      <c r="AI214" s="3"/>
      <c r="AJ214" s="3"/>
      <c r="AK214" s="3"/>
      <c r="AL214" s="3"/>
      <c r="AM214" s="3"/>
      <c r="AN214" s="44"/>
      <c r="AP214" s="49"/>
      <c r="AQ214" s="3"/>
      <c r="AR214" s="3"/>
      <c r="AS214" s="3"/>
      <c r="AT214" s="3"/>
      <c r="AU214" s="3"/>
      <c r="AV214" s="3"/>
      <c r="AW214" s="3"/>
      <c r="AX214" s="3"/>
      <c r="AY214" s="44"/>
      <c r="BA214" s="82"/>
      <c r="BB214" s="76"/>
      <c r="BC214" s="76"/>
      <c r="BD214" s="76"/>
      <c r="BE214" s="76"/>
      <c r="BF214" s="76"/>
      <c r="BG214" s="76"/>
      <c r="BH214" s="76"/>
      <c r="BI214" s="76"/>
      <c r="BJ214" s="77"/>
    </row>
    <row r="215" spans="8:62" ht="18" customHeight="1" x14ac:dyDescent="0.25">
      <c r="H215" s="10" t="s">
        <v>117</v>
      </c>
      <c r="I215" s="31">
        <f>I214*1.1</f>
        <v>0</v>
      </c>
      <c r="J215" s="10" t="s">
        <v>113</v>
      </c>
      <c r="K215" s="10" t="s">
        <v>117</v>
      </c>
      <c r="L215" s="31">
        <f>L214*1.1</f>
        <v>0</v>
      </c>
      <c r="M215" s="10" t="s">
        <v>113</v>
      </c>
      <c r="N215" s="10" t="s">
        <v>117</v>
      </c>
      <c r="O215" s="31">
        <f>O214*1.1</f>
        <v>0</v>
      </c>
      <c r="P215" s="10" t="s">
        <v>113</v>
      </c>
      <c r="Q215" s="10" t="s">
        <v>117</v>
      </c>
      <c r="R215" s="31">
        <f>R214*1.1</f>
        <v>0</v>
      </c>
      <c r="S215" s="10" t="s">
        <v>113</v>
      </c>
      <c r="V215" s="19"/>
      <c r="W215">
        <f>W214*12</f>
        <v>71.00800000000001</v>
      </c>
      <c r="AC215" s="21"/>
      <c r="AE215" s="33"/>
      <c r="AF215" s="53" t="s">
        <v>140</v>
      </c>
      <c r="AG215" s="34"/>
      <c r="AH215" s="51">
        <f>AH209*AH212</f>
        <v>1084.1406938808586</v>
      </c>
      <c r="AI215" s="34" t="s">
        <v>137</v>
      </c>
      <c r="AJ215" s="34"/>
      <c r="AK215" s="34"/>
      <c r="AL215" s="34"/>
      <c r="AM215" s="34"/>
      <c r="AN215" s="35"/>
      <c r="AP215" s="33"/>
      <c r="AQ215" s="53" t="s">
        <v>140</v>
      </c>
      <c r="AR215" s="34"/>
      <c r="AS215" s="51">
        <f>AS209*AS212</f>
        <v>1084.1406938808586</v>
      </c>
      <c r="AT215" s="34" t="s">
        <v>137</v>
      </c>
      <c r="AU215" s="34"/>
      <c r="AV215" s="34"/>
      <c r="AW215" s="34"/>
      <c r="AX215" s="34"/>
      <c r="AY215" s="35"/>
      <c r="BA215" s="83"/>
      <c r="BB215" s="84" t="s">
        <v>140</v>
      </c>
      <c r="BC215" s="85"/>
      <c r="BD215" s="85">
        <f>BD209*BD212</f>
        <v>867.17839065373926</v>
      </c>
      <c r="BE215" s="85" t="s">
        <v>137</v>
      </c>
      <c r="BF215" s="85"/>
      <c r="BG215" s="85"/>
      <c r="BH215" s="85"/>
      <c r="BI215" s="85"/>
      <c r="BJ215" s="86"/>
    </row>
    <row r="216" spans="8:62" x14ac:dyDescent="0.25">
      <c r="V216" s="19"/>
      <c r="AC216" s="21"/>
    </row>
    <row r="217" spans="8:62" x14ac:dyDescent="0.25">
      <c r="V217" s="19"/>
      <c r="AC217" s="21"/>
    </row>
    <row r="218" spans="8:62" ht="44.55" x14ac:dyDescent="0.25">
      <c r="L218" s="5" t="s">
        <v>150</v>
      </c>
      <c r="M218" s="50">
        <f>J191+N191+J195+N196+R196+J200+N200+R200+I208+L208+O208+R208+L215+O215+R215+J229</f>
        <v>1440</v>
      </c>
      <c r="N218" t="s">
        <v>113</v>
      </c>
      <c r="V218" s="19"/>
      <c r="Y218" s="27">
        <f>X208</f>
        <v>9.5</v>
      </c>
      <c r="AC218" s="21"/>
    </row>
    <row r="219" spans="8:62" x14ac:dyDescent="0.25">
      <c r="V219" s="19"/>
      <c r="AC219" s="21"/>
    </row>
    <row r="220" spans="8:62" x14ac:dyDescent="0.25">
      <c r="V220" s="19" t="s">
        <v>129</v>
      </c>
      <c r="Y220" s="27">
        <f>(1*Y218)+(2*Z214)</f>
        <v>31.884354694989781</v>
      </c>
      <c r="Z220" t="s">
        <v>125</v>
      </c>
      <c r="AC220" s="21"/>
    </row>
    <row r="221" spans="8:62" x14ac:dyDescent="0.25">
      <c r="V221" s="19"/>
      <c r="AC221" s="21"/>
    </row>
    <row r="222" spans="8:62" x14ac:dyDescent="0.25">
      <c r="H222" s="18" t="s">
        <v>535</v>
      </c>
      <c r="I222" s="16"/>
      <c r="J222" s="16"/>
      <c r="K222" s="17"/>
      <c r="M222" s="2" t="s">
        <v>575</v>
      </c>
      <c r="V222" s="48" t="s">
        <v>131</v>
      </c>
      <c r="Y222" s="1">
        <f>0.25*4*Y220</f>
        <v>31.884354694989781</v>
      </c>
      <c r="Z222" t="s">
        <v>126</v>
      </c>
      <c r="AC222" s="21"/>
    </row>
    <row r="223" spans="8:62" x14ac:dyDescent="0.25">
      <c r="H223" s="19"/>
      <c r="K223" s="21"/>
      <c r="V223" s="19" t="s">
        <v>132</v>
      </c>
      <c r="X223" t="s">
        <v>133</v>
      </c>
      <c r="Y223" s="27">
        <f>Y222*1.1</f>
        <v>35.072790164488765</v>
      </c>
      <c r="Z223" t="s">
        <v>126</v>
      </c>
      <c r="AC223" s="21"/>
    </row>
    <row r="224" spans="8:62" x14ac:dyDescent="0.25">
      <c r="H224" s="19" t="s">
        <v>536</v>
      </c>
      <c r="J224">
        <v>6</v>
      </c>
      <c r="K224" s="21" t="s">
        <v>2</v>
      </c>
      <c r="M224" t="s">
        <v>576</v>
      </c>
      <c r="O224">
        <f>2*(4*1.083)</f>
        <v>8.6639999999999997</v>
      </c>
      <c r="P224" t="s">
        <v>278</v>
      </c>
      <c r="V224" s="49"/>
      <c r="W224" s="3"/>
      <c r="X224" s="3"/>
      <c r="Y224" s="3"/>
      <c r="Z224" s="3"/>
      <c r="AA224" s="3"/>
      <c r="AB224" s="3"/>
      <c r="AC224" s="44"/>
    </row>
    <row r="225" spans="1:16" x14ac:dyDescent="0.25">
      <c r="H225" s="19" t="s">
        <v>537</v>
      </c>
      <c r="J225">
        <v>15</v>
      </c>
      <c r="K225" s="21" t="s">
        <v>2</v>
      </c>
      <c r="M225" t="s">
        <v>577</v>
      </c>
      <c r="O225">
        <f>4*(9.5/12)</f>
        <v>3.1666666666666665</v>
      </c>
      <c r="P225" t="s">
        <v>278</v>
      </c>
    </row>
    <row r="226" spans="1:16" x14ac:dyDescent="0.25">
      <c r="H226" s="19" t="s">
        <v>538</v>
      </c>
      <c r="J226">
        <v>8</v>
      </c>
      <c r="K226" s="21" t="s">
        <v>116</v>
      </c>
      <c r="M226" t="s">
        <v>578</v>
      </c>
      <c r="O226">
        <v>6</v>
      </c>
      <c r="P226" t="s">
        <v>116</v>
      </c>
    </row>
    <row r="227" spans="1:16" x14ac:dyDescent="0.25">
      <c r="H227" s="19" t="s">
        <v>539</v>
      </c>
      <c r="J227">
        <v>2</v>
      </c>
      <c r="K227" s="21" t="s">
        <v>116</v>
      </c>
      <c r="M227" t="s">
        <v>78</v>
      </c>
      <c r="O227">
        <f>(O224+O225)*O226</f>
        <v>70.983999999999995</v>
      </c>
      <c r="P227" t="s">
        <v>278</v>
      </c>
    </row>
    <row r="228" spans="1:16" x14ac:dyDescent="0.25">
      <c r="H228" s="19"/>
      <c r="K228" s="21"/>
    </row>
    <row r="229" spans="1:16" x14ac:dyDescent="0.25">
      <c r="H229" s="49" t="s">
        <v>78</v>
      </c>
      <c r="I229" s="3"/>
      <c r="J229" s="59">
        <f>J224*J225*J226*J227</f>
        <v>1440</v>
      </c>
      <c r="K229" s="44" t="s">
        <v>540</v>
      </c>
    </row>
    <row r="234" spans="1:16" x14ac:dyDescent="0.25">
      <c r="A234" s="2" t="s">
        <v>557</v>
      </c>
    </row>
    <row r="236" spans="1:16" x14ac:dyDescent="0.25">
      <c r="A236" t="s">
        <v>542</v>
      </c>
      <c r="C236">
        <v>90</v>
      </c>
      <c r="D236" t="s">
        <v>2</v>
      </c>
    </row>
    <row r="237" spans="1:16" x14ac:dyDescent="0.25">
      <c r="A237" t="s">
        <v>541</v>
      </c>
      <c r="C237" s="3">
        <v>2</v>
      </c>
      <c r="D237" s="3" t="s">
        <v>329</v>
      </c>
    </row>
    <row r="238" spans="1:16" x14ac:dyDescent="0.25">
      <c r="C238" s="7">
        <f>C236*C237</f>
        <v>180</v>
      </c>
      <c r="D238" s="7" t="s">
        <v>2</v>
      </c>
    </row>
    <row r="241" spans="1:5" x14ac:dyDescent="0.25">
      <c r="A241" s="2" t="s">
        <v>41</v>
      </c>
    </row>
    <row r="242" spans="1:5" x14ac:dyDescent="0.25">
      <c r="A242" s="2"/>
    </row>
    <row r="243" spans="1:5" x14ac:dyDescent="0.25">
      <c r="A243" t="s">
        <v>305</v>
      </c>
      <c r="C243">
        <v>0</v>
      </c>
      <c r="D243" t="s">
        <v>278</v>
      </c>
      <c r="E243" t="s">
        <v>333</v>
      </c>
    </row>
    <row r="244" spans="1:5" x14ac:dyDescent="0.25">
      <c r="A244" s="2"/>
    </row>
    <row r="245" spans="1:5" x14ac:dyDescent="0.25">
      <c r="A245" t="s">
        <v>175</v>
      </c>
    </row>
    <row r="246" spans="1:5" x14ac:dyDescent="0.25">
      <c r="A246" t="s">
        <v>37</v>
      </c>
      <c r="D246">
        <v>0</v>
      </c>
      <c r="E246" t="s">
        <v>2</v>
      </c>
    </row>
    <row r="247" spans="1:5" x14ac:dyDescent="0.25">
      <c r="A247" t="s">
        <v>38</v>
      </c>
      <c r="D247">
        <v>0</v>
      </c>
      <c r="E247" t="s">
        <v>2</v>
      </c>
    </row>
    <row r="248" spans="1:5" x14ac:dyDescent="0.25">
      <c r="A248" t="s">
        <v>43</v>
      </c>
      <c r="D248">
        <v>1</v>
      </c>
    </row>
    <row r="249" spans="1:5" x14ac:dyDescent="0.25">
      <c r="A249" t="s">
        <v>42</v>
      </c>
      <c r="C249">
        <f>D246*D247*D248</f>
        <v>0</v>
      </c>
      <c r="D249" t="s">
        <v>40</v>
      </c>
    </row>
    <row r="251" spans="1:5" x14ac:dyDescent="0.25">
      <c r="A251" t="s">
        <v>179</v>
      </c>
    </row>
    <row r="252" spans="1:5" x14ac:dyDescent="0.25">
      <c r="A252" t="s">
        <v>37</v>
      </c>
      <c r="D252">
        <v>3</v>
      </c>
      <c r="E252" t="s">
        <v>2</v>
      </c>
    </row>
    <row r="253" spans="1:5" x14ac:dyDescent="0.25">
      <c r="A253" t="s">
        <v>38</v>
      </c>
      <c r="D253">
        <v>1</v>
      </c>
      <c r="E253" t="s">
        <v>2</v>
      </c>
    </row>
    <row r="254" spans="1:5" x14ac:dyDescent="0.25">
      <c r="A254" t="s">
        <v>43</v>
      </c>
      <c r="D254">
        <v>1</v>
      </c>
    </row>
    <row r="255" spans="1:5" x14ac:dyDescent="0.25">
      <c r="A255" t="s">
        <v>549</v>
      </c>
      <c r="C255">
        <f>D252*D253*D254*1.5</f>
        <v>4.5</v>
      </c>
      <c r="D255" t="s">
        <v>40</v>
      </c>
    </row>
    <row r="257" spans="1:5" x14ac:dyDescent="0.25">
      <c r="A257" t="s">
        <v>182</v>
      </c>
    </row>
    <row r="258" spans="1:5" x14ac:dyDescent="0.25">
      <c r="A258" t="s">
        <v>37</v>
      </c>
      <c r="D258">
        <v>0</v>
      </c>
      <c r="E258" t="s">
        <v>2</v>
      </c>
    </row>
    <row r="259" spans="1:5" x14ac:dyDescent="0.25">
      <c r="A259" t="s">
        <v>38</v>
      </c>
      <c r="D259">
        <v>0</v>
      </c>
      <c r="E259" t="s">
        <v>2</v>
      </c>
    </row>
    <row r="260" spans="1:5" x14ac:dyDescent="0.25">
      <c r="A260" t="s">
        <v>43</v>
      </c>
      <c r="D260">
        <v>1</v>
      </c>
    </row>
    <row r="261" spans="1:5" x14ac:dyDescent="0.25">
      <c r="A261" t="s">
        <v>42</v>
      </c>
      <c r="C261">
        <f>D258*D259*D260</f>
        <v>0</v>
      </c>
      <c r="D261" t="s">
        <v>40</v>
      </c>
    </row>
    <row r="263" spans="1:5" x14ac:dyDescent="0.25">
      <c r="A263" t="s">
        <v>181</v>
      </c>
    </row>
    <row r="264" spans="1:5" x14ac:dyDescent="0.25">
      <c r="A264" t="s">
        <v>37</v>
      </c>
      <c r="D264">
        <v>0</v>
      </c>
      <c r="E264" t="s">
        <v>2</v>
      </c>
    </row>
    <row r="265" spans="1:5" x14ac:dyDescent="0.25">
      <c r="A265" t="s">
        <v>38</v>
      </c>
      <c r="D265">
        <v>0</v>
      </c>
      <c r="E265" t="s">
        <v>2</v>
      </c>
    </row>
    <row r="266" spans="1:5" x14ac:dyDescent="0.25">
      <c r="A266" t="s">
        <v>43</v>
      </c>
      <c r="D266">
        <v>1</v>
      </c>
    </row>
    <row r="267" spans="1:5" x14ac:dyDescent="0.25">
      <c r="A267" t="s">
        <v>42</v>
      </c>
      <c r="C267">
        <f>D264*D265*D266</f>
        <v>0</v>
      </c>
      <c r="D267" t="s">
        <v>40</v>
      </c>
    </row>
    <row r="269" spans="1:5" x14ac:dyDescent="0.25">
      <c r="A269" t="s">
        <v>180</v>
      </c>
      <c r="C269" s="7">
        <f>ROUNDUP(C243+C249+C255+C261+C267,0)</f>
        <v>5</v>
      </c>
      <c r="D269" s="7" t="s">
        <v>40</v>
      </c>
    </row>
    <row r="275" spans="1:5" x14ac:dyDescent="0.25">
      <c r="A275" s="2" t="s">
        <v>550</v>
      </c>
    </row>
    <row r="277" spans="1:5" x14ac:dyDescent="0.25">
      <c r="A277" t="s">
        <v>551</v>
      </c>
      <c r="D277">
        <v>16</v>
      </c>
      <c r="E277" t="s">
        <v>278</v>
      </c>
    </row>
    <row r="278" spans="1:5" x14ac:dyDescent="0.25">
      <c r="A278" t="s">
        <v>551</v>
      </c>
      <c r="D278" s="3">
        <v>16</v>
      </c>
      <c r="E278" s="3" t="s">
        <v>278</v>
      </c>
    </row>
    <row r="279" spans="1:5" x14ac:dyDescent="0.25">
      <c r="D279" s="7">
        <f>SUM(D277:D278)</f>
        <v>32</v>
      </c>
      <c r="E279" s="7" t="s">
        <v>278</v>
      </c>
    </row>
  </sheetData>
  <mergeCells count="14">
    <mergeCell ref="AF212:AF213"/>
    <mergeCell ref="AQ212:AQ213"/>
    <mergeCell ref="BB212:BB213"/>
    <mergeCell ref="AF205:AF207"/>
    <mergeCell ref="AQ205:AQ207"/>
    <mergeCell ref="BB205:BB207"/>
    <mergeCell ref="V209:V210"/>
    <mergeCell ref="AF209:AF210"/>
    <mergeCell ref="AQ209:AQ210"/>
    <mergeCell ref="BB209:BB210"/>
    <mergeCell ref="A177:J179"/>
    <mergeCell ref="AE186:AK186"/>
    <mergeCell ref="AP186:AV186"/>
    <mergeCell ref="BA186:BG186"/>
  </mergeCells>
  <pageMargins left="0.7" right="0.7" top="0.75" bottom="0.75" header="0.3" footer="0.3"/>
  <pageSetup paperSize="17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51CA3-8278-430D-9606-F1484FE8E3BB}">
  <dimension ref="A1:BT462"/>
  <sheetViews>
    <sheetView topLeftCell="A400" zoomScale="70" zoomScaleNormal="70" workbookViewId="0">
      <selection activeCell="C20" sqref="C20"/>
    </sheetView>
  </sheetViews>
  <sheetFormatPr defaultRowHeight="14.85" x14ac:dyDescent="0.25"/>
  <cols>
    <col min="1" max="1" width="86.42578125" bestFit="1" customWidth="1"/>
    <col min="2" max="2" width="7.7109375" customWidth="1"/>
    <col min="3" max="3" width="10" bestFit="1" customWidth="1"/>
    <col min="4" max="4" width="24.28515625" bestFit="1" customWidth="1"/>
    <col min="5" max="5" width="12.7109375" bestFit="1" customWidth="1"/>
    <col min="6" max="6" width="22.85546875" bestFit="1" customWidth="1"/>
    <col min="7" max="7" width="27.28515625" bestFit="1" customWidth="1"/>
    <col min="8" max="8" width="39.28515625" bestFit="1" customWidth="1"/>
    <col min="9" max="9" width="18.5703125" bestFit="1" customWidth="1"/>
    <col min="10" max="10" width="12" bestFit="1" customWidth="1"/>
    <col min="11" max="11" width="7.85546875" bestFit="1" customWidth="1"/>
    <col min="12" max="12" width="12" bestFit="1" customWidth="1"/>
    <col min="13" max="13" width="14.5703125" bestFit="1" customWidth="1"/>
    <col min="14" max="14" width="9.42578125" customWidth="1"/>
    <col min="15" max="15" width="8.28515625" bestFit="1" customWidth="1"/>
    <col min="16" max="16" width="12" bestFit="1" customWidth="1"/>
    <col min="17" max="17" width="8" bestFit="1" customWidth="1"/>
    <col min="18" max="18" width="15.5703125" customWidth="1"/>
    <col min="19" max="19" width="12.7109375" bestFit="1" customWidth="1"/>
    <col min="20" max="20" width="12" bestFit="1" customWidth="1"/>
    <col min="21" max="21" width="11.28515625" bestFit="1" customWidth="1"/>
    <col min="22" max="22" width="4.85546875" bestFit="1" customWidth="1"/>
    <col min="23" max="23" width="7.85546875" bestFit="1" customWidth="1"/>
    <col min="25" max="25" width="39.28515625" bestFit="1" customWidth="1"/>
    <col min="26" max="26" width="30.85546875" bestFit="1" customWidth="1"/>
    <col min="27" max="29" width="12" bestFit="1" customWidth="1"/>
    <col min="30" max="30" width="11" bestFit="1" customWidth="1"/>
    <col min="31" max="31" width="3" bestFit="1" customWidth="1"/>
    <col min="34" max="34" width="10.42578125" customWidth="1"/>
    <col min="35" max="35" width="11.28515625" customWidth="1"/>
    <col min="36" max="36" width="7.7109375" bestFit="1" customWidth="1"/>
    <col min="37" max="37" width="8.85546875" customWidth="1"/>
    <col min="38" max="38" width="8" bestFit="1" customWidth="1"/>
    <col min="39" max="39" width="9.7109375" bestFit="1" customWidth="1"/>
    <col min="40" max="40" width="9.5703125" bestFit="1" customWidth="1"/>
    <col min="41" max="41" width="4" bestFit="1" customWidth="1"/>
    <col min="42" max="42" width="8.42578125" bestFit="1" customWidth="1"/>
    <col min="43" max="43" width="5.28515625" bestFit="1" customWidth="1"/>
    <col min="49" max="49" width="26.42578125" bestFit="1" customWidth="1"/>
    <col min="50" max="50" width="12" bestFit="1" customWidth="1"/>
    <col min="51" max="51" width="4.85546875" bestFit="1" customWidth="1"/>
    <col min="52" max="52" width="5" bestFit="1" customWidth="1"/>
    <col min="55" max="55" width="2" bestFit="1" customWidth="1"/>
    <col min="58" max="58" width="22.42578125" bestFit="1" customWidth="1"/>
    <col min="59" max="59" width="12" bestFit="1" customWidth="1"/>
    <col min="60" max="60" width="4.85546875" bestFit="1" customWidth="1"/>
    <col min="61" max="61" width="5" bestFit="1" customWidth="1"/>
    <col min="64" max="64" width="6" bestFit="1" customWidth="1"/>
    <col min="65" max="65" width="19.42578125" bestFit="1" customWidth="1"/>
    <col min="66" max="66" width="9.5703125" bestFit="1" customWidth="1"/>
    <col min="67" max="67" width="12" bestFit="1" customWidth="1"/>
    <col min="68" max="68" width="5.140625" bestFit="1" customWidth="1"/>
    <col min="69" max="69" width="3" bestFit="1" customWidth="1"/>
    <col min="70" max="70" width="10" bestFit="1" customWidth="1"/>
    <col min="71" max="71" width="12" bestFit="1" customWidth="1"/>
    <col min="72" max="72" width="5.85546875" bestFit="1" customWidth="1"/>
  </cols>
  <sheetData>
    <row r="1" spans="1:4" x14ac:dyDescent="0.25">
      <c r="A1" s="56" t="s">
        <v>492</v>
      </c>
      <c r="D1" s="139" t="s">
        <v>245</v>
      </c>
    </row>
    <row r="2" spans="1:4" x14ac:dyDescent="0.25">
      <c r="A2" s="56"/>
      <c r="D2" s="139"/>
    </row>
    <row r="3" spans="1:4" x14ac:dyDescent="0.25">
      <c r="A3" s="56" t="s">
        <v>493</v>
      </c>
      <c r="D3" s="139" t="s">
        <v>245</v>
      </c>
    </row>
    <row r="4" spans="1:4" x14ac:dyDescent="0.25">
      <c r="A4" s="56"/>
    </row>
    <row r="5" spans="1:4" x14ac:dyDescent="0.25">
      <c r="A5" s="56" t="s">
        <v>410</v>
      </c>
    </row>
    <row r="6" spans="1:4" x14ac:dyDescent="0.25">
      <c r="A6" t="s">
        <v>495</v>
      </c>
    </row>
    <row r="7" spans="1:4" x14ac:dyDescent="0.25">
      <c r="A7" t="s">
        <v>496</v>
      </c>
      <c r="B7">
        <v>64.5</v>
      </c>
      <c r="C7" t="s">
        <v>2</v>
      </c>
    </row>
    <row r="8" spans="1:4" x14ac:dyDescent="0.25">
      <c r="A8" t="s">
        <v>497</v>
      </c>
      <c r="B8">
        <v>2</v>
      </c>
      <c r="C8" t="s">
        <v>2</v>
      </c>
    </row>
    <row r="9" spans="1:4" x14ac:dyDescent="0.25">
      <c r="A9" t="s">
        <v>498</v>
      </c>
      <c r="B9">
        <v>4.5</v>
      </c>
      <c r="C9" t="s">
        <v>2</v>
      </c>
    </row>
    <row r="10" spans="1:4" x14ac:dyDescent="0.25">
      <c r="A10" t="s">
        <v>502</v>
      </c>
      <c r="B10">
        <v>2</v>
      </c>
      <c r="C10" t="s">
        <v>116</v>
      </c>
    </row>
    <row r="11" spans="1:4" x14ac:dyDescent="0.25">
      <c r="A11" t="s">
        <v>403</v>
      </c>
      <c r="B11">
        <f>B7*B8*B9*B10</f>
        <v>1161</v>
      </c>
      <c r="C11" t="s">
        <v>295</v>
      </c>
    </row>
    <row r="12" spans="1:4" x14ac:dyDescent="0.25">
      <c r="B12">
        <f>B11/27</f>
        <v>43</v>
      </c>
      <c r="C12" t="s">
        <v>297</v>
      </c>
    </row>
    <row r="14" spans="1:4" x14ac:dyDescent="0.25">
      <c r="A14" t="s">
        <v>499</v>
      </c>
      <c r="B14">
        <v>17</v>
      </c>
      <c r="C14" t="s">
        <v>2</v>
      </c>
      <c r="D14" t="s">
        <v>503</v>
      </c>
    </row>
    <row r="15" spans="1:4" x14ac:dyDescent="0.25">
      <c r="A15" t="s">
        <v>500</v>
      </c>
      <c r="B15">
        <v>14</v>
      </c>
      <c r="C15" t="s">
        <v>2</v>
      </c>
    </row>
    <row r="16" spans="1:4" x14ac:dyDescent="0.25">
      <c r="A16" t="s">
        <v>497</v>
      </c>
      <c r="B16">
        <v>5.5</v>
      </c>
      <c r="C16" t="s">
        <v>2</v>
      </c>
    </row>
    <row r="17" spans="1:5" x14ac:dyDescent="0.25">
      <c r="A17" t="s">
        <v>501</v>
      </c>
      <c r="B17">
        <v>4</v>
      </c>
      <c r="C17" t="s">
        <v>116</v>
      </c>
    </row>
    <row r="18" spans="1:5" x14ac:dyDescent="0.25">
      <c r="A18" t="s">
        <v>273</v>
      </c>
      <c r="B18">
        <f>B14*B15*B16*B17</f>
        <v>5236</v>
      </c>
      <c r="C18" t="s">
        <v>295</v>
      </c>
    </row>
    <row r="19" spans="1:5" x14ac:dyDescent="0.25">
      <c r="B19">
        <f>B18/27</f>
        <v>193.92592592592592</v>
      </c>
      <c r="C19" t="s">
        <v>297</v>
      </c>
    </row>
    <row r="21" spans="1:5" x14ac:dyDescent="0.25">
      <c r="A21" t="s">
        <v>7</v>
      </c>
      <c r="B21" s="7">
        <f>ROUNDUP(B12+B19,0)</f>
        <v>237</v>
      </c>
      <c r="C21" s="7" t="s">
        <v>297</v>
      </c>
    </row>
    <row r="23" spans="1:5" x14ac:dyDescent="0.25">
      <c r="A23" s="56" t="s">
        <v>44</v>
      </c>
    </row>
    <row r="25" spans="1:5" x14ac:dyDescent="0.25">
      <c r="A25" t="s">
        <v>494</v>
      </c>
      <c r="D25">
        <f>2*(2*((189/0.75)+1))</f>
        <v>1012</v>
      </c>
    </row>
    <row r="26" spans="1:5" x14ac:dyDescent="0.25">
      <c r="A26" t="s">
        <v>468</v>
      </c>
      <c r="D26">
        <f>50+40+10+11</f>
        <v>111</v>
      </c>
    </row>
    <row r="27" spans="1:5" x14ac:dyDescent="0.25">
      <c r="A27" t="s">
        <v>526</v>
      </c>
      <c r="D27">
        <v>12</v>
      </c>
    </row>
    <row r="28" spans="1:5" x14ac:dyDescent="0.25">
      <c r="A28" t="s">
        <v>469</v>
      </c>
      <c r="D28">
        <f>50+40+10+11</f>
        <v>111</v>
      </c>
    </row>
    <row r="29" spans="1:5" x14ac:dyDescent="0.25">
      <c r="A29" t="s">
        <v>527</v>
      </c>
      <c r="D29" s="3">
        <v>12</v>
      </c>
      <c r="E29" s="3"/>
    </row>
    <row r="30" spans="1:5" x14ac:dyDescent="0.25">
      <c r="A30" s="124" t="s">
        <v>378</v>
      </c>
      <c r="B30" s="7"/>
      <c r="D30" s="124">
        <f>SUM(D25:D29)</f>
        <v>1258</v>
      </c>
      <c r="E30" s="124" t="s">
        <v>116</v>
      </c>
    </row>
    <row r="33" spans="1:7" x14ac:dyDescent="0.25">
      <c r="A33" s="56" t="s">
        <v>460</v>
      </c>
    </row>
    <row r="35" spans="1:7" x14ac:dyDescent="0.25">
      <c r="A35" s="6" t="s">
        <v>291</v>
      </c>
    </row>
    <row r="36" spans="1:7" x14ac:dyDescent="0.25">
      <c r="A36" t="s">
        <v>292</v>
      </c>
      <c r="D36">
        <v>0</v>
      </c>
      <c r="E36" t="s">
        <v>278</v>
      </c>
    </row>
    <row r="37" spans="1:7" x14ac:dyDescent="0.25">
      <c r="A37" t="s">
        <v>293</v>
      </c>
      <c r="D37">
        <v>0</v>
      </c>
      <c r="E37" t="s">
        <v>2</v>
      </c>
    </row>
    <row r="38" spans="1:7" x14ac:dyDescent="0.25">
      <c r="A38" t="s">
        <v>294</v>
      </c>
      <c r="D38">
        <v>0</v>
      </c>
      <c r="E38" t="s">
        <v>116</v>
      </c>
    </row>
    <row r="39" spans="1:7" x14ac:dyDescent="0.25">
      <c r="A39" t="s">
        <v>296</v>
      </c>
      <c r="D39">
        <v>1.82</v>
      </c>
      <c r="E39" t="s">
        <v>297</v>
      </c>
      <c r="G39" t="s">
        <v>436</v>
      </c>
    </row>
    <row r="40" spans="1:7" x14ac:dyDescent="0.25">
      <c r="A40" t="s">
        <v>298</v>
      </c>
      <c r="D40">
        <v>4</v>
      </c>
      <c r="E40" t="s">
        <v>116</v>
      </c>
    </row>
    <row r="42" spans="1:7" x14ac:dyDescent="0.25">
      <c r="A42" t="s">
        <v>56</v>
      </c>
      <c r="D42" s="1">
        <f>(D36*D37*D38/27)+(D39*D40)</f>
        <v>7.28</v>
      </c>
      <c r="E42" t="s">
        <v>8</v>
      </c>
    </row>
    <row r="45" spans="1:7" x14ac:dyDescent="0.25">
      <c r="A45" s="6" t="s">
        <v>48</v>
      </c>
    </row>
    <row r="47" spans="1:7" x14ac:dyDescent="0.25">
      <c r="A47" t="s">
        <v>379</v>
      </c>
      <c r="D47" s="1">
        <v>0</v>
      </c>
      <c r="E47" t="s">
        <v>2</v>
      </c>
    </row>
    <row r="48" spans="1:7" x14ac:dyDescent="0.25">
      <c r="A48" t="s">
        <v>288</v>
      </c>
      <c r="D48" s="1">
        <v>0</v>
      </c>
      <c r="E48" t="s">
        <v>2</v>
      </c>
    </row>
    <row r="49" spans="1:5" x14ac:dyDescent="0.25">
      <c r="A49" t="s">
        <v>471</v>
      </c>
      <c r="D49" s="1">
        <v>1.5</v>
      </c>
      <c r="E49" t="s">
        <v>2</v>
      </c>
    </row>
    <row r="50" spans="1:5" x14ac:dyDescent="0.25">
      <c r="A50" t="s">
        <v>470</v>
      </c>
      <c r="D50" s="1">
        <f>116+132</f>
        <v>248</v>
      </c>
      <c r="E50" t="s">
        <v>472</v>
      </c>
    </row>
    <row r="51" spans="1:5" x14ac:dyDescent="0.25">
      <c r="A51" t="s">
        <v>56</v>
      </c>
      <c r="D51" s="1">
        <f>D47*D48+D49*D50</f>
        <v>372</v>
      </c>
      <c r="E51" t="s">
        <v>13</v>
      </c>
    </row>
    <row r="52" spans="1:5" x14ac:dyDescent="0.25">
      <c r="D52" s="1">
        <f>D51/27</f>
        <v>13.777777777777779</v>
      </c>
      <c r="E52" t="s">
        <v>8</v>
      </c>
    </row>
    <row r="54" spans="1:5" x14ac:dyDescent="0.25">
      <c r="A54" s="6" t="s">
        <v>53</v>
      </c>
    </row>
    <row r="56" spans="1:5" x14ac:dyDescent="0.25">
      <c r="A56" t="s">
        <v>379</v>
      </c>
      <c r="D56" s="1">
        <v>0</v>
      </c>
      <c r="E56" t="s">
        <v>40</v>
      </c>
    </row>
    <row r="57" spans="1:5" x14ac:dyDescent="0.25">
      <c r="A57" t="s">
        <v>288</v>
      </c>
      <c r="D57" s="1">
        <v>0</v>
      </c>
      <c r="E57" t="s">
        <v>2</v>
      </c>
    </row>
    <row r="58" spans="1:5" x14ac:dyDescent="0.25">
      <c r="A58" t="s">
        <v>471</v>
      </c>
      <c r="D58" s="1">
        <v>1.5</v>
      </c>
      <c r="E58" t="s">
        <v>2</v>
      </c>
    </row>
    <row r="59" spans="1:5" x14ac:dyDescent="0.25">
      <c r="A59" t="s">
        <v>470</v>
      </c>
      <c r="D59" s="1">
        <f>130.7+154.4</f>
        <v>285.10000000000002</v>
      </c>
      <c r="E59" t="s">
        <v>472</v>
      </c>
    </row>
    <row r="60" spans="1:5" x14ac:dyDescent="0.25">
      <c r="A60" t="s">
        <v>56</v>
      </c>
      <c r="D60" s="1">
        <f>D56*D57+D58*D59</f>
        <v>427.65000000000003</v>
      </c>
      <c r="E60" t="s">
        <v>13</v>
      </c>
    </row>
    <row r="61" spans="1:5" x14ac:dyDescent="0.25">
      <c r="D61" s="1">
        <f>D60/27</f>
        <v>15.83888888888889</v>
      </c>
      <c r="E61" t="s">
        <v>8</v>
      </c>
    </row>
    <row r="63" spans="1:5" x14ac:dyDescent="0.25">
      <c r="A63" s="124" t="s">
        <v>57</v>
      </c>
      <c r="B63" s="7"/>
      <c r="C63" s="7"/>
      <c r="D63" s="126">
        <f>ROUNDUP((D42+D52+D61),0)</f>
        <v>37</v>
      </c>
      <c r="E63" s="124" t="s">
        <v>8</v>
      </c>
    </row>
    <row r="66" spans="1:6" x14ac:dyDescent="0.25">
      <c r="A66" s="56" t="s">
        <v>461</v>
      </c>
    </row>
    <row r="68" spans="1:6" x14ac:dyDescent="0.25">
      <c r="A68" s="6" t="s">
        <v>376</v>
      </c>
    </row>
    <row r="69" spans="1:6" x14ac:dyDescent="0.25">
      <c r="A69" t="s">
        <v>292</v>
      </c>
      <c r="D69">
        <v>4.08</v>
      </c>
      <c r="E69" t="s">
        <v>278</v>
      </c>
      <c r="F69">
        <f>588/144</f>
        <v>4.083333333333333</v>
      </c>
    </row>
    <row r="70" spans="1:6" x14ac:dyDescent="0.25">
      <c r="A70" t="s">
        <v>293</v>
      </c>
      <c r="D70" s="1">
        <f>188.7</f>
        <v>188.7</v>
      </c>
      <c r="E70" t="s">
        <v>2</v>
      </c>
    </row>
    <row r="71" spans="1:6" x14ac:dyDescent="0.25">
      <c r="A71" t="s">
        <v>294</v>
      </c>
      <c r="D71">
        <v>2</v>
      </c>
      <c r="E71" t="s">
        <v>116</v>
      </c>
    </row>
    <row r="72" spans="1:6" x14ac:dyDescent="0.25">
      <c r="A72" t="s">
        <v>56</v>
      </c>
      <c r="D72" s="1">
        <f>D69*D70*D71</f>
        <v>1539.7919999999999</v>
      </c>
      <c r="E72" t="s">
        <v>295</v>
      </c>
    </row>
    <row r="73" spans="1:6" x14ac:dyDescent="0.25">
      <c r="D73">
        <f>ROUNDUP(D72/27,0)</f>
        <v>58</v>
      </c>
      <c r="E73" t="s">
        <v>8</v>
      </c>
    </row>
    <row r="75" spans="1:6" x14ac:dyDescent="0.25">
      <c r="A75" t="s">
        <v>377</v>
      </c>
      <c r="D75" s="1">
        <f>(4*1.82)</f>
        <v>7.28</v>
      </c>
      <c r="E75" t="s">
        <v>8</v>
      </c>
    </row>
    <row r="76" spans="1:6" x14ac:dyDescent="0.25">
      <c r="A76" t="s">
        <v>378</v>
      </c>
      <c r="D76" s="1">
        <f>D73+D75</f>
        <v>65.28</v>
      </c>
      <c r="E76" t="s">
        <v>8</v>
      </c>
    </row>
    <row r="78" spans="1:6" x14ac:dyDescent="0.25">
      <c r="A78" s="6" t="s">
        <v>289</v>
      </c>
    </row>
    <row r="80" spans="1:6" x14ac:dyDescent="0.25">
      <c r="A80" t="s">
        <v>142</v>
      </c>
      <c r="D80">
        <v>4.75</v>
      </c>
      <c r="E80" t="s">
        <v>2</v>
      </c>
    </row>
    <row r="81" spans="1:5" x14ac:dyDescent="0.25">
      <c r="A81" t="s">
        <v>143</v>
      </c>
      <c r="D81">
        <v>64.5</v>
      </c>
      <c r="E81" t="s">
        <v>2</v>
      </c>
    </row>
    <row r="82" spans="1:5" x14ac:dyDescent="0.25">
      <c r="A82" t="s">
        <v>283</v>
      </c>
      <c r="D82">
        <v>9</v>
      </c>
      <c r="E82" t="s">
        <v>49</v>
      </c>
    </row>
    <row r="83" spans="1:5" x14ac:dyDescent="0.25">
      <c r="A83" t="s">
        <v>287</v>
      </c>
      <c r="D83">
        <v>1</v>
      </c>
      <c r="E83" t="s">
        <v>49</v>
      </c>
    </row>
    <row r="84" spans="1:5" x14ac:dyDescent="0.25">
      <c r="A84" t="s">
        <v>144</v>
      </c>
      <c r="D84">
        <v>7</v>
      </c>
      <c r="E84" t="s">
        <v>49</v>
      </c>
    </row>
    <row r="85" spans="1:5" x14ac:dyDescent="0.25">
      <c r="A85" s="231" t="s">
        <v>50</v>
      </c>
      <c r="B85" s="231"/>
    </row>
    <row r="86" spans="1:5" x14ac:dyDescent="0.25">
      <c r="A86" s="231"/>
      <c r="B86" s="231"/>
      <c r="D86">
        <v>1</v>
      </c>
      <c r="E86" t="s">
        <v>49</v>
      </c>
    </row>
    <row r="87" spans="1:5" x14ac:dyDescent="0.25">
      <c r="A87" s="138" t="s">
        <v>466</v>
      </c>
      <c r="B87" s="138"/>
      <c r="D87">
        <v>7</v>
      </c>
      <c r="E87" t="s">
        <v>116</v>
      </c>
    </row>
    <row r="88" spans="1:5" x14ac:dyDescent="0.25">
      <c r="A88" t="s">
        <v>145</v>
      </c>
      <c r="D88">
        <v>3.5</v>
      </c>
      <c r="E88" t="s">
        <v>2</v>
      </c>
    </row>
    <row r="89" spans="1:5" x14ac:dyDescent="0.25">
      <c r="A89" t="s">
        <v>286</v>
      </c>
      <c r="D89">
        <v>1</v>
      </c>
      <c r="E89" t="s">
        <v>2</v>
      </c>
    </row>
    <row r="91" spans="1:5" x14ac:dyDescent="0.25">
      <c r="A91" t="s">
        <v>51</v>
      </c>
      <c r="D91" s="1">
        <f>(D80*D81*(D84+D86)/12)</f>
        <v>204.25</v>
      </c>
      <c r="E91" t="s">
        <v>13</v>
      </c>
    </row>
    <row r="92" spans="1:5" x14ac:dyDescent="0.25">
      <c r="D92" s="1">
        <f>D91/27</f>
        <v>7.5648148148148149</v>
      </c>
      <c r="E92" t="s">
        <v>8</v>
      </c>
    </row>
    <row r="94" spans="1:5" x14ac:dyDescent="0.25">
      <c r="A94" s="6" t="s">
        <v>462</v>
      </c>
    </row>
    <row r="96" spans="1:5" x14ac:dyDescent="0.25">
      <c r="A96" t="s">
        <v>463</v>
      </c>
      <c r="D96">
        <v>64.5</v>
      </c>
      <c r="E96" t="s">
        <v>2</v>
      </c>
    </row>
    <row r="97" spans="1:5" x14ac:dyDescent="0.25">
      <c r="A97" t="s">
        <v>465</v>
      </c>
      <c r="D97">
        <v>3.75</v>
      </c>
      <c r="E97" t="s">
        <v>2</v>
      </c>
    </row>
    <row r="98" spans="1:5" x14ac:dyDescent="0.25">
      <c r="A98" t="s">
        <v>464</v>
      </c>
      <c r="D98">
        <v>3.75</v>
      </c>
      <c r="E98" t="s">
        <v>2</v>
      </c>
    </row>
    <row r="100" spans="1:5" x14ac:dyDescent="0.25">
      <c r="A100" t="s">
        <v>51</v>
      </c>
      <c r="D100" s="1">
        <f>(D96*D97*D98)</f>
        <v>907.03125</v>
      </c>
      <c r="E100" t="s">
        <v>13</v>
      </c>
    </row>
    <row r="101" spans="1:5" x14ac:dyDescent="0.25">
      <c r="D101" s="1">
        <f>D100/27</f>
        <v>33.59375</v>
      </c>
      <c r="E101" t="s">
        <v>8</v>
      </c>
    </row>
    <row r="104" spans="1:5" x14ac:dyDescent="0.25">
      <c r="A104" s="6" t="s">
        <v>290</v>
      </c>
    </row>
    <row r="106" spans="1:5" x14ac:dyDescent="0.25">
      <c r="A106" t="s">
        <v>142</v>
      </c>
      <c r="D106">
        <v>4.75</v>
      </c>
      <c r="E106" t="s">
        <v>2</v>
      </c>
    </row>
    <row r="107" spans="1:5" x14ac:dyDescent="0.25">
      <c r="A107" t="s">
        <v>143</v>
      </c>
      <c r="D107">
        <v>64.5</v>
      </c>
      <c r="E107" t="s">
        <v>2</v>
      </c>
    </row>
    <row r="108" spans="1:5" x14ac:dyDescent="0.25">
      <c r="A108" t="s">
        <v>283</v>
      </c>
      <c r="D108">
        <v>9</v>
      </c>
      <c r="E108" t="s">
        <v>49</v>
      </c>
    </row>
    <row r="109" spans="1:5" x14ac:dyDescent="0.25">
      <c r="A109" t="s">
        <v>287</v>
      </c>
      <c r="D109">
        <v>1</v>
      </c>
      <c r="E109" t="s">
        <v>49</v>
      </c>
    </row>
    <row r="110" spans="1:5" x14ac:dyDescent="0.25">
      <c r="A110" t="s">
        <v>144</v>
      </c>
      <c r="D110">
        <v>7</v>
      </c>
      <c r="E110" t="s">
        <v>49</v>
      </c>
    </row>
    <row r="111" spans="1:5" x14ac:dyDescent="0.25">
      <c r="A111" s="231" t="s">
        <v>50</v>
      </c>
      <c r="B111" s="231"/>
    </row>
    <row r="112" spans="1:5" x14ac:dyDescent="0.25">
      <c r="A112" s="231"/>
      <c r="B112" s="231"/>
      <c r="D112">
        <v>1</v>
      </c>
      <c r="E112" t="s">
        <v>49</v>
      </c>
    </row>
    <row r="113" spans="1:5" x14ac:dyDescent="0.25">
      <c r="A113" s="138" t="s">
        <v>466</v>
      </c>
      <c r="B113" s="138"/>
      <c r="D113">
        <v>7</v>
      </c>
      <c r="E113" t="s">
        <v>116</v>
      </c>
    </row>
    <row r="114" spans="1:5" x14ac:dyDescent="0.25">
      <c r="A114" t="s">
        <v>145</v>
      </c>
      <c r="D114">
        <v>3.5</v>
      </c>
      <c r="E114" t="s">
        <v>2</v>
      </c>
    </row>
    <row r="115" spans="1:5" x14ac:dyDescent="0.25">
      <c r="A115" t="s">
        <v>286</v>
      </c>
      <c r="D115">
        <v>1</v>
      </c>
      <c r="E115" t="s">
        <v>2</v>
      </c>
    </row>
    <row r="117" spans="1:5" x14ac:dyDescent="0.25">
      <c r="A117" t="s">
        <v>51</v>
      </c>
      <c r="D117" s="1">
        <f>(D106*D107*(D110+D112)/12)</f>
        <v>204.25</v>
      </c>
      <c r="E117" t="s">
        <v>13</v>
      </c>
    </row>
    <row r="118" spans="1:5" x14ac:dyDescent="0.25">
      <c r="D118" s="1">
        <f>D117/27</f>
        <v>7.5648148148148149</v>
      </c>
      <c r="E118" t="s">
        <v>8</v>
      </c>
    </row>
    <row r="120" spans="1:5" x14ac:dyDescent="0.25">
      <c r="A120" s="6" t="s">
        <v>467</v>
      </c>
    </row>
    <row r="122" spans="1:5" x14ac:dyDescent="0.25">
      <c r="A122" t="s">
        <v>463</v>
      </c>
      <c r="D122">
        <v>64.5</v>
      </c>
      <c r="E122" t="s">
        <v>2</v>
      </c>
    </row>
    <row r="123" spans="1:5" x14ac:dyDescent="0.25">
      <c r="A123" t="s">
        <v>465</v>
      </c>
      <c r="D123">
        <v>3.75</v>
      </c>
      <c r="E123" t="s">
        <v>2</v>
      </c>
    </row>
    <row r="124" spans="1:5" x14ac:dyDescent="0.25">
      <c r="A124" t="s">
        <v>464</v>
      </c>
      <c r="D124">
        <v>3.75</v>
      </c>
      <c r="E124" t="s">
        <v>2</v>
      </c>
    </row>
    <row r="126" spans="1:5" x14ac:dyDescent="0.25">
      <c r="A126" t="s">
        <v>51</v>
      </c>
      <c r="D126" s="1">
        <f>(D122*D123*D124)</f>
        <v>907.03125</v>
      </c>
      <c r="E126" t="s">
        <v>13</v>
      </c>
    </row>
    <row r="127" spans="1:5" x14ac:dyDescent="0.25">
      <c r="D127" s="1">
        <f>D126/27</f>
        <v>33.59375</v>
      </c>
      <c r="E127" t="s">
        <v>8</v>
      </c>
    </row>
    <row r="129" spans="1:7" x14ac:dyDescent="0.25">
      <c r="A129" t="s">
        <v>473</v>
      </c>
    </row>
    <row r="130" spans="1:7" x14ac:dyDescent="0.25">
      <c r="A130" t="s">
        <v>474</v>
      </c>
    </row>
    <row r="131" spans="1:7" x14ac:dyDescent="0.25">
      <c r="A131" t="s">
        <v>475</v>
      </c>
    </row>
    <row r="132" spans="1:7" x14ac:dyDescent="0.25">
      <c r="A132" t="s">
        <v>476</v>
      </c>
    </row>
    <row r="134" spans="1:7" x14ac:dyDescent="0.25">
      <c r="A134" s="124" t="s">
        <v>378</v>
      </c>
      <c r="B134" s="124"/>
      <c r="C134" s="124"/>
      <c r="D134" s="126">
        <f>D76+D92+D101+D118+D127</f>
        <v>147.59712962962962</v>
      </c>
      <c r="E134" s="124" t="s">
        <v>8</v>
      </c>
    </row>
    <row r="138" spans="1:7" x14ac:dyDescent="0.25">
      <c r="A138" s="125" t="s">
        <v>437</v>
      </c>
      <c r="B138" s="113"/>
      <c r="C138" s="113"/>
      <c r="D138" s="113"/>
      <c r="E138" s="113"/>
      <c r="F138" s="114"/>
      <c r="G138" s="114"/>
    </row>
    <row r="139" spans="1:7" x14ac:dyDescent="0.25">
      <c r="A139" s="2"/>
    </row>
    <row r="140" spans="1:7" x14ac:dyDescent="0.25">
      <c r="A140" s="3" t="s">
        <v>299</v>
      </c>
      <c r="B140" s="3"/>
    </row>
    <row r="141" spans="1:7" x14ac:dyDescent="0.25">
      <c r="A141" t="s">
        <v>60</v>
      </c>
      <c r="D141">
        <v>187</v>
      </c>
      <c r="E141" t="s">
        <v>2</v>
      </c>
    </row>
    <row r="142" spans="1:7" x14ac:dyDescent="0.25">
      <c r="A142" t="s">
        <v>248</v>
      </c>
      <c r="D142">
        <v>10.25</v>
      </c>
      <c r="E142" t="s">
        <v>2</v>
      </c>
    </row>
    <row r="143" spans="1:7" x14ac:dyDescent="0.25">
      <c r="A143" t="s">
        <v>61</v>
      </c>
      <c r="D143">
        <v>2</v>
      </c>
    </row>
    <row r="144" spans="1:7" x14ac:dyDescent="0.25">
      <c r="A144" t="s">
        <v>62</v>
      </c>
      <c r="D144">
        <f>D141*D142*D143</f>
        <v>3833.5</v>
      </c>
      <c r="E144" t="s">
        <v>40</v>
      </c>
    </row>
    <row r="145" spans="1:5" x14ac:dyDescent="0.25">
      <c r="D145" s="2">
        <f>ROUNDUP(D144/9,0)</f>
        <v>426</v>
      </c>
      <c r="E145" s="2" t="s">
        <v>24</v>
      </c>
    </row>
    <row r="147" spans="1:5" x14ac:dyDescent="0.25">
      <c r="A147" s="6" t="s">
        <v>63</v>
      </c>
    </row>
    <row r="148" spans="1:5" x14ac:dyDescent="0.25">
      <c r="A148" t="s">
        <v>64</v>
      </c>
      <c r="D148">
        <v>2</v>
      </c>
    </row>
    <row r="149" spans="1:5" x14ac:dyDescent="0.25">
      <c r="A149" t="s">
        <v>76</v>
      </c>
      <c r="D149">
        <v>3</v>
      </c>
      <c r="E149" t="s">
        <v>2</v>
      </c>
    </row>
    <row r="150" spans="1:5" x14ac:dyDescent="0.25">
      <c r="A150" t="s">
        <v>448</v>
      </c>
      <c r="D150">
        <v>4.5</v>
      </c>
      <c r="E150" t="s">
        <v>2</v>
      </c>
    </row>
    <row r="151" spans="1:5" x14ac:dyDescent="0.25">
      <c r="A151" t="s">
        <v>449</v>
      </c>
      <c r="D151">
        <v>62.582999999999998</v>
      </c>
      <c r="E151" t="s">
        <v>2</v>
      </c>
    </row>
    <row r="152" spans="1:5" x14ac:dyDescent="0.25">
      <c r="A152" t="s">
        <v>232</v>
      </c>
      <c r="D152">
        <v>12</v>
      </c>
      <c r="E152" t="s">
        <v>2</v>
      </c>
    </row>
    <row r="153" spans="1:5" x14ac:dyDescent="0.25">
      <c r="A153" t="s">
        <v>450</v>
      </c>
      <c r="D153" s="1">
        <f>PI()*D149</f>
        <v>9.4247779607693793</v>
      </c>
      <c r="E153" t="s">
        <v>2</v>
      </c>
    </row>
    <row r="155" spans="1:5" x14ac:dyDescent="0.25">
      <c r="A155" t="s">
        <v>451</v>
      </c>
      <c r="D155">
        <f>D149*D150</f>
        <v>13.5</v>
      </c>
      <c r="E155" t="s">
        <v>40</v>
      </c>
    </row>
    <row r="156" spans="1:5" x14ac:dyDescent="0.25">
      <c r="A156" t="s">
        <v>68</v>
      </c>
      <c r="D156">
        <v>2</v>
      </c>
    </row>
    <row r="157" spans="1:5" x14ac:dyDescent="0.25">
      <c r="A157" t="s">
        <v>78</v>
      </c>
      <c r="D157">
        <f>D155*D156</f>
        <v>27</v>
      </c>
      <c r="E157" t="s">
        <v>40</v>
      </c>
    </row>
    <row r="159" spans="1:5" x14ac:dyDescent="0.25">
      <c r="A159" t="s">
        <v>452</v>
      </c>
      <c r="D159">
        <f>D149*D151</f>
        <v>187.749</v>
      </c>
      <c r="E159" t="s">
        <v>40</v>
      </c>
    </row>
    <row r="160" spans="1:5" x14ac:dyDescent="0.25">
      <c r="A160" t="s">
        <v>69</v>
      </c>
      <c r="D160">
        <v>1</v>
      </c>
    </row>
    <row r="162" spans="1:5" x14ac:dyDescent="0.25">
      <c r="A162" t="s">
        <v>67</v>
      </c>
      <c r="D162">
        <f>D150*D151</f>
        <v>281.62349999999998</v>
      </c>
      <c r="E162" t="s">
        <v>40</v>
      </c>
    </row>
    <row r="163" spans="1:5" x14ac:dyDescent="0.25">
      <c r="A163" t="s">
        <v>70</v>
      </c>
      <c r="D163">
        <v>2</v>
      </c>
    </row>
    <row r="164" spans="1:5" x14ac:dyDescent="0.25">
      <c r="A164" t="s">
        <v>78</v>
      </c>
      <c r="D164">
        <f>D162*D163</f>
        <v>563.24699999999996</v>
      </c>
      <c r="E164" t="s">
        <v>40</v>
      </c>
    </row>
    <row r="166" spans="1:5" x14ac:dyDescent="0.25">
      <c r="A166" t="s">
        <v>71</v>
      </c>
    </row>
    <row r="167" spans="1:5" x14ac:dyDescent="0.25">
      <c r="A167" t="s">
        <v>75</v>
      </c>
      <c r="D167">
        <f>(D149*D151)-5*PI()*3</f>
        <v>140.62511019615312</v>
      </c>
      <c r="E167" t="s">
        <v>40</v>
      </c>
    </row>
    <row r="168" spans="1:5" x14ac:dyDescent="0.25">
      <c r="A168" t="s">
        <v>77</v>
      </c>
      <c r="D168">
        <v>1</v>
      </c>
    </row>
    <row r="170" spans="1:5" x14ac:dyDescent="0.25">
      <c r="A170" t="s">
        <v>453</v>
      </c>
      <c r="D170">
        <f>D152</f>
        <v>12</v>
      </c>
      <c r="E170" t="s">
        <v>2</v>
      </c>
    </row>
    <row r="171" spans="1:5" x14ac:dyDescent="0.25">
      <c r="A171" t="s">
        <v>454</v>
      </c>
      <c r="D171">
        <f>D153*D170</f>
        <v>113.09733552923255</v>
      </c>
      <c r="E171" t="s">
        <v>40</v>
      </c>
    </row>
    <row r="172" spans="1:5" x14ac:dyDescent="0.25">
      <c r="A172" t="s">
        <v>455</v>
      </c>
      <c r="D172">
        <v>6</v>
      </c>
      <c r="E172" t="s">
        <v>456</v>
      </c>
    </row>
    <row r="173" spans="1:5" x14ac:dyDescent="0.25">
      <c r="A173" t="s">
        <v>457</v>
      </c>
      <c r="D173">
        <f>D171*D172</f>
        <v>678.58401317539528</v>
      </c>
      <c r="E173" t="s">
        <v>40</v>
      </c>
    </row>
    <row r="175" spans="1:5" x14ac:dyDescent="0.25">
      <c r="A175" t="s">
        <v>78</v>
      </c>
      <c r="D175">
        <f>D148*(D157+D159+D164+D167+D173)</f>
        <v>3194.4102467430966</v>
      </c>
      <c r="E175" t="s">
        <v>40</v>
      </c>
    </row>
    <row r="176" spans="1:5" x14ac:dyDescent="0.25">
      <c r="D176" s="2">
        <f>ROUNDUP(D175/9,0)</f>
        <v>355</v>
      </c>
      <c r="E176" s="2" t="s">
        <v>24</v>
      </c>
    </row>
    <row r="178" spans="1:7" x14ac:dyDescent="0.25">
      <c r="A178" s="3" t="s">
        <v>80</v>
      </c>
      <c r="B178" s="3"/>
      <c r="C178" s="3"/>
      <c r="D178" s="3"/>
      <c r="E178" s="3"/>
      <c r="F178" s="3"/>
      <c r="G178" s="3"/>
    </row>
    <row r="180" spans="1:7" x14ac:dyDescent="0.25">
      <c r="A180" t="s">
        <v>81</v>
      </c>
      <c r="D180">
        <v>2</v>
      </c>
      <c r="E180" t="s">
        <v>2</v>
      </c>
    </row>
    <row r="181" spans="1:7" x14ac:dyDescent="0.25">
      <c r="A181" t="s">
        <v>82</v>
      </c>
      <c r="D181">
        <v>65</v>
      </c>
      <c r="E181" t="s">
        <v>2</v>
      </c>
    </row>
    <row r="182" spans="1:7" x14ac:dyDescent="0.25">
      <c r="A182" t="s">
        <v>276</v>
      </c>
      <c r="D182">
        <v>2</v>
      </c>
      <c r="E182" t="s">
        <v>2</v>
      </c>
    </row>
    <row r="183" spans="1:7" x14ac:dyDescent="0.25">
      <c r="A183" t="s">
        <v>88</v>
      </c>
      <c r="D183">
        <v>1.75</v>
      </c>
      <c r="E183" t="s">
        <v>2</v>
      </c>
    </row>
    <row r="184" spans="1:7" x14ac:dyDescent="0.25">
      <c r="A184" t="s">
        <v>275</v>
      </c>
      <c r="D184">
        <v>4</v>
      </c>
      <c r="E184" t="s">
        <v>2</v>
      </c>
    </row>
    <row r="186" spans="1:7" x14ac:dyDescent="0.25">
      <c r="A186" t="s">
        <v>84</v>
      </c>
      <c r="D186">
        <f>D182*D181</f>
        <v>130</v>
      </c>
      <c r="E186" t="s">
        <v>40</v>
      </c>
    </row>
    <row r="187" spans="1:7" x14ac:dyDescent="0.25">
      <c r="A187" t="s">
        <v>85</v>
      </c>
      <c r="D187">
        <f>D181*D180</f>
        <v>130</v>
      </c>
      <c r="E187" t="s">
        <v>40</v>
      </c>
    </row>
    <row r="188" spans="1:7" x14ac:dyDescent="0.25">
      <c r="A188" t="s">
        <v>86</v>
      </c>
      <c r="D188">
        <f>2*(D180*D182)</f>
        <v>8</v>
      </c>
      <c r="E188" t="s">
        <v>40</v>
      </c>
    </row>
    <row r="190" spans="1:7" x14ac:dyDescent="0.25">
      <c r="A190" s="29" t="s">
        <v>300</v>
      </c>
      <c r="B190" s="5"/>
      <c r="D190">
        <f>D184*D181</f>
        <v>260</v>
      </c>
      <c r="E190" t="s">
        <v>40</v>
      </c>
    </row>
    <row r="191" spans="1:7" x14ac:dyDescent="0.25">
      <c r="A191" s="5"/>
      <c r="B191" s="5"/>
    </row>
    <row r="192" spans="1:7" x14ac:dyDescent="0.25">
      <c r="A192" s="4"/>
      <c r="B192" s="4"/>
    </row>
    <row r="193" spans="1:7" x14ac:dyDescent="0.25">
      <c r="A193" s="29" t="s">
        <v>390</v>
      </c>
      <c r="B193" s="55"/>
      <c r="D193">
        <f>0.5*(13*5)</f>
        <v>32.5</v>
      </c>
      <c r="E193" t="s">
        <v>87</v>
      </c>
    </row>
    <row r="194" spans="1:7" x14ac:dyDescent="0.25">
      <c r="A194" s="29" t="s">
        <v>458</v>
      </c>
      <c r="B194" s="55"/>
      <c r="D194" s="1">
        <f>13*((32+18+32)/12)</f>
        <v>88.833333333333329</v>
      </c>
      <c r="E194" t="s">
        <v>40</v>
      </c>
    </row>
    <row r="195" spans="1:7" x14ac:dyDescent="0.25">
      <c r="A195" s="29" t="s">
        <v>391</v>
      </c>
      <c r="B195" s="55"/>
      <c r="D195">
        <f>0.5*(13*5)</f>
        <v>32.5</v>
      </c>
      <c r="E195" t="s">
        <v>87</v>
      </c>
    </row>
    <row r="196" spans="1:7" x14ac:dyDescent="0.25">
      <c r="A196" s="29" t="s">
        <v>458</v>
      </c>
      <c r="B196" s="55"/>
      <c r="D196" s="1">
        <f>13*((32+18+32)/12)</f>
        <v>88.833333333333329</v>
      </c>
      <c r="E196" t="s">
        <v>40</v>
      </c>
    </row>
    <row r="198" spans="1:7" x14ac:dyDescent="0.25">
      <c r="A198" t="s">
        <v>78</v>
      </c>
      <c r="D198">
        <f>D186+D187+D188+D190+D193+D194+D195+D196</f>
        <v>770.66666666666674</v>
      </c>
      <c r="E198" t="s">
        <v>40</v>
      </c>
    </row>
    <row r="199" spans="1:7" x14ac:dyDescent="0.25">
      <c r="D199" s="2">
        <f>ROUNDUP(D198/9,0)</f>
        <v>86</v>
      </c>
      <c r="E199" s="2" t="s">
        <v>24</v>
      </c>
    </row>
    <row r="202" spans="1:7" x14ac:dyDescent="0.25">
      <c r="A202" s="3" t="s">
        <v>89</v>
      </c>
      <c r="B202" s="3"/>
      <c r="C202" s="3"/>
      <c r="D202" s="3"/>
      <c r="E202" s="3"/>
      <c r="F202" s="3"/>
      <c r="G202" s="3"/>
    </row>
    <row r="204" spans="1:7" x14ac:dyDescent="0.25">
      <c r="A204" t="s">
        <v>81</v>
      </c>
      <c r="D204">
        <v>2</v>
      </c>
      <c r="E204" t="s">
        <v>2</v>
      </c>
    </row>
    <row r="205" spans="1:7" x14ac:dyDescent="0.25">
      <c r="A205" t="s">
        <v>82</v>
      </c>
      <c r="D205">
        <v>65</v>
      </c>
      <c r="E205" t="s">
        <v>2</v>
      </c>
    </row>
    <row r="206" spans="1:7" x14ac:dyDescent="0.25">
      <c r="A206" t="s">
        <v>276</v>
      </c>
      <c r="D206">
        <v>2</v>
      </c>
      <c r="E206" t="s">
        <v>2</v>
      </c>
    </row>
    <row r="207" spans="1:7" x14ac:dyDescent="0.25">
      <c r="A207" t="s">
        <v>88</v>
      </c>
      <c r="D207">
        <v>1.75</v>
      </c>
      <c r="E207" t="s">
        <v>2</v>
      </c>
    </row>
    <row r="208" spans="1:7" x14ac:dyDescent="0.25">
      <c r="A208" t="s">
        <v>275</v>
      </c>
      <c r="D208">
        <v>4</v>
      </c>
      <c r="E208" t="s">
        <v>2</v>
      </c>
    </row>
    <row r="210" spans="1:5" x14ac:dyDescent="0.25">
      <c r="A210" t="s">
        <v>84</v>
      </c>
      <c r="D210">
        <f>D205*D206</f>
        <v>130</v>
      </c>
      <c r="E210" t="s">
        <v>40</v>
      </c>
    </row>
    <row r="211" spans="1:5" x14ac:dyDescent="0.25">
      <c r="A211" t="s">
        <v>85</v>
      </c>
      <c r="D211">
        <f>D205*D204</f>
        <v>130</v>
      </c>
      <c r="E211" t="s">
        <v>40</v>
      </c>
    </row>
    <row r="212" spans="1:5" x14ac:dyDescent="0.25">
      <c r="A212" t="s">
        <v>86</v>
      </c>
      <c r="D212">
        <f>2*(D204*D206)</f>
        <v>8</v>
      </c>
      <c r="E212" t="s">
        <v>40</v>
      </c>
    </row>
    <row r="214" spans="1:5" x14ac:dyDescent="0.25">
      <c r="A214" s="29" t="s">
        <v>300</v>
      </c>
      <c r="B214" s="5"/>
      <c r="D214">
        <f>D208*D205</f>
        <v>260</v>
      </c>
      <c r="E214" t="s">
        <v>40</v>
      </c>
    </row>
    <row r="215" spans="1:5" x14ac:dyDescent="0.25">
      <c r="A215" s="5"/>
      <c r="B215" s="5"/>
    </row>
    <row r="216" spans="1:5" x14ac:dyDescent="0.25">
      <c r="A216" s="4"/>
      <c r="B216" s="4"/>
    </row>
    <row r="217" spans="1:5" x14ac:dyDescent="0.25">
      <c r="A217" s="29" t="s">
        <v>390</v>
      </c>
      <c r="B217" s="55"/>
      <c r="D217">
        <f>0.5*(13*5)</f>
        <v>32.5</v>
      </c>
      <c r="E217" t="s">
        <v>87</v>
      </c>
    </row>
    <row r="218" spans="1:5" x14ac:dyDescent="0.25">
      <c r="A218" s="29" t="s">
        <v>392</v>
      </c>
      <c r="B218" s="55"/>
      <c r="D218" s="1">
        <f>13*((32+18+32)/12)</f>
        <v>88.833333333333329</v>
      </c>
      <c r="E218" t="s">
        <v>40</v>
      </c>
    </row>
    <row r="219" spans="1:5" x14ac:dyDescent="0.25">
      <c r="A219" s="29" t="s">
        <v>391</v>
      </c>
      <c r="B219" s="55"/>
      <c r="D219">
        <f>0.5*(13*5)</f>
        <v>32.5</v>
      </c>
      <c r="E219" t="s">
        <v>87</v>
      </c>
    </row>
    <row r="220" spans="1:5" x14ac:dyDescent="0.25">
      <c r="A220" s="29" t="s">
        <v>392</v>
      </c>
      <c r="B220" s="55"/>
      <c r="D220" s="1">
        <f>13*((32+18+32)/12)</f>
        <v>88.833333333333329</v>
      </c>
      <c r="E220" t="s">
        <v>40</v>
      </c>
    </row>
    <row r="222" spans="1:5" x14ac:dyDescent="0.25">
      <c r="A222" t="s">
        <v>78</v>
      </c>
      <c r="D222" s="1">
        <f>D210+D211+D212+D214+D217+D218+D219+D220</f>
        <v>770.66666666666674</v>
      </c>
      <c r="E222" t="s">
        <v>40</v>
      </c>
    </row>
    <row r="223" spans="1:5" x14ac:dyDescent="0.25">
      <c r="D223" s="2">
        <f>ROUNDUP(D222/9,0)</f>
        <v>86</v>
      </c>
      <c r="E223" s="2" t="s">
        <v>24</v>
      </c>
    </row>
    <row r="225" spans="1:8" x14ac:dyDescent="0.25">
      <c r="A225" s="124" t="s">
        <v>90</v>
      </c>
      <c r="B225" s="7"/>
      <c r="C225" s="7"/>
      <c r="D225" s="124">
        <f>ROUNDUP(D145+D176+D199+D223,0)</f>
        <v>953</v>
      </c>
      <c r="E225" s="124" t="s">
        <v>24</v>
      </c>
    </row>
    <row r="227" spans="1:8" x14ac:dyDescent="0.25">
      <c r="A227" s="125" t="s">
        <v>459</v>
      </c>
      <c r="E227" s="124">
        <f>D225-D145+(3/10.25)*D145</f>
        <v>651.68292682926824</v>
      </c>
      <c r="F227" s="124" t="s">
        <v>24</v>
      </c>
      <c r="H227">
        <f>(3/10.25)*D145</f>
        <v>124.68292682926828</v>
      </c>
    </row>
    <row r="230" spans="1:8" x14ac:dyDescent="0.25">
      <c r="A230" s="56" t="s">
        <v>274</v>
      </c>
    </row>
    <row r="232" spans="1:8" x14ac:dyDescent="0.25">
      <c r="A232" t="s">
        <v>11</v>
      </c>
      <c r="D232">
        <v>25</v>
      </c>
      <c r="E232" t="s">
        <v>2</v>
      </c>
    </row>
    <row r="233" spans="1:8" x14ac:dyDescent="0.25">
      <c r="A233" t="s">
        <v>10</v>
      </c>
      <c r="D233">
        <v>2</v>
      </c>
      <c r="E233" t="s">
        <v>2</v>
      </c>
      <c r="F233" t="s">
        <v>489</v>
      </c>
    </row>
    <row r="234" spans="1:8" x14ac:dyDescent="0.25">
      <c r="A234" t="s">
        <v>12</v>
      </c>
      <c r="D234">
        <v>2</v>
      </c>
    </row>
    <row r="235" spans="1:8" x14ac:dyDescent="0.25">
      <c r="A235" t="s">
        <v>22</v>
      </c>
      <c r="D235">
        <f>D232*D233*D234</f>
        <v>100</v>
      </c>
      <c r="E235" t="s">
        <v>23</v>
      </c>
      <c r="F235">
        <f>D235/9</f>
        <v>11.111111111111111</v>
      </c>
      <c r="G235" t="s">
        <v>24</v>
      </c>
    </row>
    <row r="237" spans="1:8" x14ac:dyDescent="0.25">
      <c r="A237" t="s">
        <v>25</v>
      </c>
      <c r="D237" s="1">
        <v>188.7</v>
      </c>
      <c r="E237" t="s">
        <v>2</v>
      </c>
      <c r="F237" t="s">
        <v>27</v>
      </c>
    </row>
    <row r="238" spans="1:8" x14ac:dyDescent="0.25">
      <c r="A238" t="s">
        <v>26</v>
      </c>
      <c r="D238">
        <v>2</v>
      </c>
      <c r="E238" t="s">
        <v>2</v>
      </c>
      <c r="F238" t="s">
        <v>489</v>
      </c>
    </row>
    <row r="239" spans="1:8" x14ac:dyDescent="0.25">
      <c r="A239" t="s">
        <v>36</v>
      </c>
      <c r="D239" s="1">
        <f>D237*D238</f>
        <v>377.4</v>
      </c>
      <c r="E239" t="s">
        <v>23</v>
      </c>
      <c r="F239">
        <f>D239/9</f>
        <v>41.93333333333333</v>
      </c>
      <c r="G239" t="s">
        <v>24</v>
      </c>
    </row>
    <row r="241" spans="1:39" x14ac:dyDescent="0.25">
      <c r="A241" s="124" t="s">
        <v>28</v>
      </c>
      <c r="B241" s="124">
        <f>ROUNDUP(F235+F239,0)</f>
        <v>54</v>
      </c>
      <c r="C241" s="124" t="s">
        <v>24</v>
      </c>
    </row>
    <row r="243" spans="1:39" x14ac:dyDescent="0.25">
      <c r="A243" s="125" t="s">
        <v>504</v>
      </c>
    </row>
    <row r="245" spans="1:39" x14ac:dyDescent="0.25">
      <c r="A245" t="s">
        <v>505</v>
      </c>
      <c r="B245" s="124">
        <f>ROUNDUP(4*2*11/9,0)</f>
        <v>10</v>
      </c>
      <c r="C245" s="124" t="s">
        <v>24</v>
      </c>
    </row>
    <row r="247" spans="1:39" x14ac:dyDescent="0.25">
      <c r="A247" s="144" t="s">
        <v>433</v>
      </c>
      <c r="B247" s="63"/>
      <c r="C247" s="63"/>
      <c r="D247" s="63"/>
      <c r="E247" s="63"/>
    </row>
    <row r="248" spans="1:39" x14ac:dyDescent="0.25">
      <c r="A248" s="63"/>
      <c r="B248" s="63"/>
      <c r="C248" s="63"/>
      <c r="D248" s="63"/>
      <c r="E248" s="63"/>
    </row>
    <row r="249" spans="1:39" x14ac:dyDescent="0.25">
      <c r="A249" s="63" t="s">
        <v>434</v>
      </c>
      <c r="B249" s="63"/>
      <c r="C249" s="63"/>
      <c r="D249" s="63">
        <f>3*1*(0.5/12)*490</f>
        <v>61.25</v>
      </c>
      <c r="E249" s="63" t="s">
        <v>18</v>
      </c>
    </row>
    <row r="250" spans="1:39" x14ac:dyDescent="0.25">
      <c r="A250" s="57"/>
    </row>
    <row r="251" spans="1:39" x14ac:dyDescent="0.25">
      <c r="A251" s="212" t="s">
        <v>488</v>
      </c>
      <c r="B251" s="212"/>
      <c r="C251" s="212"/>
      <c r="D251" s="212"/>
      <c r="E251" s="212"/>
      <c r="F251" s="212"/>
      <c r="G251" s="212"/>
      <c r="H251" s="212"/>
      <c r="I251" s="212"/>
      <c r="J251" s="212"/>
    </row>
    <row r="252" spans="1:39" x14ac:dyDescent="0.25">
      <c r="A252" s="212"/>
      <c r="B252" s="212"/>
      <c r="C252" s="212"/>
      <c r="D252" s="212"/>
      <c r="E252" s="212"/>
      <c r="F252" s="212"/>
      <c r="G252" s="212"/>
      <c r="H252" s="212"/>
      <c r="I252" s="212"/>
      <c r="J252" s="212"/>
    </row>
    <row r="253" spans="1:39" x14ac:dyDescent="0.25">
      <c r="A253" s="212"/>
      <c r="B253" s="212"/>
      <c r="C253" s="212"/>
      <c r="D253" s="212"/>
      <c r="E253" s="212"/>
      <c r="F253" s="212"/>
      <c r="G253" s="212"/>
      <c r="H253" s="212"/>
      <c r="I253" s="212"/>
      <c r="J253" s="212"/>
    </row>
    <row r="254" spans="1:39" ht="15.6" x14ac:dyDescent="0.25">
      <c r="AM254" s="8"/>
    </row>
    <row r="255" spans="1:39" x14ac:dyDescent="0.25">
      <c r="H255" t="s">
        <v>338</v>
      </c>
      <c r="L255" t="s">
        <v>339</v>
      </c>
      <c r="P255" t="s">
        <v>340</v>
      </c>
      <c r="Q255">
        <f>2*(2.5+72+2.5)+(3*18)-(2*0.4375)</f>
        <v>207.125</v>
      </c>
      <c r="T255" t="s">
        <v>341</v>
      </c>
      <c r="X255" s="115"/>
    </row>
    <row r="256" spans="1:39" ht="44.55" x14ac:dyDescent="0.25">
      <c r="B256" s="116">
        <v>514</v>
      </c>
      <c r="C256" s="132" t="s">
        <v>94</v>
      </c>
      <c r="D256" s="115" t="s">
        <v>95</v>
      </c>
      <c r="E256" s="116" t="s">
        <v>40</v>
      </c>
      <c r="F256" s="12">
        <f>P274</f>
        <v>14323.231228073028</v>
      </c>
      <c r="H256" s="9" t="s">
        <v>418</v>
      </c>
      <c r="I256" s="10">
        <f>2*(33)+(3*11.5)-(2*0.5)</f>
        <v>99.5</v>
      </c>
      <c r="J256" s="10" t="s">
        <v>92</v>
      </c>
      <c r="K256" s="9" t="s">
        <v>93</v>
      </c>
      <c r="L256" s="9" t="s">
        <v>91</v>
      </c>
      <c r="M256" s="10">
        <v>0</v>
      </c>
      <c r="N256" s="10" t="s">
        <v>92</v>
      </c>
      <c r="O256" s="9" t="s">
        <v>93</v>
      </c>
      <c r="P256" s="9" t="s">
        <v>91</v>
      </c>
      <c r="Q256" s="10">
        <v>0</v>
      </c>
      <c r="R256" s="10" t="s">
        <v>92</v>
      </c>
      <c r="S256" s="9" t="s">
        <v>93</v>
      </c>
      <c r="T256" s="9" t="s">
        <v>91</v>
      </c>
      <c r="U256" s="10">
        <v>0</v>
      </c>
      <c r="V256" s="10" t="s">
        <v>92</v>
      </c>
      <c r="W256" s="9" t="s">
        <v>93</v>
      </c>
      <c r="X256" s="116"/>
    </row>
    <row r="257" spans="2:71" ht="133.65" x14ac:dyDescent="0.25">
      <c r="B257" s="116">
        <v>514</v>
      </c>
      <c r="C257" s="132" t="s">
        <v>96</v>
      </c>
      <c r="D257" s="115" t="s">
        <v>97</v>
      </c>
      <c r="E257" s="116" t="s">
        <v>40</v>
      </c>
      <c r="F257" s="12">
        <f>P274</f>
        <v>14323.231228073028</v>
      </c>
      <c r="H257" s="58" t="s">
        <v>483</v>
      </c>
      <c r="I257" s="10">
        <f>I256/12</f>
        <v>8.2916666666666661</v>
      </c>
      <c r="J257" s="10" t="s">
        <v>52</v>
      </c>
      <c r="K257" s="13"/>
      <c r="L257" s="58" t="s">
        <v>337</v>
      </c>
      <c r="M257" s="10">
        <f>M256/12</f>
        <v>0</v>
      </c>
      <c r="N257" s="10" t="s">
        <v>52</v>
      </c>
      <c r="O257" s="13"/>
      <c r="P257" s="58" t="s">
        <v>381</v>
      </c>
      <c r="Q257" s="10">
        <f>Q256/12</f>
        <v>0</v>
      </c>
      <c r="R257" s="10" t="s">
        <v>52</v>
      </c>
      <c r="S257" s="13"/>
      <c r="T257" s="58" t="s">
        <v>382</v>
      </c>
      <c r="U257" s="10">
        <f>U256/12</f>
        <v>0</v>
      </c>
      <c r="V257" s="10" t="s">
        <v>52</v>
      </c>
      <c r="W257" s="13"/>
      <c r="AH257" s="18" t="s">
        <v>479</v>
      </c>
      <c r="AI257" s="16"/>
      <c r="AJ257" s="16"/>
      <c r="AK257" s="16"/>
      <c r="AL257" s="16"/>
      <c r="AM257" s="16"/>
      <c r="AN257" s="16"/>
      <c r="AO257" s="16"/>
      <c r="AP257" s="16"/>
      <c r="AQ257" s="17"/>
    </row>
    <row r="258" spans="2:71" ht="59.4" x14ac:dyDescent="0.25">
      <c r="B258" s="116">
        <v>514</v>
      </c>
      <c r="C258" s="132" t="s">
        <v>98</v>
      </c>
      <c r="D258" s="115" t="s">
        <v>99</v>
      </c>
      <c r="E258" s="116" t="s">
        <v>40</v>
      </c>
      <c r="F258" s="12">
        <f>P274</f>
        <v>14323.231228073028</v>
      </c>
      <c r="H258" s="10" t="s">
        <v>100</v>
      </c>
      <c r="I258" s="10">
        <v>185</v>
      </c>
      <c r="J258" s="10" t="s">
        <v>52</v>
      </c>
      <c r="K258" s="10"/>
      <c r="L258" s="10" t="s">
        <v>100</v>
      </c>
      <c r="M258" s="10">
        <v>0</v>
      </c>
      <c r="N258" s="10" t="s">
        <v>52</v>
      </c>
      <c r="O258" s="10"/>
      <c r="P258" s="10" t="s">
        <v>100</v>
      </c>
      <c r="Q258" s="10">
        <v>0</v>
      </c>
      <c r="R258" s="10" t="s">
        <v>52</v>
      </c>
      <c r="S258" s="10"/>
      <c r="T258" s="10" t="s">
        <v>100</v>
      </c>
      <c r="U258" s="10">
        <v>0</v>
      </c>
      <c r="V258" s="10" t="s">
        <v>52</v>
      </c>
      <c r="W258" s="10"/>
      <c r="AH258" s="19"/>
      <c r="AM258" t="s">
        <v>102</v>
      </c>
      <c r="AO258" s="20">
        <v>8.1999999999999993</v>
      </c>
      <c r="AP258" s="28" t="s">
        <v>103</v>
      </c>
      <c r="AQ258" s="21"/>
    </row>
    <row r="259" spans="2:71" ht="44.55" x14ac:dyDescent="0.25">
      <c r="B259" s="116">
        <v>514</v>
      </c>
      <c r="C259" s="132" t="s">
        <v>104</v>
      </c>
      <c r="D259" s="115" t="s">
        <v>105</v>
      </c>
      <c r="E259" s="116" t="s">
        <v>40</v>
      </c>
      <c r="F259" s="12">
        <f>P274</f>
        <v>14323.231228073028</v>
      </c>
      <c r="H259" s="22" t="s">
        <v>106</v>
      </c>
      <c r="I259" s="23" t="s">
        <v>107</v>
      </c>
      <c r="J259" s="24"/>
      <c r="K259" s="22"/>
      <c r="L259" s="22" t="s">
        <v>106</v>
      </c>
      <c r="M259" s="23" t="s">
        <v>339</v>
      </c>
      <c r="N259" s="24"/>
      <c r="O259" s="22"/>
      <c r="P259" s="22" t="s">
        <v>106</v>
      </c>
      <c r="Q259" s="23" t="s">
        <v>340</v>
      </c>
      <c r="R259" s="24"/>
      <c r="S259" s="22"/>
      <c r="T259" s="22" t="s">
        <v>106</v>
      </c>
      <c r="U259" s="23" t="s">
        <v>341</v>
      </c>
      <c r="V259" s="24"/>
      <c r="W259" s="22"/>
      <c r="X259" s="117"/>
      <c r="Y259" s="223" t="s">
        <v>352</v>
      </c>
      <c r="Z259" s="224"/>
      <c r="AA259" s="224"/>
      <c r="AB259" s="224"/>
      <c r="AC259" s="224"/>
      <c r="AD259" s="224"/>
      <c r="AE259" s="224"/>
      <c r="AF259" s="225"/>
      <c r="AH259" s="19"/>
      <c r="AL259" s="28"/>
      <c r="AM259" s="28"/>
      <c r="AN259" s="28"/>
      <c r="AQ259" s="21"/>
    </row>
    <row r="260" spans="2:71" ht="44.55" x14ac:dyDescent="0.25">
      <c r="B260" s="116">
        <v>514</v>
      </c>
      <c r="C260" s="132" t="s">
        <v>109</v>
      </c>
      <c r="D260" s="133" t="s">
        <v>110</v>
      </c>
      <c r="E260" s="116" t="s">
        <v>111</v>
      </c>
      <c r="F260" s="134">
        <f>ROUNDUP(J262*J264/60,0)</f>
        <v>22</v>
      </c>
      <c r="H260" s="10" t="s">
        <v>112</v>
      </c>
      <c r="I260" s="10">
        <f>I258*I257</f>
        <v>1533.9583333333333</v>
      </c>
      <c r="J260" s="10" t="s">
        <v>113</v>
      </c>
      <c r="K260" s="10"/>
      <c r="L260" s="10" t="s">
        <v>112</v>
      </c>
      <c r="M260" s="10">
        <f>M258*M257</f>
        <v>0</v>
      </c>
      <c r="N260" s="10" t="s">
        <v>113</v>
      </c>
      <c r="O260" s="10"/>
      <c r="P260" s="10" t="s">
        <v>112</v>
      </c>
      <c r="Q260" s="10">
        <f>Q258*Q257</f>
        <v>0</v>
      </c>
      <c r="R260" s="10" t="s">
        <v>113</v>
      </c>
      <c r="S260" s="10"/>
      <c r="T260" s="10" t="s">
        <v>112</v>
      </c>
      <c r="U260" s="10">
        <f>U258*U257</f>
        <v>0</v>
      </c>
      <c r="V260" s="10" t="s">
        <v>113</v>
      </c>
      <c r="W260" s="10"/>
      <c r="X260" s="19"/>
      <c r="Y260" s="62"/>
      <c r="Z260" s="63" t="s">
        <v>114</v>
      </c>
      <c r="AA260" s="140">
        <v>6.96</v>
      </c>
      <c r="AB260" s="140" t="s">
        <v>52</v>
      </c>
      <c r="AC260" s="140"/>
      <c r="AD260" s="63"/>
      <c r="AE260" s="63"/>
      <c r="AF260" s="66"/>
      <c r="AH260" s="226" t="s">
        <v>352</v>
      </c>
      <c r="AI260" s="227"/>
      <c r="AJ260" s="227"/>
      <c r="AK260" s="227"/>
      <c r="AL260" s="227"/>
      <c r="AM260" s="227"/>
      <c r="AN260" s="227"/>
      <c r="AQ260" s="21"/>
      <c r="AW260" t="s">
        <v>387</v>
      </c>
    </row>
    <row r="261" spans="2:71" ht="30.45" thickBot="1" x14ac:dyDescent="0.4">
      <c r="B261" s="116">
        <v>514</v>
      </c>
      <c r="C261" s="36">
        <v>10000</v>
      </c>
      <c r="D261" s="133" t="s">
        <v>115</v>
      </c>
      <c r="E261" s="116" t="s">
        <v>116</v>
      </c>
      <c r="F261" s="30">
        <f>ROUNDUP(MAX(F256/1200,(J262*J264/150)),0)</f>
        <v>12</v>
      </c>
      <c r="H261" s="90" t="s">
        <v>117</v>
      </c>
      <c r="I261" s="91">
        <f>I260*1.1</f>
        <v>1687.3541666666667</v>
      </c>
      <c r="J261" s="90" t="s">
        <v>113</v>
      </c>
      <c r="K261" s="90"/>
      <c r="L261" s="10" t="s">
        <v>117</v>
      </c>
      <c r="M261" s="31">
        <f>M260*1.1</f>
        <v>0</v>
      </c>
      <c r="N261" s="10" t="s">
        <v>113</v>
      </c>
      <c r="O261" s="10"/>
      <c r="P261" s="10" t="s">
        <v>117</v>
      </c>
      <c r="Q261" s="31">
        <f>Q260*1.1</f>
        <v>0</v>
      </c>
      <c r="R261" s="10" t="s">
        <v>113</v>
      </c>
      <c r="S261" s="10"/>
      <c r="T261" s="10" t="s">
        <v>117</v>
      </c>
      <c r="U261" s="31">
        <f>U260*1.1</f>
        <v>0</v>
      </c>
      <c r="V261" s="10" t="s">
        <v>113</v>
      </c>
      <c r="W261" s="10"/>
      <c r="X261" s="19"/>
      <c r="Y261" s="62" t="s">
        <v>419</v>
      </c>
      <c r="Z261" s="65" t="s">
        <v>386</v>
      </c>
      <c r="AA261" s="63">
        <f>6.96*12</f>
        <v>83.52</v>
      </c>
      <c r="AB261" s="63" t="s">
        <v>92</v>
      </c>
      <c r="AC261" s="63"/>
      <c r="AD261" s="68"/>
      <c r="AE261" s="63"/>
      <c r="AF261" s="66"/>
      <c r="AH261" s="32"/>
      <c r="AI261" s="28"/>
      <c r="AJ261" s="28" t="s">
        <v>101</v>
      </c>
      <c r="AK261" s="28" t="s">
        <v>119</v>
      </c>
      <c r="AL261" s="28" t="s">
        <v>120</v>
      </c>
      <c r="AM261" s="28"/>
      <c r="AN261" s="28"/>
      <c r="AO261" s="25" t="s">
        <v>118</v>
      </c>
      <c r="AP261">
        <v>0.7</v>
      </c>
      <c r="AQ261" s="21" t="s">
        <v>92</v>
      </c>
      <c r="AW261" s="118" t="s">
        <v>357</v>
      </c>
      <c r="AX261" s="118">
        <v>10.25</v>
      </c>
      <c r="AY261" s="118" t="s">
        <v>52</v>
      </c>
      <c r="AZ261" s="118"/>
      <c r="BA261" s="118"/>
      <c r="BB261" s="118"/>
      <c r="BC261" s="118"/>
      <c r="BD261" s="118"/>
      <c r="BE261" s="118"/>
      <c r="BF261" s="118" t="s">
        <v>357</v>
      </c>
      <c r="BG261" s="118">
        <v>13.5</v>
      </c>
      <c r="BH261" s="118" t="s">
        <v>52</v>
      </c>
      <c r="BI261" s="118"/>
    </row>
    <row r="262" spans="2:71" x14ac:dyDescent="0.25">
      <c r="H262" s="92" t="s">
        <v>121</v>
      </c>
      <c r="I262" s="93"/>
      <c r="J262" s="94">
        <f>I258+M258+Q258+U258</f>
        <v>185</v>
      </c>
      <c r="K262" s="95" t="s">
        <v>52</v>
      </c>
      <c r="Y262" s="62"/>
      <c r="Z262" s="65" t="s">
        <v>422</v>
      </c>
      <c r="AA262" s="63">
        <f>30-2</f>
        <v>28</v>
      </c>
      <c r="AB262" s="63" t="s">
        <v>92</v>
      </c>
      <c r="AC262" s="63"/>
      <c r="AD262" s="68"/>
      <c r="AE262" s="63"/>
      <c r="AF262" s="66"/>
      <c r="AH262" s="32"/>
      <c r="AI262" s="28" t="s">
        <v>114</v>
      </c>
      <c r="AJ262" s="28">
        <v>9.93</v>
      </c>
      <c r="AK262" s="28">
        <f>AJ262/3</f>
        <v>3.31</v>
      </c>
      <c r="AL262" s="28">
        <f>AJ262/6</f>
        <v>1.655</v>
      </c>
      <c r="AM262" s="28"/>
      <c r="AN262" s="28"/>
      <c r="AO262" t="s">
        <v>92</v>
      </c>
      <c r="AQ262" s="21"/>
      <c r="AW262" s="118" t="s">
        <v>114</v>
      </c>
      <c r="AX262" s="118">
        <v>9.83</v>
      </c>
      <c r="AY262" s="118" t="s">
        <v>52</v>
      </c>
      <c r="AZ262" s="118"/>
      <c r="BA262" s="118"/>
      <c r="BB262" s="118"/>
      <c r="BC262" s="118"/>
      <c r="BD262" s="118"/>
      <c r="BE262" s="118"/>
      <c r="BF262" s="118" t="s">
        <v>114</v>
      </c>
      <c r="BG262" s="118">
        <v>9.83</v>
      </c>
      <c r="BH262" s="118" t="s">
        <v>52</v>
      </c>
      <c r="BI262" s="118"/>
    </row>
    <row r="263" spans="2:71" x14ac:dyDescent="0.25">
      <c r="H263" s="102" t="s">
        <v>342</v>
      </c>
      <c r="I263" s="103"/>
      <c r="J263" s="128">
        <f>(I261+M261+Q261+U261)</f>
        <v>1687.3541666666667</v>
      </c>
      <c r="K263" s="104" t="s">
        <v>113</v>
      </c>
      <c r="M263" t="s">
        <v>375</v>
      </c>
      <c r="N263" s="52">
        <f>BO270</f>
        <v>0</v>
      </c>
      <c r="O263" t="s">
        <v>126</v>
      </c>
      <c r="Y263" s="62"/>
      <c r="Z263" s="63"/>
      <c r="AA263" s="63"/>
      <c r="AB263" s="63"/>
      <c r="AC263" s="63"/>
      <c r="AD263" s="63"/>
      <c r="AE263" s="63"/>
      <c r="AF263" s="66"/>
      <c r="AH263" s="32"/>
      <c r="AI263" s="28" t="s">
        <v>321</v>
      </c>
      <c r="AJ263" s="28">
        <v>33</v>
      </c>
      <c r="AK263" s="36" t="s">
        <v>92</v>
      </c>
      <c r="AL263" s="28"/>
      <c r="AM263" s="28"/>
      <c r="AN263" s="28"/>
      <c r="AO263" t="s">
        <v>92</v>
      </c>
      <c r="AQ263" s="21"/>
      <c r="AW263" s="118" t="s">
        <v>356</v>
      </c>
      <c r="AX263" s="118">
        <f>2*(SQRT((AX275)^2+(AZ272)^2))</f>
        <v>28.403619487663892</v>
      </c>
      <c r="AY263" s="118" t="s">
        <v>52</v>
      </c>
      <c r="AZ263" s="118"/>
      <c r="BA263" s="118"/>
      <c r="BB263" s="118"/>
      <c r="BC263" s="118"/>
      <c r="BD263" s="118"/>
      <c r="BE263" s="118"/>
      <c r="BF263" s="118" t="s">
        <v>356</v>
      </c>
      <c r="BG263" s="118">
        <f>2*(SQRT((BG275)^2+(BI272)^2))</f>
        <v>33.399335322727609</v>
      </c>
      <c r="BH263" s="118" t="s">
        <v>52</v>
      </c>
      <c r="BI263" s="118"/>
      <c r="BL263" s="14"/>
      <c r="BM263" s="16"/>
      <c r="BN263" s="16"/>
      <c r="BO263" s="16"/>
      <c r="BP263" s="16"/>
      <c r="BQ263" s="16"/>
      <c r="BR263" s="16"/>
      <c r="BS263" s="17"/>
    </row>
    <row r="264" spans="2:71" x14ac:dyDescent="0.25">
      <c r="H264" s="96" t="s">
        <v>123</v>
      </c>
      <c r="I264" s="35"/>
      <c r="J264" s="10">
        <v>7</v>
      </c>
      <c r="K264" s="97"/>
      <c r="M264" t="s">
        <v>374</v>
      </c>
      <c r="N264" s="52">
        <f>BS290</f>
        <v>110.58406140636073</v>
      </c>
      <c r="O264" t="s">
        <v>126</v>
      </c>
      <c r="R264" s="14" t="s">
        <v>363</v>
      </c>
      <c r="S264" s="16" t="s">
        <v>423</v>
      </c>
      <c r="T264" s="16" t="s">
        <v>365</v>
      </c>
      <c r="U264" s="17" t="s">
        <v>424</v>
      </c>
      <c r="Y264" s="62"/>
      <c r="Z264" s="63"/>
      <c r="AA264" s="63"/>
      <c r="AB264" s="63"/>
      <c r="AC264" s="63"/>
      <c r="AD264" s="63"/>
      <c r="AE264" s="63"/>
      <c r="AF264" s="66"/>
      <c r="AH264" s="32"/>
      <c r="AI264" s="28"/>
      <c r="AJ264" s="28">
        <f>AJ263/12</f>
        <v>2.75</v>
      </c>
      <c r="AK264" s="36" t="s">
        <v>52</v>
      </c>
      <c r="AL264" s="37">
        <f>AI268^2+AI271^2</f>
        <v>18.518599999999999</v>
      </c>
      <c r="AM264" s="28"/>
      <c r="AN264" s="142">
        <f>AI268^2+AJ271^2</f>
        <v>10.301525</v>
      </c>
      <c r="AO264" t="s">
        <v>92</v>
      </c>
      <c r="AQ264" s="21"/>
      <c r="AW264" s="119" t="s">
        <v>343</v>
      </c>
      <c r="AX264" s="118">
        <f>0.33*4*AX263</f>
        <v>37.492777723716337</v>
      </c>
      <c r="AY264" s="118" t="s">
        <v>113</v>
      </c>
      <c r="AZ264" s="118"/>
      <c r="BA264" s="118"/>
      <c r="BB264" s="118"/>
      <c r="BC264" s="118"/>
      <c r="BD264" s="118"/>
      <c r="BE264" s="118"/>
      <c r="BF264" s="119" t="s">
        <v>343</v>
      </c>
      <c r="BG264" s="118">
        <f>0.33*4*BG263</f>
        <v>44.087122626000443</v>
      </c>
      <c r="BH264" s="118" t="s">
        <v>113</v>
      </c>
      <c r="BI264" s="118"/>
      <c r="BL264" s="19"/>
      <c r="BN264" t="s">
        <v>368</v>
      </c>
      <c r="BS264" s="21"/>
    </row>
    <row r="265" spans="2:71" ht="15.6" thickBot="1" x14ac:dyDescent="0.3">
      <c r="H265" s="98" t="s">
        <v>360</v>
      </c>
      <c r="I265" s="99"/>
      <c r="J265" s="100">
        <f>J263*J264</f>
        <v>11811.479166666668</v>
      </c>
      <c r="K265" s="101" t="s">
        <v>113</v>
      </c>
      <c r="R265" s="19" t="s">
        <v>490</v>
      </c>
      <c r="S265">
        <v>1.76</v>
      </c>
      <c r="T265">
        <v>1.76</v>
      </c>
      <c r="U265" s="21">
        <v>7</v>
      </c>
      <c r="Y265" s="62"/>
      <c r="Z265" s="63"/>
      <c r="AA265" s="63"/>
      <c r="AB265" s="63"/>
      <c r="AC265" s="63"/>
      <c r="AD265" s="63"/>
      <c r="AE265" s="63"/>
      <c r="AF265" s="66"/>
      <c r="AH265" s="32"/>
      <c r="AI265" s="28"/>
      <c r="AJ265" s="28"/>
      <c r="AK265" s="36"/>
      <c r="AL265" s="28"/>
      <c r="AM265" s="28"/>
      <c r="AN265" s="28"/>
      <c r="AQ265" s="21"/>
      <c r="AW265" s="120" t="s">
        <v>132</v>
      </c>
      <c r="AX265" s="118">
        <f>AX264*1.1</f>
        <v>41.242055496087971</v>
      </c>
      <c r="AY265" s="118" t="s">
        <v>113</v>
      </c>
      <c r="AZ265" s="118"/>
      <c r="BA265" s="118"/>
      <c r="BB265" s="118"/>
      <c r="BC265" s="118"/>
      <c r="BD265" s="118"/>
      <c r="BE265" s="118"/>
      <c r="BF265" s="120" t="s">
        <v>132</v>
      </c>
      <c r="BG265" s="118">
        <f>BG264*1.1</f>
        <v>48.495834888600491</v>
      </c>
      <c r="BH265" s="118" t="s">
        <v>113</v>
      </c>
      <c r="BI265" s="118"/>
      <c r="BL265" s="19"/>
      <c r="BM265" t="s">
        <v>370</v>
      </c>
      <c r="BN265" t="s">
        <v>364</v>
      </c>
      <c r="BO265">
        <f>(BM272*BL274)+(BS274*BP271)+(2*(BL274-BS274)*BP271/2)</f>
        <v>798</v>
      </c>
      <c r="BP265" t="s">
        <v>369</v>
      </c>
      <c r="BS265" s="21"/>
    </row>
    <row r="266" spans="2:71" x14ac:dyDescent="0.25">
      <c r="H266" s="4"/>
      <c r="R266" s="19" t="s">
        <v>358</v>
      </c>
      <c r="S266">
        <v>0</v>
      </c>
      <c r="T266">
        <v>0</v>
      </c>
      <c r="U266" s="21">
        <v>14</v>
      </c>
      <c r="Y266" s="62"/>
      <c r="Z266" s="63">
        <f>(Z267)/12</f>
        <v>2.3333333333333335</v>
      </c>
      <c r="AA266" s="63" t="s">
        <v>2</v>
      </c>
      <c r="AB266" s="63"/>
      <c r="AC266" s="63"/>
      <c r="AD266" s="63"/>
      <c r="AE266" s="63"/>
      <c r="AF266" s="66"/>
      <c r="AH266" s="32"/>
      <c r="AI266" s="28"/>
      <c r="AJ266" s="28"/>
      <c r="AK266" s="28"/>
      <c r="AL266" s="28"/>
      <c r="AM266" s="28"/>
      <c r="AN266" s="28"/>
      <c r="AP266">
        <v>1.333</v>
      </c>
      <c r="AQ266" s="21" t="s">
        <v>125</v>
      </c>
      <c r="AW266" s="118" t="s">
        <v>358</v>
      </c>
      <c r="AX266" s="118">
        <v>0</v>
      </c>
      <c r="AY266" s="118"/>
      <c r="AZ266" s="118"/>
      <c r="BA266" s="118"/>
      <c r="BB266" s="118"/>
      <c r="BC266" s="118"/>
      <c r="BD266" s="118"/>
      <c r="BE266" s="118"/>
      <c r="BF266" s="118" t="s">
        <v>358</v>
      </c>
      <c r="BG266" s="118">
        <v>0</v>
      </c>
      <c r="BH266" s="118"/>
      <c r="BI266" s="118"/>
      <c r="BL266" s="19"/>
      <c r="BM266" t="s">
        <v>371</v>
      </c>
      <c r="BN266" t="s">
        <v>364</v>
      </c>
      <c r="BO266">
        <f>0</f>
        <v>0</v>
      </c>
      <c r="BP266" t="s">
        <v>369</v>
      </c>
      <c r="BS266" s="21"/>
    </row>
    <row r="267" spans="2:71" x14ac:dyDescent="0.25">
      <c r="H267" s="14" t="s">
        <v>325</v>
      </c>
      <c r="I267" s="16"/>
      <c r="J267" s="16">
        <f>2*(6*72)/144</f>
        <v>6</v>
      </c>
      <c r="K267" s="17" t="s">
        <v>126</v>
      </c>
      <c r="R267" s="19" t="s">
        <v>491</v>
      </c>
      <c r="S267">
        <f>S265*S266</f>
        <v>0</v>
      </c>
      <c r="T267">
        <f>T265*T266</f>
        <v>0</v>
      </c>
      <c r="U267" s="21">
        <f>U265*U266</f>
        <v>98</v>
      </c>
      <c r="Y267" s="62"/>
      <c r="Z267" s="63">
        <f>AA262</f>
        <v>28</v>
      </c>
      <c r="AA267" s="63"/>
      <c r="AB267" s="63"/>
      <c r="AC267" s="63"/>
      <c r="AD267" s="63">
        <f>(SQRT((AB270/2)^2+(Z266)^2))</f>
        <v>4.189850169689179</v>
      </c>
      <c r="AE267" s="63" t="s">
        <v>2</v>
      </c>
      <c r="AF267" s="66"/>
      <c r="AH267" s="32"/>
      <c r="AI267" s="28"/>
      <c r="AJ267" s="37">
        <f>SQRT(AN264)</f>
        <v>3.2095988845960175</v>
      </c>
      <c r="AK267" s="37"/>
      <c r="AL267" s="28"/>
      <c r="AM267" s="37">
        <f>AH268</f>
        <v>4.3033242964015619</v>
      </c>
      <c r="AN267" s="28"/>
      <c r="AP267" s="1">
        <f>0.33*AP266*2</f>
        <v>0.87978000000000001</v>
      </c>
      <c r="AQ267" s="21" t="s">
        <v>126</v>
      </c>
      <c r="AW267" s="118" t="s">
        <v>359</v>
      </c>
      <c r="AX267" s="118">
        <f>AX266*AX265*2</f>
        <v>0</v>
      </c>
      <c r="AY267" s="118"/>
      <c r="AZ267" s="118"/>
      <c r="BA267" s="118"/>
      <c r="BB267" s="118"/>
      <c r="BC267" s="118"/>
      <c r="BD267" s="118"/>
      <c r="BE267" s="118"/>
      <c r="BF267" s="118" t="s">
        <v>359</v>
      </c>
      <c r="BG267" s="118">
        <f>BG266*BG265*2</f>
        <v>0</v>
      </c>
      <c r="BH267" s="118"/>
      <c r="BI267" s="118"/>
      <c r="BL267" s="19"/>
      <c r="BM267" t="s">
        <v>372</v>
      </c>
      <c r="BN267" t="s">
        <v>364</v>
      </c>
      <c r="BO267">
        <f>(BO265+BO266)/144*2</f>
        <v>11.083333333333334</v>
      </c>
      <c r="BP267" t="s">
        <v>113</v>
      </c>
      <c r="BS267" s="21"/>
    </row>
    <row r="268" spans="2:71" x14ac:dyDescent="0.25">
      <c r="H268" s="19" t="s">
        <v>187</v>
      </c>
      <c r="J268">
        <v>0</v>
      </c>
      <c r="K268" s="21" t="s">
        <v>329</v>
      </c>
      <c r="R268" s="19"/>
      <c r="U268" s="21"/>
      <c r="Y268" s="62"/>
      <c r="Z268" s="63"/>
      <c r="AA268" s="63"/>
      <c r="AB268" s="63"/>
      <c r="AC268" s="63"/>
      <c r="AD268" s="63"/>
      <c r="AE268" s="63"/>
      <c r="AF268" s="66"/>
      <c r="AH268" s="39">
        <f>SQRT(AL264)</f>
        <v>4.3033242964015619</v>
      </c>
      <c r="AI268" s="40">
        <f>AJ264</f>
        <v>2.75</v>
      </c>
      <c r="AJ268" s="28"/>
      <c r="AK268" s="28"/>
      <c r="AL268" s="28"/>
      <c r="AM268" s="28"/>
      <c r="AN268" s="28"/>
      <c r="AP268">
        <v>7</v>
      </c>
      <c r="AQ268" s="21" t="s">
        <v>125</v>
      </c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  <c r="BH268" s="118"/>
      <c r="BI268" s="118"/>
      <c r="BL268" s="19"/>
      <c r="BM268" t="s">
        <v>358</v>
      </c>
      <c r="BO268">
        <v>0</v>
      </c>
      <c r="BS268" s="21"/>
    </row>
    <row r="269" spans="2:71" x14ac:dyDescent="0.25">
      <c r="H269" s="19" t="s">
        <v>188</v>
      </c>
      <c r="J269" s="7">
        <f>J267*J268</f>
        <v>0</v>
      </c>
      <c r="K269" s="21" t="s">
        <v>126</v>
      </c>
      <c r="R269" s="19"/>
      <c r="S269" t="s">
        <v>351</v>
      </c>
      <c r="T269">
        <f>S267+T267+U267</f>
        <v>98</v>
      </c>
      <c r="U269" s="21"/>
      <c r="Y269" s="62"/>
      <c r="Z269" s="63"/>
      <c r="AA269" s="63"/>
      <c r="AB269" s="63"/>
      <c r="AC269" s="63"/>
      <c r="AD269" s="63"/>
      <c r="AE269" s="63"/>
      <c r="AF269" s="66"/>
      <c r="AH269" s="32"/>
      <c r="AI269" s="28"/>
      <c r="AJ269" s="28"/>
      <c r="AK269" s="28"/>
      <c r="AL269" s="28"/>
      <c r="AM269" s="28"/>
      <c r="AN269" s="28"/>
      <c r="AP269" s="1">
        <f>0.33*AP268*2</f>
        <v>4.62</v>
      </c>
      <c r="AQ269" s="21" t="s">
        <v>126</v>
      </c>
      <c r="AW269" s="118"/>
      <c r="AX269" s="118"/>
      <c r="AY269" s="118"/>
      <c r="AZ269" s="121"/>
      <c r="BA269" s="118"/>
      <c r="BB269" s="118"/>
      <c r="BC269" s="118"/>
      <c r="BD269" s="118"/>
      <c r="BE269" s="118"/>
      <c r="BF269" s="118"/>
      <c r="BG269" s="118"/>
      <c r="BH269" s="118"/>
      <c r="BI269" s="121"/>
      <c r="BL269" s="19"/>
      <c r="BM269" t="s">
        <v>373</v>
      </c>
      <c r="BO269">
        <f>BO267*BO268</f>
        <v>0</v>
      </c>
      <c r="BS269" s="21"/>
    </row>
    <row r="270" spans="2:71" x14ac:dyDescent="0.25">
      <c r="H270" s="49" t="s">
        <v>189</v>
      </c>
      <c r="I270" s="3"/>
      <c r="J270" s="3"/>
      <c r="K270" s="44"/>
      <c r="R270" s="49"/>
      <c r="S270" s="112" t="s">
        <v>367</v>
      </c>
      <c r="T270" s="59">
        <f>T269*1.1</f>
        <v>107.80000000000001</v>
      </c>
      <c r="U270" s="44"/>
      <c r="Y270" s="62"/>
      <c r="Z270" s="63"/>
      <c r="AA270" s="63"/>
      <c r="AB270" s="140">
        <f>AA260</f>
        <v>6.96</v>
      </c>
      <c r="AC270" s="63"/>
      <c r="AD270" s="63"/>
      <c r="AE270" s="63"/>
      <c r="AF270" s="66"/>
      <c r="AH270" s="32"/>
      <c r="AI270" s="28"/>
      <c r="AJ270" s="28"/>
      <c r="AK270" s="28"/>
      <c r="AL270" s="28"/>
      <c r="AM270" s="28"/>
      <c r="AN270" s="28"/>
      <c r="AQ270" s="21"/>
      <c r="AW270" s="118"/>
      <c r="AX270" s="118">
        <f>SQRT((AX275)^2+(AZ272)^2)</f>
        <v>14.201809743831946</v>
      </c>
      <c r="AY270" s="118"/>
      <c r="AZ270" s="121"/>
      <c r="BA270" s="118"/>
      <c r="BB270" s="118"/>
      <c r="BC270" s="118"/>
      <c r="BD270" s="118"/>
      <c r="BE270" s="118"/>
      <c r="BF270" s="118"/>
      <c r="BG270" s="118">
        <f>SQRT((BG275)^2+(BI272)^2)</f>
        <v>16.699667661363804</v>
      </c>
      <c r="BH270" s="118"/>
      <c r="BI270" s="121"/>
      <c r="BL270" s="19"/>
      <c r="BM270" t="s">
        <v>367</v>
      </c>
      <c r="BO270" s="7">
        <f>BO269*1.1</f>
        <v>0</v>
      </c>
      <c r="BS270" s="21"/>
    </row>
    <row r="271" spans="2:71" x14ac:dyDescent="0.25">
      <c r="Y271" s="62"/>
      <c r="Z271" s="63"/>
      <c r="AA271" s="63"/>
      <c r="AB271" s="63"/>
      <c r="AC271" s="63"/>
      <c r="AD271" s="63"/>
      <c r="AE271" s="63"/>
      <c r="AF271" s="66"/>
      <c r="AH271" s="32"/>
      <c r="AI271" s="37">
        <f>AJ262/3</f>
        <v>3.31</v>
      </c>
      <c r="AJ271" s="37">
        <f>AL262</f>
        <v>1.655</v>
      </c>
      <c r="AK271" s="28"/>
      <c r="AL271" s="28"/>
      <c r="AM271" s="28"/>
      <c r="AN271" s="28"/>
      <c r="AQ271" s="21"/>
      <c r="AW271" s="118"/>
      <c r="AX271" s="118"/>
      <c r="AY271" s="118"/>
      <c r="AZ271" s="121"/>
      <c r="BA271" s="118"/>
      <c r="BB271" s="118"/>
      <c r="BC271" s="118"/>
      <c r="BD271" s="118"/>
      <c r="BE271" s="118"/>
      <c r="BF271" s="118"/>
      <c r="BG271" s="118"/>
      <c r="BH271" s="118"/>
      <c r="BI271" s="121"/>
      <c r="BL271" s="19"/>
      <c r="BP271">
        <v>39</v>
      </c>
      <c r="BS271" s="21"/>
    </row>
    <row r="272" spans="2:71" ht="15.6" thickBot="1" x14ac:dyDescent="0.3">
      <c r="H272" s="14" t="s">
        <v>383</v>
      </c>
      <c r="I272" s="16"/>
      <c r="J272" s="16">
        <f>2*(8*72)/144</f>
        <v>8</v>
      </c>
      <c r="K272" s="17" t="s">
        <v>126</v>
      </c>
      <c r="Y272" s="62" t="s">
        <v>420</v>
      </c>
      <c r="Z272" s="63"/>
      <c r="AA272" s="63"/>
      <c r="AB272" s="140">
        <f>(2*AD267)+AB270</f>
        <v>15.339700339378357</v>
      </c>
      <c r="AC272" s="63" t="s">
        <v>125</v>
      </c>
      <c r="AD272" s="63"/>
      <c r="AE272" s="63"/>
      <c r="AF272" s="66"/>
      <c r="AH272" s="42"/>
      <c r="AI272" s="43"/>
      <c r="AJ272" s="43"/>
      <c r="AK272" s="43"/>
      <c r="AL272" s="43"/>
      <c r="AM272" s="43"/>
      <c r="AN272" s="43"/>
      <c r="AO272" s="3"/>
      <c r="AP272" s="3"/>
      <c r="AQ272" s="44"/>
      <c r="AW272" s="118"/>
      <c r="AX272" s="118"/>
      <c r="AY272" s="118"/>
      <c r="AZ272" s="121">
        <f>AX262</f>
        <v>9.83</v>
      </c>
      <c r="BA272" s="118"/>
      <c r="BB272" s="118"/>
      <c r="BC272" s="118"/>
      <c r="BD272" s="118"/>
      <c r="BE272" s="118"/>
      <c r="BF272" s="118"/>
      <c r="BG272" s="118"/>
      <c r="BH272" s="118"/>
      <c r="BI272" s="121">
        <f>BG262</f>
        <v>9.83</v>
      </c>
      <c r="BL272" s="19"/>
      <c r="BM272">
        <v>18</v>
      </c>
      <c r="BS272" s="21"/>
    </row>
    <row r="273" spans="8:72" x14ac:dyDescent="0.25">
      <c r="H273" s="19" t="s">
        <v>187</v>
      </c>
      <c r="J273">
        <v>0</v>
      </c>
      <c r="K273" s="21" t="s">
        <v>329</v>
      </c>
      <c r="O273" s="108" t="s">
        <v>362</v>
      </c>
      <c r="P273" s="109"/>
      <c r="Y273" s="62"/>
      <c r="Z273" s="63"/>
      <c r="AA273" s="63"/>
      <c r="AB273" s="63"/>
      <c r="AC273" s="63"/>
      <c r="AD273" s="63"/>
      <c r="AE273" s="63"/>
      <c r="AF273" s="66"/>
      <c r="AH273" s="45"/>
      <c r="AI273" s="46"/>
      <c r="AJ273" s="46" t="s">
        <v>130</v>
      </c>
      <c r="AK273" s="47" t="s">
        <v>480</v>
      </c>
      <c r="AL273" s="46"/>
      <c r="AM273" s="46"/>
      <c r="AN273" s="46"/>
      <c r="AO273" s="16"/>
      <c r="AP273" s="16"/>
      <c r="AQ273" s="17"/>
      <c r="AW273" s="118"/>
      <c r="AX273" s="118"/>
      <c r="AY273" s="118"/>
      <c r="AZ273" s="121"/>
      <c r="BA273" s="118"/>
      <c r="BB273" s="118"/>
      <c r="BC273" s="118"/>
      <c r="BD273" s="118"/>
      <c r="BE273" s="118"/>
      <c r="BF273" s="118"/>
      <c r="BG273" s="118"/>
      <c r="BH273" s="118"/>
      <c r="BI273" s="121"/>
      <c r="BL273" s="19"/>
      <c r="BS273" s="21"/>
    </row>
    <row r="274" spans="8:72" ht="15.6" thickBot="1" x14ac:dyDescent="0.3">
      <c r="H274" s="19" t="s">
        <v>188</v>
      </c>
      <c r="J274" s="7">
        <f>J272*J273</f>
        <v>0</v>
      </c>
      <c r="K274" s="21" t="s">
        <v>126</v>
      </c>
      <c r="O274" s="110" t="s">
        <v>351</v>
      </c>
      <c r="P274" s="111">
        <f>J265+J269+J274+I283+I293+I302+T270+N263+N264</f>
        <v>14323.231228073028</v>
      </c>
      <c r="Y274" s="141" t="s">
        <v>421</v>
      </c>
      <c r="Z274" s="63"/>
      <c r="AA274" s="63"/>
      <c r="AB274" s="71">
        <f>0.25*4*AB272</f>
        <v>15.339700339378357</v>
      </c>
      <c r="AC274" s="63" t="s">
        <v>126</v>
      </c>
      <c r="AD274" s="63"/>
      <c r="AE274" s="63"/>
      <c r="AF274" s="66"/>
      <c r="AH274" s="42"/>
      <c r="AI274" s="43"/>
      <c r="AJ274" s="43"/>
      <c r="AK274" s="43">
        <f>AJ262+(2*AH268)+(2*AJ267)</f>
        <v>24.95584636199516</v>
      </c>
      <c r="AL274" s="43" t="s">
        <v>52</v>
      </c>
      <c r="AM274" s="43"/>
      <c r="AN274" s="43"/>
      <c r="AO274" s="3"/>
      <c r="AP274" s="3"/>
      <c r="AQ274" s="44"/>
      <c r="AW274" s="118"/>
      <c r="AX274" s="118"/>
      <c r="AY274" s="118"/>
      <c r="AZ274" s="121"/>
      <c r="BA274" s="118"/>
      <c r="BB274" s="118"/>
      <c r="BC274" s="118"/>
      <c r="BD274" s="118"/>
      <c r="BE274" s="118"/>
      <c r="BF274" s="118"/>
      <c r="BG274" s="118"/>
      <c r="BH274" s="118"/>
      <c r="BI274" s="121"/>
      <c r="BL274" s="19">
        <v>14</v>
      </c>
      <c r="BS274" s="21">
        <v>6</v>
      </c>
    </row>
    <row r="275" spans="8:72" x14ac:dyDescent="0.25">
      <c r="H275" s="49" t="s">
        <v>189</v>
      </c>
      <c r="I275" s="3"/>
      <c r="J275" s="3"/>
      <c r="K275" s="44"/>
      <c r="Y275" s="62" t="s">
        <v>132</v>
      </c>
      <c r="Z275" s="63"/>
      <c r="AA275" s="63" t="s">
        <v>133</v>
      </c>
      <c r="AB275" s="140">
        <f>AB274*1.1</f>
        <v>16.873670373316195</v>
      </c>
      <c r="AC275" s="63" t="s">
        <v>126</v>
      </c>
      <c r="AD275" s="63"/>
      <c r="AE275" s="63"/>
      <c r="AF275" s="66"/>
      <c r="AH275" s="45"/>
      <c r="AI275" s="46"/>
      <c r="AJ275" s="46"/>
      <c r="AK275" s="46"/>
      <c r="AL275" s="46"/>
      <c r="AM275" s="46"/>
      <c r="AN275" s="46"/>
      <c r="AO275" s="16"/>
      <c r="AP275" s="16"/>
      <c r="AQ275" s="17"/>
      <c r="AW275" s="122"/>
      <c r="AX275" s="122">
        <f>AX261</f>
        <v>10.25</v>
      </c>
      <c r="AY275" s="122"/>
      <c r="AZ275" s="118"/>
      <c r="BA275" s="118"/>
      <c r="BB275" s="118"/>
      <c r="BC275" s="118"/>
      <c r="BD275" s="118"/>
      <c r="BE275" s="118"/>
      <c r="BF275" s="122"/>
      <c r="BG275" s="122">
        <f>BG261</f>
        <v>13.5</v>
      </c>
      <c r="BH275" s="122"/>
      <c r="BI275" s="118"/>
      <c r="BL275" s="19"/>
      <c r="BS275" s="21"/>
    </row>
    <row r="276" spans="8:72" x14ac:dyDescent="0.25">
      <c r="Y276" s="62"/>
      <c r="Z276" s="63"/>
      <c r="AA276" s="63"/>
      <c r="AB276" s="140"/>
      <c r="AC276" s="63"/>
      <c r="AD276" s="63"/>
      <c r="AE276" s="63"/>
      <c r="AF276" s="66"/>
      <c r="AH276" s="32"/>
      <c r="AI276" s="28"/>
      <c r="AJ276" s="28"/>
      <c r="AK276" s="28"/>
      <c r="AL276" s="28"/>
      <c r="AM276" s="28"/>
      <c r="AN276" s="28"/>
      <c r="AQ276" s="21"/>
      <c r="AW276" s="118"/>
      <c r="AX276" s="118"/>
      <c r="AY276" s="118"/>
      <c r="AZ276" s="118"/>
      <c r="BA276" s="118"/>
      <c r="BB276" s="118"/>
      <c r="BC276" s="118"/>
      <c r="BD276" s="118"/>
      <c r="BE276" s="118"/>
      <c r="BF276" s="118"/>
      <c r="BG276" s="118"/>
      <c r="BH276" s="118"/>
      <c r="BI276" s="118"/>
      <c r="BL276" s="19"/>
      <c r="BS276" s="21"/>
    </row>
    <row r="277" spans="8:72" x14ac:dyDescent="0.25">
      <c r="H277" t="s">
        <v>435</v>
      </c>
      <c r="Y277" s="82"/>
      <c r="Z277" s="76"/>
      <c r="AA277" s="76"/>
      <c r="AB277" s="76"/>
      <c r="AC277" s="76"/>
      <c r="AD277" s="76"/>
      <c r="AE277" s="76"/>
      <c r="AF277" s="77"/>
      <c r="AH277" s="32"/>
      <c r="AI277" s="28" t="s">
        <v>134</v>
      </c>
      <c r="AJ277" s="28"/>
      <c r="AK277" s="28">
        <f>AK274*(0.3333*4)</f>
        <v>33.271134369811946</v>
      </c>
      <c r="AL277" s="28" t="s">
        <v>126</v>
      </c>
      <c r="AM277" s="28"/>
      <c r="AN277" s="28"/>
      <c r="AQ277" s="21"/>
      <c r="AW277" s="118"/>
      <c r="AX277" s="118"/>
      <c r="AY277" s="118"/>
      <c r="AZ277" s="118"/>
      <c r="BA277" s="118"/>
      <c r="BB277" s="118"/>
      <c r="BC277" s="118"/>
      <c r="BD277" s="118"/>
      <c r="BE277" s="118"/>
      <c r="BF277" s="118"/>
      <c r="BG277" s="118"/>
      <c r="BH277" s="118"/>
      <c r="BI277" s="118"/>
      <c r="BL277" s="19"/>
      <c r="BS277" s="21"/>
    </row>
    <row r="278" spans="8:72" x14ac:dyDescent="0.25">
      <c r="H278" s="10" t="s">
        <v>91</v>
      </c>
      <c r="I278" s="10">
        <v>1.33</v>
      </c>
      <c r="J278" s="10" t="s">
        <v>52</v>
      </c>
      <c r="K278" s="10"/>
      <c r="AH278" s="42"/>
      <c r="AI278" s="43" t="s">
        <v>135</v>
      </c>
      <c r="AJ278" s="43"/>
      <c r="AK278" s="43"/>
      <c r="AL278" s="43"/>
      <c r="AM278" s="43"/>
      <c r="AN278" s="43"/>
      <c r="AO278" s="3"/>
      <c r="AP278" s="3"/>
      <c r="AQ278" s="44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  <c r="BH278" s="118"/>
      <c r="BI278" s="118"/>
      <c r="BL278" s="19"/>
      <c r="BS278" s="21"/>
    </row>
    <row r="279" spans="8:72" x14ac:dyDescent="0.25">
      <c r="H279" s="10" t="s">
        <v>100</v>
      </c>
      <c r="I279" s="41">
        <v>24.96</v>
      </c>
      <c r="J279" s="10" t="s">
        <v>52</v>
      </c>
      <c r="K279" s="10"/>
      <c r="AH279" s="14"/>
      <c r="AI279" s="16"/>
      <c r="AJ279" s="16"/>
      <c r="AK279" s="16"/>
      <c r="AL279" s="16"/>
      <c r="AM279" s="16"/>
      <c r="AN279" s="16"/>
      <c r="AO279" s="16"/>
      <c r="AP279" s="16"/>
      <c r="AQ279" s="17"/>
      <c r="AW279" s="118" t="s">
        <v>357</v>
      </c>
      <c r="AX279" s="118">
        <v>10.792</v>
      </c>
      <c r="AY279" s="118" t="s">
        <v>52</v>
      </c>
      <c r="AZ279" s="118"/>
      <c r="BA279" s="118"/>
      <c r="BB279" s="118"/>
      <c r="BC279" s="118"/>
      <c r="BD279" s="118"/>
      <c r="BE279" s="118"/>
      <c r="BF279" s="118" t="s">
        <v>357</v>
      </c>
      <c r="BG279" s="118">
        <v>10.916700000000001</v>
      </c>
      <c r="BH279" s="118" t="s">
        <v>52</v>
      </c>
      <c r="BI279" s="118"/>
      <c r="BL279" s="19">
        <v>1.375</v>
      </c>
      <c r="BS279" s="21"/>
    </row>
    <row r="280" spans="8:72" x14ac:dyDescent="0.25">
      <c r="H280" s="10" t="s">
        <v>106</v>
      </c>
      <c r="I280" t="s">
        <v>355</v>
      </c>
      <c r="K280" s="10"/>
      <c r="Y280" s="14"/>
      <c r="Z280" s="15" t="s">
        <v>384</v>
      </c>
      <c r="AA280" s="16"/>
      <c r="AB280" s="16"/>
      <c r="AC280" s="16"/>
      <c r="AD280" s="16"/>
      <c r="AE280" s="16"/>
      <c r="AF280" s="17"/>
      <c r="AH280" s="19"/>
      <c r="AI280" s="222" t="s">
        <v>136</v>
      </c>
      <c r="AQ280" s="21"/>
      <c r="AW280" s="118" t="s">
        <v>114</v>
      </c>
      <c r="AX280" s="118">
        <v>9.83</v>
      </c>
      <c r="AY280" s="118" t="s">
        <v>52</v>
      </c>
      <c r="AZ280" s="118"/>
      <c r="BA280" s="118"/>
      <c r="BB280" s="118"/>
      <c r="BC280" s="118"/>
      <c r="BD280" s="118"/>
      <c r="BE280" s="118"/>
      <c r="BF280" s="118" t="s">
        <v>114</v>
      </c>
      <c r="BG280" s="118">
        <v>9.83</v>
      </c>
      <c r="BH280" s="118" t="s">
        <v>52</v>
      </c>
      <c r="BI280" s="118"/>
      <c r="BL280" s="19"/>
      <c r="BS280" s="21"/>
    </row>
    <row r="281" spans="8:72" x14ac:dyDescent="0.25">
      <c r="H281" s="10" t="s">
        <v>128</v>
      </c>
      <c r="I281" s="33">
        <v>0</v>
      </c>
      <c r="J281" s="35"/>
      <c r="K281" s="10"/>
      <c r="Y281" s="19"/>
      <c r="AA281" t="s">
        <v>101</v>
      </c>
      <c r="AH281" s="19"/>
      <c r="AI281" s="222"/>
      <c r="AK281">
        <f>AO258*AK274</f>
        <v>204.6379401683603</v>
      </c>
      <c r="AL281" t="s">
        <v>137</v>
      </c>
      <c r="AQ281" s="21"/>
      <c r="AW281" s="118" t="s">
        <v>356</v>
      </c>
      <c r="AX281" s="118">
        <f>2*(SQRT((AX293)^2+(AZ290)^2))</f>
        <v>29.195627343833529</v>
      </c>
      <c r="AY281" s="118" t="s">
        <v>52</v>
      </c>
      <c r="AZ281" s="118"/>
      <c r="BA281" s="118"/>
      <c r="BB281" s="118"/>
      <c r="BC281" s="118"/>
      <c r="BD281" s="118"/>
      <c r="BE281" s="118"/>
      <c r="BF281" s="118" t="s">
        <v>356</v>
      </c>
      <c r="BG281" s="118">
        <f>2*(SQRT((BG293)^2+(BI290)^2))</f>
        <v>29.380485965347816</v>
      </c>
      <c r="BH281" s="118" t="s">
        <v>52</v>
      </c>
      <c r="BI281" s="118"/>
      <c r="BL281" s="19"/>
      <c r="BO281">
        <f>BM272+BP271</f>
        <v>57</v>
      </c>
      <c r="BS281" s="21"/>
    </row>
    <row r="282" spans="8:72" x14ac:dyDescent="0.25">
      <c r="H282" s="10" t="s">
        <v>112</v>
      </c>
      <c r="I282" s="10">
        <f>I279*I278*I281</f>
        <v>0</v>
      </c>
      <c r="J282" s="10" t="s">
        <v>113</v>
      </c>
      <c r="K282" s="10"/>
      <c r="Y282" s="19"/>
      <c r="AD282" s="25"/>
      <c r="AF282" s="21"/>
      <c r="AH282" s="49"/>
      <c r="AI282" s="228"/>
      <c r="AJ282" s="3"/>
      <c r="AK282" s="3"/>
      <c r="AL282" s="3"/>
      <c r="AM282" s="3"/>
      <c r="AN282" s="3"/>
      <c r="AO282" s="3"/>
      <c r="AP282" s="3"/>
      <c r="AQ282" s="44"/>
      <c r="AW282" s="119" t="s">
        <v>343</v>
      </c>
      <c r="AX282" s="118">
        <f>0.33*4*AX281</f>
        <v>38.538228093860262</v>
      </c>
      <c r="AY282" s="118" t="s">
        <v>113</v>
      </c>
      <c r="AZ282" s="118"/>
      <c r="BA282" s="118"/>
      <c r="BB282" s="118"/>
      <c r="BC282" s="118"/>
      <c r="BD282" s="118"/>
      <c r="BE282" s="118"/>
      <c r="BF282" s="119" t="s">
        <v>343</v>
      </c>
      <c r="BG282" s="118">
        <f>0.33*4*BG281</f>
        <v>38.782241474259116</v>
      </c>
      <c r="BH282" s="118" t="s">
        <v>113</v>
      </c>
      <c r="BI282" s="118"/>
      <c r="BL282" s="49"/>
      <c r="BM282" s="3"/>
      <c r="BN282" s="3"/>
      <c r="BO282" s="3"/>
      <c r="BP282" s="3"/>
      <c r="BQ282" s="3"/>
      <c r="BR282" s="3"/>
      <c r="BS282" s="44"/>
    </row>
    <row r="283" spans="8:72" x14ac:dyDescent="0.25">
      <c r="H283" s="106" t="s">
        <v>354</v>
      </c>
      <c r="I283" s="31">
        <f>I282*1.1</f>
        <v>0</v>
      </c>
      <c r="J283" s="10" t="s">
        <v>113</v>
      </c>
      <c r="K283" s="10"/>
      <c r="Y283" s="19"/>
      <c r="Z283" t="s">
        <v>114</v>
      </c>
      <c r="AA283" s="27">
        <v>8</v>
      </c>
      <c r="AB283" s="27" t="s">
        <v>52</v>
      </c>
      <c r="AC283" s="27"/>
      <c r="AF283" s="21"/>
      <c r="AH283" s="14"/>
      <c r="AI283" s="16"/>
      <c r="AJ283" s="16"/>
      <c r="AK283" s="16"/>
      <c r="AL283" s="16"/>
      <c r="AM283" s="16"/>
      <c r="AN283" s="16"/>
      <c r="AO283" s="16"/>
      <c r="AP283" s="16"/>
      <c r="AQ283" s="17"/>
      <c r="AW283" s="120" t="s">
        <v>132</v>
      </c>
      <c r="AX283" s="118">
        <f>AX282*1.1</f>
        <v>42.392050903246293</v>
      </c>
      <c r="AY283" s="118" t="s">
        <v>113</v>
      </c>
      <c r="AZ283" s="118"/>
      <c r="BA283" s="118"/>
      <c r="BB283" s="118"/>
      <c r="BC283" s="118"/>
      <c r="BD283" s="118"/>
      <c r="BE283" s="118"/>
      <c r="BF283" s="120" t="s">
        <v>132</v>
      </c>
      <c r="BG283" s="118">
        <f>BG282*1.1</f>
        <v>42.660465621685034</v>
      </c>
      <c r="BH283" s="118" t="s">
        <v>113</v>
      </c>
      <c r="BI283" s="118"/>
    </row>
    <row r="284" spans="8:72" x14ac:dyDescent="0.25">
      <c r="I284" s="105"/>
      <c r="Y284" s="19"/>
      <c r="AA284" s="27"/>
      <c r="AB284" s="27"/>
      <c r="AC284" s="27"/>
      <c r="AF284" s="21"/>
      <c r="AH284" s="19"/>
      <c r="AQ284" s="21"/>
      <c r="AW284" s="118" t="s">
        <v>358</v>
      </c>
      <c r="AX284" s="118">
        <v>0</v>
      </c>
      <c r="AY284" s="118"/>
      <c r="AZ284" s="118"/>
      <c r="BA284" s="118"/>
      <c r="BB284" s="118"/>
      <c r="BC284" s="118">
        <f>AX267+BG267+AX285+BG285+AX304+BG304+AX345+BG345</f>
        <v>0</v>
      </c>
      <c r="BD284" s="118"/>
      <c r="BE284" s="118"/>
      <c r="BF284" s="118" t="s">
        <v>358</v>
      </c>
      <c r="BG284" s="118">
        <v>0</v>
      </c>
      <c r="BH284" s="118"/>
      <c r="BI284" s="118"/>
    </row>
    <row r="285" spans="8:72" x14ac:dyDescent="0.25">
      <c r="H285" t="s">
        <v>384</v>
      </c>
      <c r="Y285" s="19" t="s">
        <v>481</v>
      </c>
      <c r="Z285" s="28" t="s">
        <v>482</v>
      </c>
      <c r="AA285">
        <f>33</f>
        <v>33</v>
      </c>
      <c r="AB285" t="s">
        <v>92</v>
      </c>
      <c r="AD285" s="25"/>
      <c r="AF285" s="21"/>
      <c r="AH285" s="19"/>
      <c r="AI285" s="222" t="s">
        <v>138</v>
      </c>
      <c r="AK285">
        <f>1.1*AK281</f>
        <v>225.10173418519636</v>
      </c>
      <c r="AL285" t="s">
        <v>137</v>
      </c>
      <c r="AQ285" s="21"/>
      <c r="AW285" s="118" t="s">
        <v>359</v>
      </c>
      <c r="AX285" s="118">
        <f>AX284*AX283*2</f>
        <v>0</v>
      </c>
      <c r="AY285" s="118"/>
      <c r="AZ285" s="118"/>
      <c r="BA285" s="118"/>
      <c r="BB285" s="118"/>
      <c r="BC285" s="118"/>
      <c r="BD285" s="118"/>
      <c r="BE285" s="118"/>
      <c r="BF285" s="118" t="s">
        <v>359</v>
      </c>
      <c r="BG285" s="118">
        <f>BG284*BG283*2</f>
        <v>0</v>
      </c>
      <c r="BH285" s="118"/>
      <c r="BI285" s="118"/>
    </row>
    <row r="286" spans="8:72" x14ac:dyDescent="0.25">
      <c r="H286" s="10" t="s">
        <v>344</v>
      </c>
      <c r="I286" s="10">
        <v>1</v>
      </c>
      <c r="J286" s="10" t="s">
        <v>52</v>
      </c>
      <c r="K286" s="10"/>
      <c r="Y286" s="107"/>
      <c r="AA286">
        <f>AA285/12</f>
        <v>2.75</v>
      </c>
      <c r="AB286" t="s">
        <v>52</v>
      </c>
      <c r="AD286" s="25"/>
      <c r="AF286" s="21"/>
      <c r="AH286" s="49"/>
      <c r="AI286" s="228"/>
      <c r="AJ286" s="3"/>
      <c r="AK286" s="3"/>
      <c r="AL286" s="3"/>
      <c r="AM286" s="3"/>
      <c r="AN286" s="3"/>
      <c r="AO286" s="3"/>
      <c r="AP286" s="3"/>
      <c r="AQ286" s="44"/>
      <c r="AW286" s="118"/>
      <c r="AX286" s="118"/>
      <c r="AY286" s="118"/>
      <c r="AZ286" s="118"/>
      <c r="BA286" s="118"/>
      <c r="BB286" s="118"/>
      <c r="BC286" s="118"/>
      <c r="BD286" s="118"/>
      <c r="BE286" s="118"/>
      <c r="BF286" s="118"/>
      <c r="BG286" s="118"/>
      <c r="BH286" s="118"/>
      <c r="BI286" s="118"/>
      <c r="BM286" t="s">
        <v>374</v>
      </c>
    </row>
    <row r="287" spans="8:72" x14ac:dyDescent="0.25">
      <c r="H287" s="10" t="s">
        <v>345</v>
      </c>
      <c r="I287">
        <v>1</v>
      </c>
      <c r="J287" s="10" t="s">
        <v>52</v>
      </c>
      <c r="K287" s="10"/>
      <c r="Y287" s="19"/>
      <c r="AF287" s="21"/>
      <c r="AH287" s="14"/>
      <c r="AI287" s="16"/>
      <c r="AJ287" s="16"/>
      <c r="AK287" s="16"/>
      <c r="AL287" s="16"/>
      <c r="AM287" s="16"/>
      <c r="AN287" s="16"/>
      <c r="AO287" s="16"/>
      <c r="AP287" s="16"/>
      <c r="AQ287" s="17"/>
      <c r="AW287" s="118"/>
      <c r="AX287" s="118"/>
      <c r="AY287" s="118"/>
      <c r="AZ287" s="121"/>
      <c r="BA287" s="118"/>
      <c r="BB287" s="118"/>
      <c r="BC287" s="118"/>
      <c r="BD287" s="118"/>
      <c r="BE287" s="118"/>
      <c r="BF287" s="118"/>
      <c r="BG287" s="118"/>
      <c r="BH287" s="118"/>
      <c r="BI287" s="121"/>
      <c r="BO287">
        <v>8</v>
      </c>
      <c r="BP287" t="s">
        <v>92</v>
      </c>
      <c r="BR287" t="s">
        <v>364</v>
      </c>
      <c r="BS287">
        <f>PI()*BO287/12*BQ294</f>
        <v>8.3775804095727811</v>
      </c>
    </row>
    <row r="288" spans="8:72" x14ac:dyDescent="0.25">
      <c r="H288" s="10" t="s">
        <v>346</v>
      </c>
      <c r="I288" s="41">
        <v>8.41</v>
      </c>
      <c r="J288" s="10" t="s">
        <v>52</v>
      </c>
      <c r="K288" s="10"/>
      <c r="Y288" s="19"/>
      <c r="AF288" s="21"/>
      <c r="AH288" s="19"/>
      <c r="AI288" s="222" t="s">
        <v>139</v>
      </c>
      <c r="AK288">
        <v>12</v>
      </c>
      <c r="AQ288" s="21"/>
      <c r="AW288" s="118"/>
      <c r="AX288" s="118">
        <f>SQRT((AX293)^2+(AZ290)^2)</f>
        <v>14.597813671916764</v>
      </c>
      <c r="AY288" s="118"/>
      <c r="AZ288" s="121"/>
      <c r="BA288" s="118"/>
      <c r="BB288" s="118"/>
      <c r="BC288" s="118"/>
      <c r="BD288" s="118"/>
      <c r="BE288" s="118"/>
      <c r="BF288" s="118"/>
      <c r="BG288" s="118">
        <f>SQRT((BG293)^2+(BI290)^2)</f>
        <v>14.690242982673908</v>
      </c>
      <c r="BH288" s="118"/>
      <c r="BI288" s="121"/>
      <c r="BR288" t="s">
        <v>358</v>
      </c>
      <c r="BS288">
        <v>12</v>
      </c>
      <c r="BT288" t="s">
        <v>116</v>
      </c>
    </row>
    <row r="289" spans="1:72" x14ac:dyDescent="0.25">
      <c r="H289" s="10" t="s">
        <v>347</v>
      </c>
      <c r="I289">
        <v>8</v>
      </c>
      <c r="J289" s="10" t="s">
        <v>52</v>
      </c>
      <c r="K289" s="10"/>
      <c r="Y289" s="19"/>
      <c r="AF289" s="21"/>
      <c r="AH289" s="19"/>
      <c r="AI289" s="222"/>
      <c r="AQ289" s="21"/>
      <c r="AW289" s="118"/>
      <c r="AX289" s="118"/>
      <c r="AY289" s="118"/>
      <c r="AZ289" s="121"/>
      <c r="BA289" s="118"/>
      <c r="BB289" s="118"/>
      <c r="BC289" s="118"/>
      <c r="BD289" s="118"/>
      <c r="BE289" s="118"/>
      <c r="BF289" s="118"/>
      <c r="BG289" s="118"/>
      <c r="BH289" s="118"/>
      <c r="BI289" s="121"/>
      <c r="BR289" t="s">
        <v>361</v>
      </c>
      <c r="BS289">
        <f>BS287*BS288</f>
        <v>100.53096491487338</v>
      </c>
    </row>
    <row r="290" spans="1:72" x14ac:dyDescent="0.25">
      <c r="H290" s="10" t="s">
        <v>106</v>
      </c>
      <c r="I290" s="33" t="s">
        <v>193</v>
      </c>
      <c r="J290" s="35"/>
      <c r="K290" s="10"/>
      <c r="Y290" s="19"/>
      <c r="Z290">
        <f>(AA285-2)/12</f>
        <v>2.5833333333333335</v>
      </c>
      <c r="AA290" t="s">
        <v>2</v>
      </c>
      <c r="AC290">
        <f>SQRT((AB294)^2+(Z290)^2)</f>
        <v>8.4067598461661266</v>
      </c>
      <c r="AD290" t="s">
        <v>2</v>
      </c>
      <c r="AF290" s="21"/>
      <c r="AH290" s="49"/>
      <c r="AI290" s="3"/>
      <c r="AJ290" s="3"/>
      <c r="AK290" s="3"/>
      <c r="AL290" s="3"/>
      <c r="AM290" s="3"/>
      <c r="AN290" s="3"/>
      <c r="AO290" s="3"/>
      <c r="AP290" s="3"/>
      <c r="AQ290" s="44"/>
      <c r="AW290" s="118"/>
      <c r="AX290" s="118"/>
      <c r="AY290" s="118"/>
      <c r="AZ290" s="121">
        <f>AX280</f>
        <v>9.83</v>
      </c>
      <c r="BA290" s="118"/>
      <c r="BB290" s="118"/>
      <c r="BC290" s="118"/>
      <c r="BD290" s="118"/>
      <c r="BE290" s="118"/>
      <c r="BF290" s="118"/>
      <c r="BG290" s="118"/>
      <c r="BH290" s="118"/>
      <c r="BI290" s="121">
        <f>BG280</f>
        <v>9.83</v>
      </c>
      <c r="BR290" t="s">
        <v>367</v>
      </c>
      <c r="BS290" s="7">
        <f>BS289*1.1</f>
        <v>110.58406140636073</v>
      </c>
      <c r="BT290" t="s">
        <v>40</v>
      </c>
    </row>
    <row r="291" spans="1:72" ht="89.1" x14ac:dyDescent="0.25">
      <c r="H291" s="10" t="s">
        <v>128</v>
      </c>
      <c r="I291" s="33">
        <v>84</v>
      </c>
      <c r="J291" s="35"/>
      <c r="K291" s="10"/>
      <c r="Y291" s="19"/>
      <c r="Z291">
        <f>Z290*12</f>
        <v>31</v>
      </c>
      <c r="AF291" s="21"/>
      <c r="AH291" s="33"/>
      <c r="AI291" s="53" t="s">
        <v>140</v>
      </c>
      <c r="AJ291" s="34"/>
      <c r="AK291" s="34">
        <f>AK285*AK288</f>
        <v>2701.2208102223562</v>
      </c>
      <c r="AL291" s="34" t="s">
        <v>137</v>
      </c>
      <c r="AM291" s="34"/>
      <c r="AN291" s="34"/>
      <c r="AO291" s="34"/>
      <c r="AP291" s="34"/>
      <c r="AQ291" s="35"/>
      <c r="AW291" s="118"/>
      <c r="AX291" s="118"/>
      <c r="AY291" s="118"/>
      <c r="AZ291" s="121"/>
      <c r="BA291" s="118"/>
      <c r="BB291" s="118"/>
      <c r="BC291" s="118"/>
      <c r="BD291" s="118"/>
      <c r="BE291" s="118"/>
      <c r="BF291" s="118"/>
      <c r="BG291" s="118"/>
      <c r="BH291" s="118"/>
      <c r="BI291" s="121"/>
    </row>
    <row r="292" spans="1:72" x14ac:dyDescent="0.25">
      <c r="H292" s="10" t="s">
        <v>112</v>
      </c>
      <c r="I292" s="10">
        <f>((I288*I286)*2+(I287*I289)*1)*I291</f>
        <v>2084.88</v>
      </c>
      <c r="J292" s="10" t="s">
        <v>113</v>
      </c>
      <c r="K292" s="10"/>
      <c r="Y292" s="19"/>
      <c r="AF292" s="21"/>
      <c r="AW292" s="118"/>
      <c r="AX292" s="118"/>
      <c r="AY292" s="118"/>
      <c r="AZ292" s="121"/>
      <c r="BA292" s="118"/>
      <c r="BB292" s="118"/>
      <c r="BC292" s="118"/>
      <c r="BD292" s="118"/>
      <c r="BE292" s="118"/>
      <c r="BF292" s="118"/>
      <c r="BG292" s="118"/>
      <c r="BH292" s="118"/>
      <c r="BI292" s="121"/>
    </row>
    <row r="293" spans="1:72" x14ac:dyDescent="0.25">
      <c r="H293" s="106" t="s">
        <v>354</v>
      </c>
      <c r="I293" s="143">
        <f>I292*1.1</f>
        <v>2293.3680000000004</v>
      </c>
      <c r="J293" s="10" t="s">
        <v>113</v>
      </c>
      <c r="K293" s="10"/>
      <c r="Y293" s="19"/>
      <c r="AF293" s="21"/>
      <c r="AW293" s="122"/>
      <c r="AX293" s="122">
        <f>AX279</f>
        <v>10.792</v>
      </c>
      <c r="AY293" s="122"/>
      <c r="AZ293" s="118"/>
      <c r="BA293" s="118"/>
      <c r="BB293" s="118"/>
      <c r="BC293" s="118"/>
      <c r="BD293" s="118"/>
      <c r="BE293" s="118"/>
      <c r="BF293" s="122"/>
      <c r="BG293" s="122">
        <f>BG279</f>
        <v>10.916700000000001</v>
      </c>
      <c r="BH293" s="122"/>
      <c r="BI293" s="118"/>
    </row>
    <row r="294" spans="1:72" x14ac:dyDescent="0.25">
      <c r="Y294" s="19"/>
      <c r="AB294" s="27">
        <f>AA283</f>
        <v>8</v>
      </c>
      <c r="AF294" s="21"/>
      <c r="AW294" s="118"/>
      <c r="AX294" s="118"/>
      <c r="AY294" s="118"/>
      <c r="AZ294" s="118"/>
      <c r="BA294" s="118"/>
      <c r="BB294" s="118"/>
      <c r="BC294" s="118"/>
      <c r="BD294" s="118"/>
      <c r="BE294" s="118"/>
      <c r="BF294" s="118"/>
      <c r="BG294" s="118"/>
      <c r="BH294" s="118"/>
      <c r="BI294" s="118"/>
      <c r="BQ294">
        <v>4</v>
      </c>
      <c r="BR294" t="s">
        <v>52</v>
      </c>
    </row>
    <row r="295" spans="1:72" x14ac:dyDescent="0.25">
      <c r="Y295" s="19"/>
      <c r="AF295" s="21"/>
      <c r="AW295" s="118"/>
      <c r="AX295" s="118"/>
      <c r="AY295" s="118"/>
      <c r="AZ295" s="118"/>
      <c r="BA295" s="118"/>
      <c r="BB295" s="118"/>
      <c r="BC295" s="118"/>
      <c r="BD295" s="118"/>
      <c r="BE295" s="118"/>
      <c r="BF295" s="118"/>
      <c r="BG295" s="118"/>
      <c r="BH295" s="118"/>
      <c r="BI295" s="118"/>
    </row>
    <row r="296" spans="1:72" x14ac:dyDescent="0.25">
      <c r="H296" t="s">
        <v>385</v>
      </c>
      <c r="Y296" s="19" t="s">
        <v>348</v>
      </c>
      <c r="AB296" s="27">
        <f>AB294</f>
        <v>8</v>
      </c>
      <c r="AC296" t="s">
        <v>125</v>
      </c>
      <c r="AF296" s="21"/>
      <c r="AW296" s="118"/>
      <c r="AX296" s="118"/>
      <c r="AY296" s="118"/>
      <c r="AZ296" s="118"/>
      <c r="BA296" s="118"/>
      <c r="BB296" s="118"/>
      <c r="BC296" s="118"/>
      <c r="BD296" s="118"/>
      <c r="BE296" s="118"/>
      <c r="BF296" s="118"/>
      <c r="BG296" s="118"/>
      <c r="BH296" s="118"/>
      <c r="BI296" s="118"/>
    </row>
    <row r="297" spans="1:72" x14ac:dyDescent="0.25">
      <c r="H297" s="10" t="s">
        <v>91</v>
      </c>
      <c r="I297" s="10">
        <f>0</f>
        <v>0</v>
      </c>
      <c r="J297" s="10" t="s">
        <v>52</v>
      </c>
      <c r="K297" s="10"/>
      <c r="Y297" s="19" t="s">
        <v>349</v>
      </c>
      <c r="AB297">
        <f>AC290</f>
        <v>8.4067598461661266</v>
      </c>
      <c r="AC297" t="s">
        <v>125</v>
      </c>
      <c r="AF297" s="21"/>
      <c r="AW297" s="118"/>
      <c r="AX297" s="118"/>
      <c r="AY297" s="118"/>
      <c r="AZ297" s="118"/>
      <c r="BA297" s="118"/>
      <c r="BB297" s="118"/>
      <c r="BC297" s="118"/>
      <c r="BD297" s="118"/>
      <c r="BE297" s="118"/>
      <c r="BF297" s="118"/>
      <c r="BG297" s="118"/>
      <c r="BH297" s="118"/>
      <c r="BI297" s="118"/>
    </row>
    <row r="298" spans="1:72" x14ac:dyDescent="0.25">
      <c r="H298" s="10" t="s">
        <v>100</v>
      </c>
      <c r="I298" s="41">
        <f>0</f>
        <v>0</v>
      </c>
      <c r="J298" s="10" t="s">
        <v>52</v>
      </c>
      <c r="K298" s="10"/>
      <c r="Y298" s="48" t="s">
        <v>350</v>
      </c>
      <c r="AB298" s="1">
        <f>2*(0.25*4*AB297)+(0.25*4*AB296)</f>
        <v>24.813519692332253</v>
      </c>
      <c r="AC298" t="s">
        <v>126</v>
      </c>
      <c r="AF298" s="21"/>
      <c r="AW298" s="118" t="s">
        <v>357</v>
      </c>
      <c r="AX298" s="118">
        <v>14.25</v>
      </c>
      <c r="AY298" s="118" t="s">
        <v>52</v>
      </c>
      <c r="AZ298" s="118"/>
      <c r="BA298" s="118"/>
      <c r="BB298" s="118"/>
      <c r="BC298" s="118"/>
      <c r="BD298" s="118"/>
      <c r="BE298" s="118"/>
      <c r="BF298" s="118" t="s">
        <v>357</v>
      </c>
      <c r="BG298" s="118">
        <v>10.75</v>
      </c>
      <c r="BH298" s="118" t="s">
        <v>52</v>
      </c>
      <c r="BI298" s="118"/>
    </row>
    <row r="299" spans="1:72" x14ac:dyDescent="0.25">
      <c r="H299" s="10" t="s">
        <v>106</v>
      </c>
      <c r="I299" t="s">
        <v>385</v>
      </c>
      <c r="K299" s="10"/>
      <c r="Y299" s="19" t="s">
        <v>132</v>
      </c>
      <c r="AA299" t="s">
        <v>133</v>
      </c>
      <c r="AB299" s="27">
        <f>AB298*1.1</f>
        <v>27.29487166156548</v>
      </c>
      <c r="AC299" t="s">
        <v>126</v>
      </c>
      <c r="AF299" s="21"/>
      <c r="AW299" s="118" t="s">
        <v>114</v>
      </c>
      <c r="AX299" s="118">
        <v>9.83</v>
      </c>
      <c r="AY299" s="118" t="s">
        <v>52</v>
      </c>
      <c r="AZ299" s="118"/>
      <c r="BA299" s="118"/>
      <c r="BB299" s="118"/>
      <c r="BC299" s="118"/>
      <c r="BD299" s="118"/>
      <c r="BE299" s="118"/>
      <c r="BF299" s="118" t="s">
        <v>114</v>
      </c>
      <c r="BG299" s="118">
        <v>9.83</v>
      </c>
      <c r="BH299" s="118" t="s">
        <v>52</v>
      </c>
      <c r="BI299" s="118"/>
    </row>
    <row r="300" spans="1:72" x14ac:dyDescent="0.25">
      <c r="H300" s="10" t="s">
        <v>128</v>
      </c>
      <c r="I300" s="33">
        <v>0</v>
      </c>
      <c r="J300" s="35"/>
      <c r="K300" s="10"/>
      <c r="Y300" s="49" t="s">
        <v>438</v>
      </c>
      <c r="Z300" s="3"/>
      <c r="AA300" s="3"/>
      <c r="AB300" s="135">
        <f>AB296+AB297</f>
        <v>16.406759846166125</v>
      </c>
      <c r="AC300" s="3"/>
      <c r="AD300" s="3"/>
      <c r="AE300" s="3"/>
      <c r="AF300" s="44"/>
      <c r="AW300" s="118" t="s">
        <v>356</v>
      </c>
      <c r="AX300" s="118">
        <f>2*(SQRT((AX312)^2+(AZ309)^2))</f>
        <v>34.623194537766153</v>
      </c>
      <c r="AY300" s="118" t="s">
        <v>52</v>
      </c>
      <c r="AZ300" s="118"/>
      <c r="BA300" s="118"/>
      <c r="BB300" s="118"/>
      <c r="BC300" s="118"/>
      <c r="BD300" s="118"/>
      <c r="BE300" s="118"/>
      <c r="BF300" s="118" t="s">
        <v>356</v>
      </c>
      <c r="BG300" s="118">
        <f>2*(SQRT((BG312)^2+(BI309)^2))</f>
        <v>29.133581997413224</v>
      </c>
      <c r="BH300" s="118" t="s">
        <v>52</v>
      </c>
      <c r="BI300" s="118"/>
    </row>
    <row r="301" spans="1:72" x14ac:dyDescent="0.25">
      <c r="H301" s="10" t="s">
        <v>112</v>
      </c>
      <c r="I301" s="10">
        <f>I298*I297*I300</f>
        <v>0</v>
      </c>
      <c r="J301" s="10" t="s">
        <v>113</v>
      </c>
      <c r="K301" s="10"/>
      <c r="AW301" s="119" t="s">
        <v>343</v>
      </c>
      <c r="AX301" s="118">
        <f>0.33*4*AX300</f>
        <v>45.702616789851326</v>
      </c>
      <c r="AY301" s="118" t="s">
        <v>113</v>
      </c>
      <c r="AZ301" s="118"/>
      <c r="BA301" s="118"/>
      <c r="BB301" s="118"/>
      <c r="BC301" s="118"/>
      <c r="BD301" s="118"/>
      <c r="BE301" s="118"/>
      <c r="BF301" s="119" t="s">
        <v>343</v>
      </c>
      <c r="BG301" s="118">
        <f>0.33*4*BG300</f>
        <v>38.456328236585456</v>
      </c>
      <c r="BH301" s="118" t="s">
        <v>113</v>
      </c>
      <c r="BI301" s="118"/>
    </row>
    <row r="302" spans="1:72" x14ac:dyDescent="0.25">
      <c r="H302" s="106" t="s">
        <v>354</v>
      </c>
      <c r="I302" s="31">
        <f>I301*1.1</f>
        <v>0</v>
      </c>
      <c r="J302" s="10" t="s">
        <v>113</v>
      </c>
      <c r="K302" s="10"/>
      <c r="AB302">
        <f>AB299*84</f>
        <v>2292.7692195715003</v>
      </c>
      <c r="AW302" s="120" t="s">
        <v>132</v>
      </c>
      <c r="AX302" s="118">
        <f>AX301*1.1</f>
        <v>50.27287846883646</v>
      </c>
      <c r="AY302" s="118" t="s">
        <v>113</v>
      </c>
      <c r="AZ302" s="118"/>
      <c r="BA302" s="118"/>
      <c r="BB302" s="118"/>
      <c r="BC302" s="118"/>
      <c r="BD302" s="118"/>
      <c r="BE302" s="118"/>
      <c r="BF302" s="120" t="s">
        <v>132</v>
      </c>
      <c r="BG302" s="118">
        <f>BG301*1.1</f>
        <v>42.301961060244004</v>
      </c>
      <c r="BH302" s="118" t="s">
        <v>113</v>
      </c>
      <c r="BI302" s="118"/>
    </row>
    <row r="303" spans="1:72" x14ac:dyDescent="0.25">
      <c r="AW303" s="118" t="s">
        <v>358</v>
      </c>
      <c r="AX303" s="118">
        <v>0</v>
      </c>
      <c r="AY303" s="118"/>
      <c r="AZ303" s="118"/>
      <c r="BA303" s="118"/>
      <c r="BB303" s="118"/>
      <c r="BC303" s="118"/>
      <c r="BD303" s="118"/>
      <c r="BE303" s="118"/>
      <c r="BF303" s="118" t="s">
        <v>358</v>
      </c>
      <c r="BG303" s="118">
        <v>0</v>
      </c>
      <c r="BH303" s="118"/>
      <c r="BI303" s="118"/>
    </row>
    <row r="304" spans="1:72" x14ac:dyDescent="0.25">
      <c r="A304" s="130" t="s">
        <v>416</v>
      </c>
      <c r="AW304" s="118" t="s">
        <v>359</v>
      </c>
      <c r="AX304" s="118">
        <f>AX303*AX302*2</f>
        <v>0</v>
      </c>
      <c r="AY304" s="118"/>
      <c r="AZ304" s="118"/>
      <c r="BA304" s="118"/>
      <c r="BB304" s="118"/>
      <c r="BC304" s="118"/>
      <c r="BD304" s="118"/>
      <c r="BE304" s="118"/>
      <c r="BF304" s="118" t="s">
        <v>359</v>
      </c>
      <c r="BG304" s="118">
        <f>BG303*BG302*2</f>
        <v>0</v>
      </c>
      <c r="BH304" s="118"/>
      <c r="BI304" s="118"/>
    </row>
    <row r="305" spans="1:61" x14ac:dyDescent="0.25">
      <c r="A305" s="7" t="s">
        <v>57</v>
      </c>
      <c r="B305" s="7"/>
      <c r="C305" s="7">
        <v>0</v>
      </c>
      <c r="D305" s="7" t="s">
        <v>116</v>
      </c>
      <c r="AW305" s="118"/>
      <c r="AX305" s="118"/>
      <c r="AY305" s="118"/>
      <c r="AZ305" s="118"/>
      <c r="BA305" s="118"/>
      <c r="BB305" s="118"/>
      <c r="BC305" s="118"/>
      <c r="BD305" s="118"/>
      <c r="BE305" s="118"/>
      <c r="BF305" s="118"/>
      <c r="BG305" s="118"/>
      <c r="BH305" s="118"/>
      <c r="BI305" s="118"/>
    </row>
    <row r="306" spans="1:61" x14ac:dyDescent="0.25">
      <c r="AW306" s="118"/>
      <c r="AX306" s="118"/>
      <c r="AY306" s="118"/>
      <c r="AZ306" s="121"/>
      <c r="BA306" s="118"/>
      <c r="BB306" s="118"/>
      <c r="BC306" s="118"/>
      <c r="BD306" s="118"/>
      <c r="BE306" s="118"/>
      <c r="BF306" s="118"/>
      <c r="BG306" s="118"/>
      <c r="BH306" s="118"/>
      <c r="BI306" s="121"/>
    </row>
    <row r="307" spans="1:61" x14ac:dyDescent="0.25">
      <c r="A307" s="130" t="s">
        <v>415</v>
      </c>
      <c r="B307" s="6"/>
      <c r="C307" s="6"/>
      <c r="AW307" s="118"/>
      <c r="AX307" s="118">
        <f>SQRT((AX312)^2+(AZ309)^2)</f>
        <v>17.311597268883077</v>
      </c>
      <c r="AY307" s="118"/>
      <c r="AZ307" s="121"/>
      <c r="BA307" s="118"/>
      <c r="BB307" s="118"/>
      <c r="BC307" s="118"/>
      <c r="BD307" s="118"/>
      <c r="BE307" s="118"/>
      <c r="BF307" s="118"/>
      <c r="BG307" s="118">
        <f>SQRT((BG312)^2+(BI309)^2)</f>
        <v>14.566790998706612</v>
      </c>
      <c r="BH307" s="118"/>
      <c r="BI307" s="121"/>
    </row>
    <row r="308" spans="1:61" x14ac:dyDescent="0.25">
      <c r="A308" s="7" t="s">
        <v>409</v>
      </c>
      <c r="B308" s="7"/>
      <c r="C308" s="127">
        <f>0</f>
        <v>0</v>
      </c>
      <c r="D308" s="7" t="s">
        <v>137</v>
      </c>
      <c r="E308" s="7"/>
      <c r="AW308" s="118"/>
      <c r="AX308" s="118"/>
      <c r="AY308" s="118"/>
      <c r="AZ308" s="121"/>
      <c r="BA308" s="118"/>
      <c r="BB308" s="118"/>
      <c r="BC308" s="118"/>
      <c r="BD308" s="118"/>
      <c r="BE308" s="118"/>
      <c r="BF308" s="118"/>
      <c r="BG308" s="118"/>
      <c r="BH308" s="118"/>
      <c r="BI308" s="121"/>
    </row>
    <row r="309" spans="1:61" x14ac:dyDescent="0.25">
      <c r="AW309" s="118"/>
      <c r="AX309" s="118"/>
      <c r="AY309" s="118"/>
      <c r="AZ309" s="121">
        <f>AX299</f>
        <v>9.83</v>
      </c>
      <c r="BA309" s="118"/>
      <c r="BB309" s="118"/>
      <c r="BC309" s="118"/>
      <c r="BD309" s="118"/>
      <c r="BE309" s="118"/>
      <c r="BF309" s="118"/>
      <c r="BG309" s="118"/>
      <c r="BH309" s="118"/>
      <c r="BI309" s="121">
        <f>BG299</f>
        <v>9.83</v>
      </c>
    </row>
    <row r="310" spans="1:61" x14ac:dyDescent="0.25">
      <c r="AW310" s="118"/>
      <c r="AX310" s="118"/>
      <c r="AY310" s="118"/>
      <c r="AZ310" s="121"/>
      <c r="BA310" s="118"/>
      <c r="BB310" s="118"/>
      <c r="BC310" s="118"/>
      <c r="BD310" s="118"/>
      <c r="BE310" s="118"/>
      <c r="BF310" s="118"/>
      <c r="BG310" s="118"/>
      <c r="BH310" s="118"/>
      <c r="BI310" s="121"/>
    </row>
    <row r="311" spans="1:61" x14ac:dyDescent="0.25">
      <c r="AW311" s="118"/>
      <c r="AX311" s="118"/>
      <c r="AY311" s="118"/>
      <c r="AZ311" s="121"/>
      <c r="BA311" s="118"/>
      <c r="BB311" s="118"/>
      <c r="BC311" s="118"/>
      <c r="BD311" s="118"/>
      <c r="BE311" s="118"/>
      <c r="BF311" s="118"/>
      <c r="BG311" s="118"/>
      <c r="BH311" s="118"/>
      <c r="BI311" s="121"/>
    </row>
    <row r="312" spans="1:61" x14ac:dyDescent="0.25">
      <c r="A312" s="130" t="s">
        <v>426</v>
      </c>
      <c r="AW312" s="122"/>
      <c r="AX312" s="122">
        <f>AX298</f>
        <v>14.25</v>
      </c>
      <c r="AY312" s="122"/>
      <c r="AZ312" s="118"/>
      <c r="BA312" s="118"/>
      <c r="BB312" s="118"/>
      <c r="BC312" s="118"/>
      <c r="BD312" s="118"/>
      <c r="BE312" s="118"/>
      <c r="BF312" s="122"/>
      <c r="BG312" s="122">
        <f>BG298</f>
        <v>10.75</v>
      </c>
      <c r="BH312" s="122"/>
      <c r="BI312" s="118"/>
    </row>
    <row r="313" spans="1:61" x14ac:dyDescent="0.25">
      <c r="AW313" s="118"/>
      <c r="AX313" s="118"/>
      <c r="AY313" s="118"/>
      <c r="AZ313" s="118"/>
      <c r="BA313" s="118"/>
      <c r="BB313" s="118"/>
      <c r="BC313" s="118"/>
      <c r="BD313" s="118"/>
      <c r="BE313" s="118"/>
      <c r="BF313" s="118"/>
      <c r="BG313" s="118"/>
      <c r="BH313" s="118"/>
      <c r="BI313" s="118"/>
    </row>
    <row r="314" spans="1:61" x14ac:dyDescent="0.25">
      <c r="A314" t="s">
        <v>143</v>
      </c>
      <c r="D314" s="25">
        <f>AVERAGE(82,76)</f>
        <v>79</v>
      </c>
      <c r="E314" t="s">
        <v>2</v>
      </c>
      <c r="F314" t="s">
        <v>432</v>
      </c>
      <c r="AW314" s="118"/>
      <c r="AX314" s="118"/>
      <c r="AY314" s="118"/>
      <c r="AZ314" s="118"/>
      <c r="BA314" s="118"/>
      <c r="BB314" s="118"/>
      <c r="BC314" s="118"/>
      <c r="BD314" s="118"/>
      <c r="BE314" s="118"/>
      <c r="BF314" s="118"/>
      <c r="BG314" s="118"/>
      <c r="BH314" s="118"/>
      <c r="BI314" s="118"/>
    </row>
    <row r="315" spans="1:61" x14ac:dyDescent="0.25">
      <c r="A315" t="s">
        <v>146</v>
      </c>
      <c r="D315">
        <v>0</v>
      </c>
      <c r="E315" t="s">
        <v>72</v>
      </c>
      <c r="AW315" s="118" t="s">
        <v>357</v>
      </c>
      <c r="AX315" s="118">
        <v>13.583</v>
      </c>
      <c r="AY315" s="118" t="s">
        <v>52</v>
      </c>
      <c r="AZ315" s="118"/>
      <c r="BA315" s="118"/>
      <c r="BB315" s="118"/>
      <c r="BC315" s="118"/>
      <c r="BD315" s="118"/>
      <c r="BE315" s="118"/>
      <c r="BF315" s="118" t="s">
        <v>357</v>
      </c>
      <c r="BG315" s="118">
        <v>11.25</v>
      </c>
      <c r="BH315" s="118" t="s">
        <v>52</v>
      </c>
      <c r="BI315" s="118"/>
    </row>
    <row r="316" spans="1:61" x14ac:dyDescent="0.25">
      <c r="AW316" s="118" t="s">
        <v>114</v>
      </c>
      <c r="AX316" s="118">
        <v>9.83</v>
      </c>
      <c r="AY316" s="118" t="s">
        <v>52</v>
      </c>
      <c r="AZ316" s="118"/>
      <c r="BA316" s="118"/>
      <c r="BB316" s="118"/>
      <c r="BC316" s="118"/>
      <c r="BD316" s="118"/>
      <c r="BE316" s="118"/>
      <c r="BF316" s="118" t="s">
        <v>114</v>
      </c>
      <c r="BG316" s="118">
        <v>9.83</v>
      </c>
      <c r="BH316" s="118" t="s">
        <v>52</v>
      </c>
      <c r="BI316" s="118"/>
    </row>
    <row r="317" spans="1:61" x14ac:dyDescent="0.25">
      <c r="A317" t="s">
        <v>194</v>
      </c>
      <c r="D317" s="1">
        <v>84</v>
      </c>
      <c r="E317" t="s">
        <v>2</v>
      </c>
      <c r="AW317" s="118" t="s">
        <v>356</v>
      </c>
      <c r="AX317" s="118" t="e">
        <f>2*(SQRT((#REF!)^2+(AZ326)^2))</f>
        <v>#REF!</v>
      </c>
      <c r="AY317" s="118" t="s">
        <v>52</v>
      </c>
      <c r="AZ317" s="118"/>
      <c r="BA317" s="118"/>
      <c r="BB317" s="118"/>
      <c r="BC317" s="118"/>
      <c r="BD317" s="118"/>
      <c r="BE317" s="118"/>
      <c r="BF317" s="118" t="s">
        <v>356</v>
      </c>
      <c r="BG317" s="118" t="e">
        <f>2*(SQRT((#REF!)^2+(BI326)^2))</f>
        <v>#REF!</v>
      </c>
      <c r="BH317" s="118" t="s">
        <v>52</v>
      </c>
      <c r="BI317" s="118"/>
    </row>
    <row r="318" spans="1:61" x14ac:dyDescent="0.25">
      <c r="A318" t="s">
        <v>195</v>
      </c>
      <c r="D318" s="3">
        <v>81</v>
      </c>
      <c r="E318" s="3" t="s">
        <v>2</v>
      </c>
      <c r="AW318" s="119" t="s">
        <v>343</v>
      </c>
      <c r="AX318" s="118" t="e">
        <f>0.33*4*AX317</f>
        <v>#REF!</v>
      </c>
      <c r="AY318" s="118" t="s">
        <v>113</v>
      </c>
      <c r="AZ318" s="118"/>
      <c r="BA318" s="118"/>
      <c r="BB318" s="118"/>
      <c r="BC318" s="118"/>
      <c r="BD318" s="118"/>
      <c r="BE318" s="118"/>
      <c r="BF318" s="119" t="s">
        <v>343</v>
      </c>
      <c r="BG318" s="118" t="e">
        <f>0.33*4*BG317</f>
        <v>#REF!</v>
      </c>
      <c r="BH318" s="118" t="s">
        <v>113</v>
      </c>
      <c r="BI318" s="118"/>
    </row>
    <row r="319" spans="1:61" x14ac:dyDescent="0.25">
      <c r="A319" t="s">
        <v>147</v>
      </c>
      <c r="D319" s="52">
        <f>SUM(D317:D318)</f>
        <v>165</v>
      </c>
      <c r="E319" s="7" t="s">
        <v>2</v>
      </c>
      <c r="AW319" s="120" t="s">
        <v>132</v>
      </c>
      <c r="AX319" s="118" t="e">
        <f>AX318*1.1</f>
        <v>#REF!</v>
      </c>
      <c r="AY319" s="118" t="s">
        <v>113</v>
      </c>
      <c r="AZ319" s="118"/>
      <c r="BA319" s="118"/>
      <c r="BB319" s="118"/>
      <c r="BC319" s="118"/>
      <c r="BD319" s="118"/>
      <c r="BE319" s="118"/>
      <c r="BF319" s="120" t="s">
        <v>132</v>
      </c>
      <c r="BG319" s="118" t="e">
        <f>BG318*1.1</f>
        <v>#REF!</v>
      </c>
      <c r="BH319" s="118" t="s">
        <v>113</v>
      </c>
      <c r="BI319" s="118"/>
    </row>
    <row r="320" spans="1:61" x14ac:dyDescent="0.25">
      <c r="AW320" s="118" t="s">
        <v>358</v>
      </c>
      <c r="AX320" s="118">
        <v>0</v>
      </c>
      <c r="AY320" s="118"/>
      <c r="AZ320" s="118"/>
      <c r="BA320" s="118"/>
      <c r="BB320" s="118"/>
      <c r="BC320" s="118"/>
      <c r="BD320" s="118"/>
      <c r="BE320" s="118"/>
      <c r="BF320" s="118" t="s">
        <v>358</v>
      </c>
      <c r="BG320" s="118">
        <v>0</v>
      </c>
      <c r="BH320" s="118"/>
      <c r="BI320" s="118"/>
    </row>
    <row r="321" spans="1:61" x14ac:dyDescent="0.25">
      <c r="A321" s="56" t="s">
        <v>506</v>
      </c>
      <c r="D321" s="7">
        <f>2*64.5</f>
        <v>129</v>
      </c>
      <c r="E321" s="7" t="s">
        <v>2</v>
      </c>
      <c r="AW321" s="118" t="s">
        <v>359</v>
      </c>
      <c r="AX321" s="118" t="e">
        <f>AX320*AX319*2</f>
        <v>#REF!</v>
      </c>
      <c r="AY321" s="118"/>
      <c r="AZ321" s="118"/>
      <c r="BA321" s="118"/>
      <c r="BB321" s="118"/>
      <c r="BC321" s="118"/>
      <c r="BD321" s="118"/>
      <c r="BE321" s="118"/>
      <c r="BF321" s="118" t="s">
        <v>359</v>
      </c>
      <c r="BG321" s="118" t="e">
        <f>BG320*BG319*2</f>
        <v>#REF!</v>
      </c>
      <c r="BH321" s="118"/>
      <c r="BI321" s="118"/>
    </row>
    <row r="322" spans="1:61" x14ac:dyDescent="0.25"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  <c r="BH322" s="118"/>
      <c r="BI322" s="118"/>
    </row>
    <row r="323" spans="1:61" x14ac:dyDescent="0.25">
      <c r="A323" s="56" t="s">
        <v>203</v>
      </c>
      <c r="B323" s="114"/>
      <c r="AW323" s="118"/>
      <c r="AX323" s="118"/>
      <c r="AY323" s="118"/>
      <c r="AZ323" s="118"/>
      <c r="BA323" s="118"/>
      <c r="BB323" s="118"/>
      <c r="BC323" s="118"/>
      <c r="BD323" s="118"/>
      <c r="BE323" s="118"/>
      <c r="BF323" s="118"/>
      <c r="BG323" s="118"/>
      <c r="BH323" s="118"/>
      <c r="BI323" s="118"/>
    </row>
    <row r="324" spans="1:61" x14ac:dyDescent="0.25">
      <c r="A324" t="s">
        <v>291</v>
      </c>
      <c r="B324" s="114"/>
      <c r="C324" s="7">
        <f>4*4.08</f>
        <v>16.32</v>
      </c>
      <c r="D324" s="7" t="s">
        <v>278</v>
      </c>
      <c r="AW324" s="118"/>
      <c r="AX324" s="118"/>
      <c r="AY324" s="118"/>
      <c r="AZ324" s="118"/>
      <c r="BA324" s="118"/>
      <c r="BB324" s="118"/>
      <c r="BC324" s="118"/>
      <c r="BD324" s="118"/>
      <c r="BE324" s="118"/>
      <c r="BF324" s="118"/>
      <c r="BG324" s="118"/>
      <c r="BH324" s="118"/>
      <c r="BI324" s="118"/>
    </row>
    <row r="325" spans="1:61" x14ac:dyDescent="0.25">
      <c r="AW325" s="118"/>
      <c r="AX325" s="118"/>
      <c r="AY325" s="118"/>
      <c r="AZ325" s="118"/>
      <c r="BA325" s="118"/>
      <c r="BB325" s="118"/>
      <c r="BC325" s="118"/>
      <c r="BD325" s="118"/>
      <c r="BE325" s="118"/>
      <c r="BF325" s="118"/>
      <c r="BG325" s="118"/>
      <c r="BH325" s="118"/>
      <c r="BI325" s="118"/>
    </row>
    <row r="326" spans="1:61" x14ac:dyDescent="0.25">
      <c r="AW326" s="118"/>
      <c r="AX326" s="118"/>
      <c r="AY326" s="118"/>
      <c r="AZ326" s="121">
        <f>AX316</f>
        <v>9.83</v>
      </c>
      <c r="BA326" s="118"/>
      <c r="BB326" s="118"/>
      <c r="BC326" s="118"/>
      <c r="BD326" s="118"/>
      <c r="BE326" s="118"/>
      <c r="BF326" s="118"/>
      <c r="BG326" s="118"/>
      <c r="BH326" s="118"/>
      <c r="BI326" s="121">
        <f>BG316</f>
        <v>9.83</v>
      </c>
    </row>
    <row r="327" spans="1:61" x14ac:dyDescent="0.25">
      <c r="A327" s="56" t="s">
        <v>477</v>
      </c>
      <c r="B327" s="114"/>
      <c r="AW327" s="118"/>
      <c r="AX327" s="118"/>
      <c r="AY327" s="118"/>
      <c r="AZ327" s="121"/>
      <c r="BA327" s="118"/>
      <c r="BB327" s="118"/>
      <c r="BC327" s="118"/>
      <c r="BD327" s="118"/>
      <c r="BE327" s="118"/>
      <c r="BF327" s="118"/>
      <c r="BG327" s="118"/>
      <c r="BH327" s="118"/>
      <c r="BI327" s="121"/>
    </row>
    <row r="328" spans="1:61" x14ac:dyDescent="0.25">
      <c r="A328" t="s">
        <v>478</v>
      </c>
      <c r="B328" s="114"/>
      <c r="C328" s="7">
        <f>4*1.25*(14+3.75)</f>
        <v>88.75</v>
      </c>
      <c r="D328" s="7" t="s">
        <v>278</v>
      </c>
      <c r="AW328" s="118"/>
      <c r="AX328" s="118"/>
      <c r="AY328" s="118"/>
      <c r="AZ328" s="121"/>
      <c r="BA328" s="118"/>
      <c r="BB328" s="118"/>
      <c r="BC328" s="118"/>
      <c r="BD328" s="118"/>
      <c r="BE328" s="118"/>
      <c r="BF328" s="118"/>
      <c r="BG328" s="118"/>
      <c r="BH328" s="118"/>
      <c r="BI328" s="121"/>
    </row>
    <row r="329" spans="1:61" x14ac:dyDescent="0.25">
      <c r="AW329" s="118"/>
      <c r="AX329" s="118"/>
      <c r="AY329" s="118"/>
      <c r="AZ329" s="121"/>
      <c r="BA329" s="118"/>
      <c r="BB329" s="118"/>
      <c r="BC329" s="118"/>
      <c r="BD329" s="118"/>
      <c r="BE329" s="118"/>
      <c r="BF329" s="118"/>
      <c r="BG329" s="118"/>
      <c r="BH329" s="118"/>
      <c r="BI329" s="121"/>
    </row>
    <row r="330" spans="1:61" x14ac:dyDescent="0.25">
      <c r="AW330" s="118"/>
      <c r="AX330" s="118"/>
      <c r="AY330" s="118"/>
      <c r="AZ330" s="121"/>
      <c r="BA330" s="118"/>
      <c r="BB330" s="118"/>
      <c r="BC330" s="118"/>
      <c r="BD330" s="118"/>
      <c r="BE330" s="118"/>
      <c r="BF330" s="118"/>
      <c r="BG330" s="118"/>
      <c r="BH330" s="118"/>
      <c r="BI330" s="121"/>
    </row>
    <row r="331" spans="1:61" x14ac:dyDescent="0.25">
      <c r="A331" s="56" t="s">
        <v>485</v>
      </c>
      <c r="AW331" s="118"/>
      <c r="AX331" s="118"/>
      <c r="AY331" s="118"/>
      <c r="AZ331" s="121"/>
      <c r="BA331" s="118"/>
      <c r="BB331" s="118"/>
      <c r="BC331" s="118"/>
      <c r="BD331" s="118"/>
      <c r="BE331" s="118"/>
      <c r="BF331" s="118"/>
      <c r="BG331" s="118"/>
      <c r="BH331" s="118"/>
      <c r="BI331" s="121"/>
    </row>
    <row r="332" spans="1:61" x14ac:dyDescent="0.25">
      <c r="A332" t="s">
        <v>45</v>
      </c>
      <c r="C332">
        <f>4+64.5+4</f>
        <v>72.5</v>
      </c>
      <c r="D332" t="s">
        <v>2</v>
      </c>
      <c r="AW332" s="118"/>
      <c r="AX332" s="118"/>
      <c r="AY332" s="118"/>
      <c r="AZ332" s="121"/>
      <c r="BA332" s="118"/>
      <c r="BB332" s="118"/>
      <c r="BC332" s="118"/>
      <c r="BD332" s="118"/>
      <c r="BE332" s="118"/>
      <c r="BF332" s="118"/>
      <c r="BG332" s="118"/>
      <c r="BH332" s="118"/>
      <c r="BI332" s="121"/>
    </row>
    <row r="333" spans="1:61" x14ac:dyDescent="0.25">
      <c r="A333" t="s">
        <v>484</v>
      </c>
      <c r="C333" s="3">
        <f>4+64.5+4</f>
        <v>72.5</v>
      </c>
      <c r="D333" s="3" t="s">
        <v>2</v>
      </c>
      <c r="AW333" s="118"/>
      <c r="AX333" s="118"/>
      <c r="AY333" s="118"/>
      <c r="AZ333" s="121"/>
      <c r="BA333" s="118"/>
      <c r="BB333" s="118"/>
      <c r="BC333" s="118"/>
      <c r="BD333" s="118"/>
      <c r="BE333" s="118"/>
      <c r="BF333" s="118"/>
      <c r="BG333" s="118"/>
      <c r="BH333" s="118"/>
      <c r="BI333" s="121"/>
    </row>
    <row r="334" spans="1:61" x14ac:dyDescent="0.25">
      <c r="C334" s="7">
        <f>C332+C333</f>
        <v>145</v>
      </c>
      <c r="D334" s="7" t="s">
        <v>2</v>
      </c>
      <c r="AW334" s="118"/>
      <c r="AX334" s="118"/>
      <c r="AY334" s="118"/>
      <c r="AZ334" s="121"/>
      <c r="BA334" s="118"/>
      <c r="BB334" s="118"/>
      <c r="BC334" s="118"/>
      <c r="BD334" s="118"/>
      <c r="BE334" s="118"/>
      <c r="BF334" s="118"/>
      <c r="BG334" s="118"/>
      <c r="BH334" s="118"/>
      <c r="BI334" s="121"/>
    </row>
    <row r="335" spans="1:61" x14ac:dyDescent="0.25">
      <c r="AW335" s="118"/>
      <c r="AX335" s="118"/>
      <c r="AY335" s="118"/>
      <c r="AZ335" s="121"/>
      <c r="BA335" s="118"/>
      <c r="BB335" s="118"/>
      <c r="BC335" s="118"/>
      <c r="BD335" s="118"/>
      <c r="BE335" s="118"/>
      <c r="BF335" s="118"/>
      <c r="BG335" s="118"/>
      <c r="BH335" s="118"/>
      <c r="BI335" s="121"/>
    </row>
    <row r="336" spans="1:61" x14ac:dyDescent="0.25">
      <c r="A336" s="56" t="s">
        <v>380</v>
      </c>
      <c r="AW336" s="118"/>
      <c r="AX336" s="118"/>
      <c r="AY336" s="118"/>
      <c r="AZ336" s="121"/>
      <c r="BA336" s="118"/>
      <c r="BB336" s="118"/>
      <c r="BC336" s="118"/>
      <c r="BD336" s="118"/>
      <c r="BE336" s="118"/>
      <c r="BF336" s="118"/>
      <c r="BG336" s="118"/>
      <c r="BH336" s="118"/>
      <c r="BI336" s="121"/>
    </row>
    <row r="337" spans="1:72" x14ac:dyDescent="0.25">
      <c r="A337" t="s">
        <v>148</v>
      </c>
      <c r="C337">
        <v>7</v>
      </c>
      <c r="D337" t="s">
        <v>116</v>
      </c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</row>
    <row r="338" spans="1:72" x14ac:dyDescent="0.25"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</row>
    <row r="339" spans="1:72" x14ac:dyDescent="0.25">
      <c r="A339" t="s">
        <v>149</v>
      </c>
      <c r="C339" s="3">
        <v>7</v>
      </c>
      <c r="D339" s="3" t="s">
        <v>116</v>
      </c>
      <c r="AW339" s="118" t="s">
        <v>357</v>
      </c>
      <c r="AX339" s="118">
        <v>15.229200000000001</v>
      </c>
      <c r="AY339" s="118" t="s">
        <v>52</v>
      </c>
      <c r="AZ339" s="118"/>
      <c r="BA339" s="118"/>
      <c r="BB339" s="118"/>
      <c r="BC339" s="118"/>
      <c r="BD339" s="118"/>
      <c r="BE339" s="118"/>
      <c r="BF339" s="118" t="s">
        <v>357</v>
      </c>
      <c r="BG339" s="118">
        <v>14.771000000000001</v>
      </c>
      <c r="BH339" s="118" t="s">
        <v>52</v>
      </c>
      <c r="BI339" s="118"/>
    </row>
    <row r="340" spans="1:72" x14ac:dyDescent="0.25">
      <c r="C340" s="7">
        <f>SUM(C337:C339)</f>
        <v>14</v>
      </c>
      <c r="D340" s="7" t="s">
        <v>116</v>
      </c>
      <c r="AW340" s="118" t="s">
        <v>114</v>
      </c>
      <c r="AX340" s="118">
        <v>9.83</v>
      </c>
      <c r="AY340" s="118" t="s">
        <v>52</v>
      </c>
      <c r="AZ340" s="118"/>
      <c r="BA340" s="118"/>
      <c r="BB340" s="118"/>
      <c r="BC340" s="118"/>
      <c r="BD340" s="118"/>
      <c r="BE340" s="118"/>
      <c r="BF340" s="118" t="s">
        <v>114</v>
      </c>
      <c r="BG340" s="118">
        <v>9.83</v>
      </c>
      <c r="BH340" s="118" t="s">
        <v>52</v>
      </c>
      <c r="BI340" s="118"/>
    </row>
    <row r="341" spans="1:72" x14ac:dyDescent="0.25">
      <c r="AW341" s="118" t="s">
        <v>356</v>
      </c>
      <c r="AX341" s="118">
        <f>2*(SQRT((AX353)^2+(AZ350)^2))</f>
        <v>36.25230655503178</v>
      </c>
      <c r="AY341" s="118" t="s">
        <v>52</v>
      </c>
      <c r="AZ341" s="118"/>
      <c r="BA341" s="118"/>
      <c r="BB341" s="118"/>
      <c r="BC341" s="118"/>
      <c r="BD341" s="118"/>
      <c r="BE341" s="118"/>
      <c r="BF341" s="118" t="s">
        <v>356</v>
      </c>
      <c r="BG341" s="118">
        <f>2*(SQRT((BG353)^2+(BI350)^2))</f>
        <v>35.48584737610193</v>
      </c>
      <c r="BH341" s="118" t="s">
        <v>52</v>
      </c>
      <c r="BI341" s="118"/>
    </row>
    <row r="342" spans="1:72" x14ac:dyDescent="0.25">
      <c r="A342" s="56" t="s">
        <v>447</v>
      </c>
      <c r="D342" s="7" t="s">
        <v>441</v>
      </c>
      <c r="AW342" s="119" t="s">
        <v>343</v>
      </c>
      <c r="AX342" s="118">
        <f>0.33*4*AX341</f>
        <v>47.853044652641948</v>
      </c>
      <c r="AY342" s="118" t="s">
        <v>113</v>
      </c>
      <c r="AZ342" s="118"/>
      <c r="BA342" s="118"/>
      <c r="BB342" s="118"/>
      <c r="BC342" s="118"/>
      <c r="BD342" s="118"/>
      <c r="BE342" s="118"/>
      <c r="BF342" s="119" t="s">
        <v>343</v>
      </c>
      <c r="BG342" s="118">
        <f>0.33*4*BG341</f>
        <v>46.841318536454551</v>
      </c>
      <c r="BH342" s="118" t="s">
        <v>113</v>
      </c>
      <c r="BI342" s="118"/>
    </row>
    <row r="343" spans="1:72" x14ac:dyDescent="0.25">
      <c r="AW343" s="120" t="s">
        <v>132</v>
      </c>
      <c r="AX343" s="118">
        <f>AX342*1.1</f>
        <v>52.638349117906145</v>
      </c>
      <c r="AY343" s="118" t="s">
        <v>113</v>
      </c>
      <c r="AZ343" s="118"/>
      <c r="BA343" s="118"/>
      <c r="BB343" s="118"/>
      <c r="BC343" s="118"/>
      <c r="BD343" s="118"/>
      <c r="BE343" s="118"/>
      <c r="BF343" s="120" t="s">
        <v>132</v>
      </c>
      <c r="BG343" s="118">
        <f>BG342*1.1</f>
        <v>51.525450390100012</v>
      </c>
      <c r="BH343" s="118" t="s">
        <v>113</v>
      </c>
      <c r="BI343" s="118"/>
    </row>
    <row r="344" spans="1:72" x14ac:dyDescent="0.25">
      <c r="A344" s="130" t="s">
        <v>41</v>
      </c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  <c r="AB344" s="114"/>
      <c r="AC344" s="114"/>
      <c r="AD344" s="114"/>
      <c r="AE344" s="114"/>
      <c r="AF344" s="114"/>
      <c r="AG344" s="114"/>
      <c r="AH344" s="114"/>
      <c r="AI344" s="114"/>
      <c r="AJ344" s="114"/>
      <c r="AK344" s="114"/>
      <c r="AL344" s="114"/>
      <c r="AM344" s="114"/>
      <c r="AN344" s="114"/>
      <c r="AO344" s="114"/>
      <c r="AP344" s="114"/>
      <c r="AQ344" s="114"/>
      <c r="AR344" s="114"/>
      <c r="AS344" s="114"/>
      <c r="AT344" s="114"/>
      <c r="AU344" s="114"/>
      <c r="AV344" s="114"/>
      <c r="AW344" s="123" t="s">
        <v>358</v>
      </c>
      <c r="AX344" s="123">
        <v>0</v>
      </c>
      <c r="AY344" s="123"/>
      <c r="AZ344" s="123"/>
      <c r="BA344" s="123"/>
      <c r="BB344" s="123"/>
      <c r="BC344" s="123"/>
      <c r="BD344" s="123"/>
      <c r="BE344" s="123"/>
      <c r="BF344" s="123" t="s">
        <v>358</v>
      </c>
      <c r="BG344" s="123">
        <v>0</v>
      </c>
      <c r="BH344" s="123"/>
      <c r="BI344" s="123"/>
      <c r="BJ344" s="114"/>
      <c r="BK344" s="114"/>
      <c r="BL344" s="114"/>
      <c r="BM344" s="114"/>
      <c r="BN344" s="114"/>
      <c r="BO344" s="114"/>
      <c r="BP344" s="114"/>
      <c r="BQ344" s="114"/>
      <c r="BR344" s="114"/>
      <c r="BS344" s="114"/>
      <c r="BT344" s="114"/>
    </row>
    <row r="345" spans="1:72" x14ac:dyDescent="0.25">
      <c r="A345" s="2"/>
      <c r="AW345" s="118" t="s">
        <v>359</v>
      </c>
      <c r="AX345" s="118">
        <f>AX344*AX343*2</f>
        <v>0</v>
      </c>
      <c r="AY345" s="118"/>
      <c r="AZ345" s="118"/>
      <c r="BA345" s="118"/>
      <c r="BB345" s="118"/>
      <c r="BC345" s="118"/>
      <c r="BD345" s="118"/>
      <c r="BE345" s="118"/>
      <c r="BF345" s="118" t="s">
        <v>359</v>
      </c>
      <c r="BG345" s="118">
        <f>BG344*BG343*2</f>
        <v>0</v>
      </c>
      <c r="BH345" s="118"/>
      <c r="BI345" s="118"/>
    </row>
    <row r="346" spans="1:72" x14ac:dyDescent="0.25">
      <c r="A346" t="s">
        <v>305</v>
      </c>
      <c r="C346">
        <v>0</v>
      </c>
      <c r="D346" t="s">
        <v>278</v>
      </c>
      <c r="AW346" s="118"/>
      <c r="AX346" s="118"/>
      <c r="AY346" s="118"/>
      <c r="AZ346" s="118"/>
      <c r="BA346" s="118"/>
      <c r="BB346" s="118"/>
      <c r="BC346" s="118"/>
      <c r="BD346" s="118"/>
      <c r="BE346" s="118"/>
      <c r="BF346" s="118"/>
      <c r="BG346" s="118"/>
      <c r="BH346" s="118"/>
      <c r="BI346" s="118"/>
    </row>
    <row r="347" spans="1:72" x14ac:dyDescent="0.25">
      <c r="A347" s="2"/>
      <c r="AW347" s="118"/>
      <c r="AX347" s="118"/>
      <c r="AY347" s="118"/>
      <c r="AZ347" s="121"/>
      <c r="BA347" s="118"/>
      <c r="BB347" s="118"/>
      <c r="BC347" s="118"/>
      <c r="BD347" s="118"/>
      <c r="BE347" s="118"/>
      <c r="BF347" s="118"/>
      <c r="BG347" s="118"/>
      <c r="BH347" s="118"/>
      <c r="BI347" s="121"/>
    </row>
    <row r="348" spans="1:72" x14ac:dyDescent="0.25">
      <c r="A348" t="s">
        <v>175</v>
      </c>
      <c r="AW348" s="118"/>
      <c r="AX348" s="118">
        <f>SQRT((AX353)^2+(AZ350)^2)</f>
        <v>18.12615327751589</v>
      </c>
      <c r="AY348" s="118"/>
      <c r="AZ348" s="121"/>
      <c r="BA348" s="118"/>
      <c r="BB348" s="118"/>
      <c r="BC348" s="118"/>
      <c r="BD348" s="118"/>
      <c r="BE348" s="118"/>
      <c r="BF348" s="118"/>
      <c r="BG348" s="118">
        <f>SQRT((BG353)^2+(BI350)^2)</f>
        <v>17.742923688050965</v>
      </c>
      <c r="BH348" s="118"/>
      <c r="BI348" s="121"/>
    </row>
    <row r="349" spans="1:72" x14ac:dyDescent="0.25">
      <c r="A349" t="s">
        <v>37</v>
      </c>
      <c r="D349">
        <v>0</v>
      </c>
      <c r="E349" t="s">
        <v>2</v>
      </c>
      <c r="AW349" s="118"/>
      <c r="AX349" s="118"/>
      <c r="AY349" s="118"/>
      <c r="AZ349" s="121"/>
      <c r="BA349" s="118"/>
      <c r="BB349" s="118"/>
      <c r="BC349" s="118"/>
      <c r="BD349" s="118"/>
      <c r="BE349" s="118"/>
      <c r="BF349" s="118"/>
      <c r="BG349" s="118"/>
      <c r="BH349" s="118"/>
      <c r="BI349" s="121"/>
    </row>
    <row r="350" spans="1:72" x14ac:dyDescent="0.25">
      <c r="A350" t="s">
        <v>38</v>
      </c>
      <c r="D350">
        <v>0</v>
      </c>
      <c r="E350" t="s">
        <v>2</v>
      </c>
      <c r="AW350" s="118"/>
      <c r="AX350" s="118"/>
      <c r="AY350" s="118"/>
      <c r="AZ350" s="121">
        <f>AX340</f>
        <v>9.83</v>
      </c>
      <c r="BA350" s="118"/>
      <c r="BB350" s="118"/>
      <c r="BC350" s="118"/>
      <c r="BD350" s="118"/>
      <c r="BE350" s="118"/>
      <c r="BF350" s="118"/>
      <c r="BG350" s="118"/>
      <c r="BH350" s="118"/>
      <c r="BI350" s="121">
        <f>BG340</f>
        <v>9.83</v>
      </c>
    </row>
    <row r="351" spans="1:72" x14ac:dyDescent="0.25">
      <c r="A351" t="s">
        <v>43</v>
      </c>
      <c r="D351">
        <v>1</v>
      </c>
      <c r="AW351" s="118"/>
      <c r="AX351" s="118"/>
      <c r="AY351" s="118"/>
      <c r="AZ351" s="121"/>
      <c r="BA351" s="118"/>
      <c r="BB351" s="118"/>
      <c r="BC351" s="118"/>
      <c r="BD351" s="118"/>
      <c r="BE351" s="118"/>
      <c r="BF351" s="118"/>
      <c r="BG351" s="118"/>
      <c r="BH351" s="118"/>
      <c r="BI351" s="121"/>
    </row>
    <row r="352" spans="1:72" x14ac:dyDescent="0.25">
      <c r="A352" t="s">
        <v>42</v>
      </c>
      <c r="C352">
        <f>D349*D350*D351</f>
        <v>0</v>
      </c>
      <c r="D352" t="s">
        <v>40</v>
      </c>
      <c r="AW352" s="118"/>
      <c r="AX352" s="118"/>
      <c r="AY352" s="118"/>
      <c r="AZ352" s="121"/>
      <c r="BA352" s="118"/>
      <c r="BB352" s="118"/>
      <c r="BC352" s="118"/>
      <c r="BD352" s="118"/>
      <c r="BE352" s="118"/>
      <c r="BF352" s="118"/>
      <c r="BG352" s="118"/>
      <c r="BH352" s="118"/>
      <c r="BI352" s="121"/>
    </row>
    <row r="353" spans="1:61" x14ac:dyDescent="0.25">
      <c r="AW353" s="122"/>
      <c r="AX353" s="122">
        <f>AX339</f>
        <v>15.229200000000001</v>
      </c>
      <c r="AY353" s="122"/>
      <c r="AZ353" s="118"/>
      <c r="BA353" s="118"/>
      <c r="BB353" s="118"/>
      <c r="BC353" s="118"/>
      <c r="BD353" s="118"/>
      <c r="BE353" s="118"/>
      <c r="BF353" s="122"/>
      <c r="BG353" s="122">
        <f>BG339</f>
        <v>14.771000000000001</v>
      </c>
      <c r="BH353" s="122"/>
      <c r="BI353" s="118"/>
    </row>
    <row r="354" spans="1:61" x14ac:dyDescent="0.25">
      <c r="A354" t="s">
        <v>179</v>
      </c>
      <c r="AW354" s="118"/>
      <c r="AX354" s="118"/>
      <c r="AY354" s="118"/>
      <c r="AZ354" s="118"/>
      <c r="BA354" s="118"/>
      <c r="BB354" s="118"/>
      <c r="BC354" s="118"/>
      <c r="BD354" s="118"/>
      <c r="BE354" s="118"/>
      <c r="BF354" s="118"/>
      <c r="BG354" s="118"/>
      <c r="BH354" s="118"/>
      <c r="BI354" s="118"/>
    </row>
    <row r="355" spans="1:61" x14ac:dyDescent="0.25">
      <c r="A355" t="s">
        <v>37</v>
      </c>
      <c r="D355">
        <v>0</v>
      </c>
      <c r="E355" t="s">
        <v>2</v>
      </c>
      <c r="AW355" s="118"/>
      <c r="AX355" s="118"/>
      <c r="AY355" s="118"/>
      <c r="AZ355" s="118"/>
      <c r="BA355" s="118"/>
      <c r="BB355" s="118"/>
      <c r="BC355" s="118"/>
      <c r="BD355" s="118"/>
      <c r="BE355" s="118"/>
      <c r="BF355" s="118"/>
      <c r="BG355" s="118"/>
      <c r="BH355" s="118"/>
      <c r="BI355" s="118"/>
    </row>
    <row r="356" spans="1:61" x14ac:dyDescent="0.25">
      <c r="A356" t="s">
        <v>38</v>
      </c>
      <c r="D356">
        <v>0</v>
      </c>
      <c r="E356" t="s">
        <v>2</v>
      </c>
    </row>
    <row r="357" spans="1:61" x14ac:dyDescent="0.25">
      <c r="A357" t="s">
        <v>43</v>
      </c>
      <c r="D357">
        <v>1</v>
      </c>
    </row>
    <row r="358" spans="1:61" x14ac:dyDescent="0.25">
      <c r="A358" t="s">
        <v>42</v>
      </c>
      <c r="C358">
        <f>D355*D356*D357</f>
        <v>0</v>
      </c>
      <c r="D358" t="s">
        <v>40</v>
      </c>
    </row>
    <row r="360" spans="1:61" x14ac:dyDescent="0.25">
      <c r="A360" t="s">
        <v>412</v>
      </c>
    </row>
    <row r="361" spans="1:61" x14ac:dyDescent="0.25">
      <c r="A361" t="s">
        <v>37</v>
      </c>
      <c r="D361">
        <v>0</v>
      </c>
      <c r="E361" t="s">
        <v>2</v>
      </c>
    </row>
    <row r="362" spans="1:61" x14ac:dyDescent="0.25">
      <c r="A362" t="s">
        <v>38</v>
      </c>
      <c r="D362">
        <v>1.5</v>
      </c>
      <c r="E362" t="s">
        <v>2</v>
      </c>
    </row>
    <row r="363" spans="1:61" x14ac:dyDescent="0.25">
      <c r="A363" t="s">
        <v>43</v>
      </c>
      <c r="D363">
        <v>1</v>
      </c>
    </row>
    <row r="364" spans="1:61" x14ac:dyDescent="0.25">
      <c r="A364" t="s">
        <v>42</v>
      </c>
      <c r="C364">
        <f>D361*D362*D363</f>
        <v>0</v>
      </c>
      <c r="D364" t="s">
        <v>40</v>
      </c>
    </row>
    <row r="366" spans="1:61" x14ac:dyDescent="0.25">
      <c r="A366" t="s">
        <v>413</v>
      </c>
    </row>
    <row r="367" spans="1:61" x14ac:dyDescent="0.25">
      <c r="A367" t="s">
        <v>37</v>
      </c>
      <c r="D367">
        <v>0</v>
      </c>
      <c r="E367" t="s">
        <v>2</v>
      </c>
    </row>
    <row r="368" spans="1:61" x14ac:dyDescent="0.25">
      <c r="A368" t="s">
        <v>38</v>
      </c>
      <c r="D368">
        <v>0</v>
      </c>
      <c r="E368" t="s">
        <v>2</v>
      </c>
    </row>
    <row r="369" spans="1:7" x14ac:dyDescent="0.25">
      <c r="A369" t="s">
        <v>43</v>
      </c>
      <c r="D369">
        <v>1</v>
      </c>
    </row>
    <row r="370" spans="1:7" x14ac:dyDescent="0.25">
      <c r="A370" t="s">
        <v>42</v>
      </c>
      <c r="C370">
        <f>D367*D368*D369</f>
        <v>0</v>
      </c>
      <c r="D370" t="s">
        <v>40</v>
      </c>
    </row>
    <row r="372" spans="1:7" x14ac:dyDescent="0.25">
      <c r="A372" s="7" t="s">
        <v>180</v>
      </c>
      <c r="B372" s="7"/>
      <c r="C372" s="52">
        <f>ROUND(C346+C352+C358+C364+C370,1)</f>
        <v>0</v>
      </c>
      <c r="D372" s="7" t="s">
        <v>40</v>
      </c>
    </row>
    <row r="374" spans="1:7" x14ac:dyDescent="0.25">
      <c r="A374" s="56" t="s">
        <v>507</v>
      </c>
    </row>
    <row r="375" spans="1:7" x14ac:dyDescent="0.25">
      <c r="A375" t="s">
        <v>508</v>
      </c>
      <c r="C375">
        <f>14+64.5+14</f>
        <v>92.5</v>
      </c>
      <c r="D375" t="s">
        <v>2</v>
      </c>
    </row>
    <row r="376" spans="1:7" x14ac:dyDescent="0.25">
      <c r="A376" t="s">
        <v>3</v>
      </c>
      <c r="C376">
        <v>2</v>
      </c>
      <c r="D376" t="s">
        <v>2</v>
      </c>
    </row>
    <row r="377" spans="1:7" x14ac:dyDescent="0.25">
      <c r="A377" t="s">
        <v>498</v>
      </c>
      <c r="C377">
        <v>4.5</v>
      </c>
      <c r="D377" t="s">
        <v>2</v>
      </c>
    </row>
    <row r="378" spans="1:7" x14ac:dyDescent="0.25">
      <c r="A378" t="s">
        <v>509</v>
      </c>
      <c r="C378">
        <v>2</v>
      </c>
      <c r="D378" t="s">
        <v>116</v>
      </c>
    </row>
    <row r="379" spans="1:7" x14ac:dyDescent="0.25">
      <c r="A379" t="s">
        <v>510</v>
      </c>
      <c r="C379">
        <f>C375*C376*C377*C378</f>
        <v>1665</v>
      </c>
      <c r="D379" t="s">
        <v>295</v>
      </c>
    </row>
    <row r="380" spans="1:7" x14ac:dyDescent="0.25">
      <c r="C380" s="7">
        <f>ROUNDUP(C379/27,0)</f>
        <v>62</v>
      </c>
      <c r="D380" s="7" t="s">
        <v>297</v>
      </c>
    </row>
    <row r="382" spans="1:7" x14ac:dyDescent="0.25">
      <c r="A382" s="130" t="s">
        <v>335</v>
      </c>
      <c r="B382" s="6"/>
      <c r="C382" s="6"/>
      <c r="F382" s="7">
        <v>12</v>
      </c>
      <c r="G382" s="7" t="s">
        <v>116</v>
      </c>
    </row>
    <row r="383" spans="1:7" x14ac:dyDescent="0.25">
      <c r="A383" s="130"/>
      <c r="B383" s="6"/>
      <c r="C383" s="6"/>
    </row>
    <row r="384" spans="1:7" x14ac:dyDescent="0.25">
      <c r="A384" s="56" t="s">
        <v>516</v>
      </c>
      <c r="B384" s="7">
        <f>2*86</f>
        <v>172</v>
      </c>
      <c r="C384" s="7" t="s">
        <v>2</v>
      </c>
    </row>
    <row r="385" spans="1:7" x14ac:dyDescent="0.25">
      <c r="A385" s="56" t="s">
        <v>517</v>
      </c>
      <c r="B385" s="7">
        <f>4*30</f>
        <v>120</v>
      </c>
      <c r="C385" s="7" t="s">
        <v>2</v>
      </c>
    </row>
    <row r="386" spans="1:7" x14ac:dyDescent="0.25">
      <c r="A386" s="2"/>
    </row>
    <row r="387" spans="1:7" x14ac:dyDescent="0.25">
      <c r="A387" s="2"/>
    </row>
    <row r="388" spans="1:7" x14ac:dyDescent="0.25">
      <c r="A388" s="130" t="s">
        <v>439</v>
      </c>
      <c r="B388" s="6"/>
      <c r="F388" s="7">
        <v>0</v>
      </c>
      <c r="G388" s="7" t="s">
        <v>116</v>
      </c>
    </row>
    <row r="389" spans="1:7" x14ac:dyDescent="0.25">
      <c r="A389" s="2"/>
    </row>
    <row r="390" spans="1:7" x14ac:dyDescent="0.25">
      <c r="A390" s="130" t="s">
        <v>446</v>
      </c>
      <c r="B390" s="6"/>
      <c r="C390" s="6"/>
      <c r="D390" s="6"/>
      <c r="F390" s="7">
        <v>0</v>
      </c>
      <c r="G390" s="7" t="s">
        <v>2</v>
      </c>
    </row>
    <row r="391" spans="1:7" x14ac:dyDescent="0.25">
      <c r="A391" s="130"/>
      <c r="B391" s="6"/>
      <c r="C391" s="6"/>
      <c r="D391" s="6"/>
    </row>
    <row r="392" spans="1:7" x14ac:dyDescent="0.25">
      <c r="A392" s="125" t="s">
        <v>518</v>
      </c>
      <c r="B392" s="6"/>
      <c r="C392" s="6"/>
      <c r="D392" s="6"/>
    </row>
    <row r="393" spans="1:7" x14ac:dyDescent="0.25">
      <c r="A393" t="s">
        <v>519</v>
      </c>
      <c r="C393">
        <v>25</v>
      </c>
      <c r="D393" t="s">
        <v>2</v>
      </c>
    </row>
    <row r="394" spans="1:7" x14ac:dyDescent="0.25">
      <c r="A394" t="s">
        <v>520</v>
      </c>
      <c r="C394" s="25">
        <v>61</v>
      </c>
      <c r="D394" t="s">
        <v>487</v>
      </c>
    </row>
    <row r="395" spans="1:7" x14ac:dyDescent="0.25">
      <c r="A395" s="145" t="s">
        <v>521</v>
      </c>
      <c r="C395">
        <v>2</v>
      </c>
      <c r="D395" t="s">
        <v>116</v>
      </c>
    </row>
    <row r="396" spans="1:7" x14ac:dyDescent="0.25">
      <c r="A396" t="s">
        <v>202</v>
      </c>
      <c r="C396">
        <f>1279.8*C395</f>
        <v>2559.6</v>
      </c>
      <c r="D396" t="s">
        <v>40</v>
      </c>
      <c r="E396" t="s">
        <v>530</v>
      </c>
    </row>
    <row r="397" spans="1:7" x14ac:dyDescent="0.25">
      <c r="C397" s="52">
        <f>C396/9</f>
        <v>284.39999999999998</v>
      </c>
      <c r="D397" s="7" t="s">
        <v>24</v>
      </c>
    </row>
    <row r="398" spans="1:7" x14ac:dyDescent="0.25">
      <c r="C398" s="1"/>
    </row>
    <row r="399" spans="1:7" x14ac:dyDescent="0.25">
      <c r="A399" s="125" t="s">
        <v>522</v>
      </c>
      <c r="C399" s="52">
        <f>2*65</f>
        <v>130</v>
      </c>
      <c r="D399" s="7" t="s">
        <v>2</v>
      </c>
    </row>
    <row r="400" spans="1:7" x14ac:dyDescent="0.25">
      <c r="C400" s="1"/>
    </row>
    <row r="402" spans="1:5" x14ac:dyDescent="0.25">
      <c r="A402" s="125" t="s">
        <v>486</v>
      </c>
      <c r="B402" s="114"/>
      <c r="C402" s="114"/>
      <c r="D402" s="114"/>
      <c r="E402" s="114"/>
    </row>
    <row r="403" spans="1:5" x14ac:dyDescent="0.25">
      <c r="A403" s="125" t="s">
        <v>399</v>
      </c>
      <c r="B403" s="114"/>
      <c r="C403" s="114"/>
      <c r="D403" s="114"/>
      <c r="E403" s="114"/>
    </row>
    <row r="404" spans="1:5" x14ac:dyDescent="0.25">
      <c r="A404" s="125" t="s">
        <v>406</v>
      </c>
      <c r="B404" s="114"/>
      <c r="C404" s="114"/>
      <c r="D404" s="114"/>
      <c r="E404" s="114"/>
    </row>
    <row r="406" spans="1:5" x14ac:dyDescent="0.25">
      <c r="A406" t="s">
        <v>398</v>
      </c>
    </row>
    <row r="407" spans="1:5" x14ac:dyDescent="0.25">
      <c r="A407" t="s">
        <v>394</v>
      </c>
      <c r="C407">
        <v>188.7</v>
      </c>
      <c r="D407" t="s">
        <v>2</v>
      </c>
      <c r="E407">
        <v>188.7</v>
      </c>
    </row>
    <row r="408" spans="1:5" x14ac:dyDescent="0.25">
      <c r="A408" t="s">
        <v>395</v>
      </c>
      <c r="C408" s="25">
        <v>48.666600000000003</v>
      </c>
      <c r="D408" t="s">
        <v>487</v>
      </c>
    </row>
    <row r="410" spans="1:5" x14ac:dyDescent="0.25">
      <c r="A410" t="s">
        <v>202</v>
      </c>
      <c r="C410">
        <f>C407*C408</f>
        <v>9183.3874199999991</v>
      </c>
      <c r="D410" t="s">
        <v>40</v>
      </c>
    </row>
    <row r="411" spans="1:5" x14ac:dyDescent="0.25">
      <c r="C411" s="52">
        <f>C410/9</f>
        <v>1020.3763799999999</v>
      </c>
      <c r="D411" s="7" t="s">
        <v>24</v>
      </c>
    </row>
    <row r="413" spans="1:5" x14ac:dyDescent="0.25">
      <c r="A413" s="56" t="s">
        <v>513</v>
      </c>
    </row>
    <row r="414" spans="1:5" x14ac:dyDescent="0.25">
      <c r="A414" t="s">
        <v>398</v>
      </c>
    </row>
    <row r="415" spans="1:5" x14ac:dyDescent="0.25">
      <c r="A415" t="s">
        <v>394</v>
      </c>
      <c r="C415">
        <v>188.7</v>
      </c>
      <c r="D415" t="s">
        <v>2</v>
      </c>
    </row>
    <row r="416" spans="1:5" x14ac:dyDescent="0.25">
      <c r="A416" t="s">
        <v>395</v>
      </c>
      <c r="C416" s="25">
        <v>48.666600000000003</v>
      </c>
      <c r="D416" t="s">
        <v>487</v>
      </c>
    </row>
    <row r="417" spans="1:4" x14ac:dyDescent="0.25">
      <c r="A417" t="s">
        <v>514</v>
      </c>
      <c r="C417">
        <v>8.3299999999999999E-2</v>
      </c>
      <c r="D417" t="s">
        <v>515</v>
      </c>
    </row>
    <row r="418" spans="1:4" x14ac:dyDescent="0.25">
      <c r="A418" t="s">
        <v>202</v>
      </c>
      <c r="C418">
        <f>C415*C416*C417</f>
        <v>764.97617208599991</v>
      </c>
      <c r="D418" t="s">
        <v>13</v>
      </c>
    </row>
    <row r="419" spans="1:4" x14ac:dyDescent="0.25">
      <c r="C419" s="52">
        <f>C418/27</f>
        <v>28.332450817999998</v>
      </c>
      <c r="D419" s="7" t="s">
        <v>8</v>
      </c>
    </row>
    <row r="421" spans="1:4" x14ac:dyDescent="0.25">
      <c r="A421" s="56" t="s">
        <v>524</v>
      </c>
      <c r="C421" s="7">
        <f>0.2*C411</f>
        <v>204.075276</v>
      </c>
      <c r="D421" s="7" t="s">
        <v>525</v>
      </c>
    </row>
    <row r="424" spans="1:4" x14ac:dyDescent="0.25">
      <c r="A424" s="2" t="s">
        <v>440</v>
      </c>
      <c r="B424" s="2"/>
      <c r="C424" s="2"/>
      <c r="D424" s="2"/>
    </row>
    <row r="425" spans="1:4" x14ac:dyDescent="0.25">
      <c r="A425" s="2" t="s">
        <v>442</v>
      </c>
      <c r="B425" s="2"/>
      <c r="C425" s="2"/>
      <c r="D425" s="2"/>
    </row>
    <row r="426" spans="1:4" x14ac:dyDescent="0.25">
      <c r="A426" s="2" t="s">
        <v>443</v>
      </c>
      <c r="B426" s="2"/>
      <c r="C426" s="2"/>
      <c r="D426" s="2"/>
    </row>
    <row r="427" spans="1:4" x14ac:dyDescent="0.25">
      <c r="A427" s="2" t="s">
        <v>444</v>
      </c>
      <c r="B427" s="2"/>
      <c r="C427" s="2"/>
      <c r="D427" s="2"/>
    </row>
    <row r="428" spans="1:4" x14ac:dyDescent="0.25">
      <c r="A428" s="2" t="s">
        <v>445</v>
      </c>
      <c r="B428" s="2"/>
      <c r="C428" s="2"/>
      <c r="D428" s="2"/>
    </row>
    <row r="429" spans="1:4" x14ac:dyDescent="0.25">
      <c r="A429" s="2"/>
      <c r="B429" s="2"/>
      <c r="C429" s="2"/>
      <c r="D429" s="2"/>
    </row>
    <row r="433" spans="1:3" x14ac:dyDescent="0.25">
      <c r="A433" s="2" t="s">
        <v>511</v>
      </c>
    </row>
    <row r="435" spans="1:3" x14ac:dyDescent="0.25">
      <c r="A435" t="s">
        <v>207</v>
      </c>
      <c r="B435">
        <f>64.5</f>
        <v>64.5</v>
      </c>
      <c r="C435" t="s">
        <v>2</v>
      </c>
    </row>
    <row r="436" spans="1:3" x14ac:dyDescent="0.25">
      <c r="A436" t="s">
        <v>1</v>
      </c>
      <c r="B436">
        <v>1.6666000000000001</v>
      </c>
      <c r="C436" t="s">
        <v>2</v>
      </c>
    </row>
    <row r="437" spans="1:3" x14ac:dyDescent="0.25">
      <c r="A437" t="s">
        <v>3</v>
      </c>
      <c r="B437">
        <f>2.5</f>
        <v>2.5</v>
      </c>
      <c r="C437" t="s">
        <v>49</v>
      </c>
    </row>
    <row r="438" spans="1:3" x14ac:dyDescent="0.25">
      <c r="A438" t="s">
        <v>512</v>
      </c>
      <c r="B438">
        <v>2</v>
      </c>
      <c r="C438" t="s">
        <v>116</v>
      </c>
    </row>
    <row r="439" spans="1:3" x14ac:dyDescent="0.25">
      <c r="A439" t="s">
        <v>273</v>
      </c>
      <c r="B439">
        <f>B435*B436*(B437/12)*B438</f>
        <v>44.789875000000002</v>
      </c>
      <c r="C439" t="s">
        <v>295</v>
      </c>
    </row>
    <row r="443" spans="1:3" x14ac:dyDescent="0.25">
      <c r="A443" s="2" t="s">
        <v>528</v>
      </c>
    </row>
    <row r="445" spans="1:3" x14ac:dyDescent="0.25">
      <c r="A445" t="s">
        <v>529</v>
      </c>
      <c r="B445">
        <f>2*185</f>
        <v>370</v>
      </c>
      <c r="C445" t="s">
        <v>2</v>
      </c>
    </row>
    <row r="448" spans="1:3" x14ac:dyDescent="0.25">
      <c r="A448" s="2" t="s">
        <v>531</v>
      </c>
    </row>
    <row r="449" spans="1:3" x14ac:dyDescent="0.25">
      <c r="A449" t="s">
        <v>207</v>
      </c>
      <c r="B449">
        <f>8+22</f>
        <v>30</v>
      </c>
      <c r="C449" t="s">
        <v>2</v>
      </c>
    </row>
    <row r="450" spans="1:3" x14ac:dyDescent="0.25">
      <c r="A450" t="s">
        <v>1</v>
      </c>
      <c r="B450">
        <v>2</v>
      </c>
      <c r="C450" t="s">
        <v>2</v>
      </c>
    </row>
    <row r="451" spans="1:3" x14ac:dyDescent="0.25">
      <c r="A451" t="s">
        <v>3</v>
      </c>
      <c r="B451">
        <f>11</f>
        <v>11</v>
      </c>
      <c r="C451" t="s">
        <v>49</v>
      </c>
    </row>
    <row r="452" spans="1:3" x14ac:dyDescent="0.25">
      <c r="A452" t="s">
        <v>512</v>
      </c>
      <c r="B452">
        <v>1</v>
      </c>
      <c r="C452" t="s">
        <v>116</v>
      </c>
    </row>
    <row r="453" spans="1:3" x14ac:dyDescent="0.25">
      <c r="A453" t="s">
        <v>273</v>
      </c>
      <c r="B453">
        <f>B449*B450*(B451/12)*B452</f>
        <v>55</v>
      </c>
      <c r="C453" t="s">
        <v>295</v>
      </c>
    </row>
    <row r="454" spans="1:3" x14ac:dyDescent="0.25">
      <c r="B454">
        <f>B453/27</f>
        <v>2.0370370370370372</v>
      </c>
      <c r="C454" t="s">
        <v>297</v>
      </c>
    </row>
    <row r="456" spans="1:3" x14ac:dyDescent="0.25">
      <c r="A456" s="2" t="s">
        <v>532</v>
      </c>
    </row>
    <row r="457" spans="1:3" x14ac:dyDescent="0.25">
      <c r="A457" t="s">
        <v>207</v>
      </c>
      <c r="B457">
        <v>187</v>
      </c>
      <c r="C457" t="s">
        <v>2</v>
      </c>
    </row>
    <row r="458" spans="1:3" x14ac:dyDescent="0.25">
      <c r="A458" t="s">
        <v>1</v>
      </c>
      <c r="B458">
        <v>1</v>
      </c>
      <c r="C458" t="s">
        <v>2</v>
      </c>
    </row>
    <row r="459" spans="1:3" x14ac:dyDescent="0.25">
      <c r="A459" t="s">
        <v>3</v>
      </c>
      <c r="B459">
        <v>6</v>
      </c>
      <c r="C459" t="s">
        <v>49</v>
      </c>
    </row>
    <row r="460" spans="1:3" x14ac:dyDescent="0.25">
      <c r="A460" t="s">
        <v>533</v>
      </c>
      <c r="B460">
        <v>2</v>
      </c>
      <c r="C460" t="s">
        <v>116</v>
      </c>
    </row>
    <row r="461" spans="1:3" x14ac:dyDescent="0.25">
      <c r="A461" t="s">
        <v>273</v>
      </c>
      <c r="B461">
        <f>B457*B458*(B459/12)*B460</f>
        <v>187</v>
      </c>
      <c r="C461" t="s">
        <v>295</v>
      </c>
    </row>
    <row r="462" spans="1:3" x14ac:dyDescent="0.25">
      <c r="B462" s="146">
        <f>B461/27</f>
        <v>6.9259259259259256</v>
      </c>
      <c r="C462" t="s">
        <v>297</v>
      </c>
    </row>
  </sheetData>
  <mergeCells count="8">
    <mergeCell ref="AI280:AI282"/>
    <mergeCell ref="AI285:AI286"/>
    <mergeCell ref="AI288:AI289"/>
    <mergeCell ref="A85:B86"/>
    <mergeCell ref="A111:B112"/>
    <mergeCell ref="A251:J253"/>
    <mergeCell ref="Y259:AF259"/>
    <mergeCell ref="AH260:AN260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6100F-A49E-44E3-952B-01AE967007FB}">
  <dimension ref="A1:BT462"/>
  <sheetViews>
    <sheetView topLeftCell="A241" zoomScale="31" zoomScaleNormal="31" workbookViewId="0">
      <selection activeCell="C20" sqref="C20"/>
    </sheetView>
  </sheetViews>
  <sheetFormatPr defaultRowHeight="14.85" x14ac:dyDescent="0.25"/>
  <cols>
    <col min="1" max="1" width="86.42578125" bestFit="1" customWidth="1"/>
    <col min="2" max="2" width="6.140625" customWidth="1"/>
    <col min="3" max="3" width="10" bestFit="1" customWidth="1"/>
    <col min="4" max="4" width="24.28515625" bestFit="1" customWidth="1"/>
    <col min="5" max="5" width="12.7109375" bestFit="1" customWidth="1"/>
    <col min="6" max="6" width="22.85546875" bestFit="1" customWidth="1"/>
    <col min="7" max="7" width="27.28515625" bestFit="1" customWidth="1"/>
    <col min="8" max="8" width="39.28515625" bestFit="1" customWidth="1"/>
    <col min="9" max="9" width="18.5703125" bestFit="1" customWidth="1"/>
    <col min="10" max="10" width="12" bestFit="1" customWidth="1"/>
    <col min="11" max="11" width="7.85546875" bestFit="1" customWidth="1"/>
    <col min="12" max="12" width="12" bestFit="1" customWidth="1"/>
    <col min="13" max="13" width="14.5703125" bestFit="1" customWidth="1"/>
    <col min="14" max="14" width="5.5703125" bestFit="1" customWidth="1"/>
    <col min="15" max="15" width="8.28515625" bestFit="1" customWidth="1"/>
    <col min="16" max="16" width="12" bestFit="1" customWidth="1"/>
    <col min="17" max="17" width="8" bestFit="1" customWidth="1"/>
    <col min="18" max="18" width="12.42578125" bestFit="1" customWidth="1"/>
    <col min="19" max="19" width="12.7109375" bestFit="1" customWidth="1"/>
    <col min="20" max="20" width="12" bestFit="1" customWidth="1"/>
    <col min="21" max="21" width="11.28515625" bestFit="1" customWidth="1"/>
    <col min="22" max="22" width="4.85546875" bestFit="1" customWidth="1"/>
    <col min="23" max="23" width="7.85546875" bestFit="1" customWidth="1"/>
    <col min="25" max="25" width="39.28515625" bestFit="1" customWidth="1"/>
    <col min="26" max="26" width="30.85546875" bestFit="1" customWidth="1"/>
    <col min="27" max="29" width="12" bestFit="1" customWidth="1"/>
    <col min="30" max="30" width="11" bestFit="1" customWidth="1"/>
    <col min="31" max="31" width="3" bestFit="1" customWidth="1"/>
    <col min="34" max="34" width="13" customWidth="1"/>
    <col min="35" max="35" width="16.42578125" customWidth="1"/>
    <col min="36" max="36" width="12.7109375" customWidth="1"/>
    <col min="37" max="37" width="19" customWidth="1"/>
    <col min="38" max="38" width="8" bestFit="1" customWidth="1"/>
    <col min="39" max="39" width="9.7109375" bestFit="1" customWidth="1"/>
    <col min="40" max="40" width="7.5703125" bestFit="1" customWidth="1"/>
    <col min="41" max="41" width="4" bestFit="1" customWidth="1"/>
    <col min="42" max="42" width="8.42578125" bestFit="1" customWidth="1"/>
    <col min="43" max="43" width="5.28515625" bestFit="1" customWidth="1"/>
    <col min="49" max="49" width="26.42578125" bestFit="1" customWidth="1"/>
    <col min="50" max="50" width="12" bestFit="1" customWidth="1"/>
    <col min="51" max="51" width="4.85546875" bestFit="1" customWidth="1"/>
    <col min="52" max="52" width="5" bestFit="1" customWidth="1"/>
    <col min="55" max="55" width="2" bestFit="1" customWidth="1"/>
    <col min="58" max="58" width="22.42578125" bestFit="1" customWidth="1"/>
    <col min="59" max="59" width="12" bestFit="1" customWidth="1"/>
    <col min="60" max="60" width="4.85546875" bestFit="1" customWidth="1"/>
    <col min="61" max="61" width="5" bestFit="1" customWidth="1"/>
    <col min="64" max="64" width="6" bestFit="1" customWidth="1"/>
    <col min="65" max="65" width="19.42578125" bestFit="1" customWidth="1"/>
    <col min="66" max="66" width="9.5703125" bestFit="1" customWidth="1"/>
    <col min="67" max="67" width="12" bestFit="1" customWidth="1"/>
    <col min="68" max="68" width="5.140625" bestFit="1" customWidth="1"/>
    <col min="69" max="69" width="3" bestFit="1" customWidth="1"/>
    <col min="70" max="70" width="10" bestFit="1" customWidth="1"/>
    <col min="71" max="71" width="12" bestFit="1" customWidth="1"/>
    <col min="72" max="72" width="5.85546875" bestFit="1" customWidth="1"/>
  </cols>
  <sheetData>
    <row r="1" spans="1:4" x14ac:dyDescent="0.25">
      <c r="A1" s="56" t="s">
        <v>492</v>
      </c>
      <c r="D1" s="139" t="s">
        <v>245</v>
      </c>
    </row>
    <row r="2" spans="1:4" x14ac:dyDescent="0.25">
      <c r="A2" s="56"/>
      <c r="D2" s="139"/>
    </row>
    <row r="3" spans="1:4" x14ac:dyDescent="0.25">
      <c r="A3" s="56" t="s">
        <v>493</v>
      </c>
      <c r="D3" s="139" t="s">
        <v>245</v>
      </c>
    </row>
    <row r="4" spans="1:4" x14ac:dyDescent="0.25">
      <c r="A4" s="56"/>
    </row>
    <row r="5" spans="1:4" x14ac:dyDescent="0.25">
      <c r="A5" s="56" t="s">
        <v>410</v>
      </c>
    </row>
    <row r="6" spans="1:4" x14ac:dyDescent="0.25">
      <c r="A6" t="s">
        <v>523</v>
      </c>
    </row>
    <row r="7" spans="1:4" x14ac:dyDescent="0.25">
      <c r="A7" t="s">
        <v>496</v>
      </c>
      <c r="B7">
        <v>48</v>
      </c>
      <c r="C7" t="s">
        <v>2</v>
      </c>
    </row>
    <row r="8" spans="1:4" x14ac:dyDescent="0.25">
      <c r="A8" t="s">
        <v>497</v>
      </c>
      <c r="B8">
        <v>2</v>
      </c>
      <c r="C8" t="s">
        <v>2</v>
      </c>
    </row>
    <row r="9" spans="1:4" x14ac:dyDescent="0.25">
      <c r="A9" t="s">
        <v>498</v>
      </c>
      <c r="B9">
        <v>4.5</v>
      </c>
      <c r="C9" t="s">
        <v>2</v>
      </c>
    </row>
    <row r="10" spans="1:4" x14ac:dyDescent="0.25">
      <c r="A10" t="s">
        <v>502</v>
      </c>
      <c r="B10">
        <v>2</v>
      </c>
      <c r="C10" t="s">
        <v>116</v>
      </c>
    </row>
    <row r="11" spans="1:4" x14ac:dyDescent="0.25">
      <c r="A11" t="s">
        <v>403</v>
      </c>
      <c r="B11">
        <f>B7*B8*B9*B10</f>
        <v>864</v>
      </c>
      <c r="C11" t="s">
        <v>295</v>
      </c>
    </row>
    <row r="12" spans="1:4" x14ac:dyDescent="0.25">
      <c r="B12">
        <f>B11/27</f>
        <v>32</v>
      </c>
      <c r="C12" t="s">
        <v>297</v>
      </c>
    </row>
    <row r="14" spans="1:4" x14ac:dyDescent="0.25">
      <c r="A14" t="s">
        <v>499</v>
      </c>
      <c r="B14">
        <v>17</v>
      </c>
      <c r="C14" t="s">
        <v>2</v>
      </c>
      <c r="D14" t="s">
        <v>503</v>
      </c>
    </row>
    <row r="15" spans="1:4" x14ac:dyDescent="0.25">
      <c r="A15" t="s">
        <v>500</v>
      </c>
      <c r="B15">
        <v>14</v>
      </c>
      <c r="C15" t="s">
        <v>2</v>
      </c>
    </row>
    <row r="16" spans="1:4" x14ac:dyDescent="0.25">
      <c r="A16" t="s">
        <v>497</v>
      </c>
      <c r="B16">
        <v>5.5</v>
      </c>
      <c r="C16" t="s">
        <v>2</v>
      </c>
    </row>
    <row r="17" spans="1:5" x14ac:dyDescent="0.25">
      <c r="A17" t="s">
        <v>501</v>
      </c>
      <c r="B17">
        <v>4</v>
      </c>
      <c r="C17" t="s">
        <v>116</v>
      </c>
    </row>
    <row r="18" spans="1:5" x14ac:dyDescent="0.25">
      <c r="A18" t="s">
        <v>273</v>
      </c>
      <c r="B18">
        <f>B14*B15*B16*B17</f>
        <v>5236</v>
      </c>
      <c r="C18" t="s">
        <v>295</v>
      </c>
    </row>
    <row r="19" spans="1:5" x14ac:dyDescent="0.25">
      <c r="B19">
        <f>B18/27</f>
        <v>193.92592592592592</v>
      </c>
      <c r="C19" t="s">
        <v>297</v>
      </c>
    </row>
    <row r="21" spans="1:5" x14ac:dyDescent="0.25">
      <c r="A21" t="s">
        <v>7</v>
      </c>
      <c r="B21" s="7">
        <f>ROUNDUP(B12+B19,0)</f>
        <v>226</v>
      </c>
      <c r="C21" s="7" t="s">
        <v>297</v>
      </c>
    </row>
    <row r="24" spans="1:5" x14ac:dyDescent="0.25">
      <c r="A24" s="56" t="s">
        <v>44</v>
      </c>
    </row>
    <row r="26" spans="1:5" x14ac:dyDescent="0.25">
      <c r="A26" t="s">
        <v>430</v>
      </c>
      <c r="D26">
        <f>ROUNDUP(2*(2*((187/0.75)+1)),0)</f>
        <v>1002</v>
      </c>
    </row>
    <row r="27" spans="1:5" x14ac:dyDescent="0.25">
      <c r="A27" t="s">
        <v>428</v>
      </c>
      <c r="D27">
        <f>50+40+10+11</f>
        <v>111</v>
      </c>
    </row>
    <row r="28" spans="1:5" x14ac:dyDescent="0.25">
      <c r="A28" t="s">
        <v>526</v>
      </c>
      <c r="D28">
        <v>12</v>
      </c>
    </row>
    <row r="29" spans="1:5" x14ac:dyDescent="0.25">
      <c r="A29" t="s">
        <v>429</v>
      </c>
      <c r="D29">
        <f>50+40+10+11</f>
        <v>111</v>
      </c>
    </row>
    <row r="30" spans="1:5" x14ac:dyDescent="0.25">
      <c r="A30" t="s">
        <v>527</v>
      </c>
      <c r="D30" s="3">
        <v>12</v>
      </c>
      <c r="E30" s="3"/>
    </row>
    <row r="31" spans="1:5" x14ac:dyDescent="0.25">
      <c r="A31" s="124" t="s">
        <v>378</v>
      </c>
      <c r="B31" s="7"/>
      <c r="D31" s="124">
        <f>SUM(D26:D30)</f>
        <v>1248</v>
      </c>
      <c r="E31" s="124" t="s">
        <v>116</v>
      </c>
    </row>
    <row r="34" spans="1:7" x14ac:dyDescent="0.25">
      <c r="A34" s="56" t="s">
        <v>460</v>
      </c>
    </row>
    <row r="36" spans="1:7" x14ac:dyDescent="0.25">
      <c r="A36" s="6" t="s">
        <v>291</v>
      </c>
    </row>
    <row r="37" spans="1:7" x14ac:dyDescent="0.25">
      <c r="A37" t="s">
        <v>292</v>
      </c>
      <c r="D37">
        <v>0</v>
      </c>
      <c r="E37" t="s">
        <v>278</v>
      </c>
    </row>
    <row r="38" spans="1:7" x14ac:dyDescent="0.25">
      <c r="A38" t="s">
        <v>293</v>
      </c>
      <c r="D38">
        <v>0</v>
      </c>
      <c r="E38" t="s">
        <v>2</v>
      </c>
    </row>
    <row r="39" spans="1:7" x14ac:dyDescent="0.25">
      <c r="A39" t="s">
        <v>294</v>
      </c>
      <c r="D39">
        <v>0</v>
      </c>
      <c r="E39" t="s">
        <v>116</v>
      </c>
    </row>
    <row r="40" spans="1:7" x14ac:dyDescent="0.25">
      <c r="A40" t="s">
        <v>431</v>
      </c>
      <c r="D40">
        <v>1.82</v>
      </c>
      <c r="E40" t="s">
        <v>297</v>
      </c>
      <c r="G40" t="s">
        <v>436</v>
      </c>
    </row>
    <row r="41" spans="1:7" x14ac:dyDescent="0.25">
      <c r="A41" t="s">
        <v>298</v>
      </c>
      <c r="D41">
        <v>4</v>
      </c>
      <c r="E41" t="s">
        <v>116</v>
      </c>
    </row>
    <row r="43" spans="1:7" x14ac:dyDescent="0.25">
      <c r="A43" t="s">
        <v>56</v>
      </c>
      <c r="D43" s="1">
        <f>(D37*D38*D39/27)+(D40*D41)</f>
        <v>7.28</v>
      </c>
      <c r="E43" t="s">
        <v>8</v>
      </c>
    </row>
    <row r="45" spans="1:7" x14ac:dyDescent="0.25">
      <c r="A45" s="6" t="s">
        <v>48</v>
      </c>
    </row>
    <row r="47" spans="1:7" x14ac:dyDescent="0.25">
      <c r="A47" t="s">
        <v>379</v>
      </c>
      <c r="D47" s="1">
        <v>0</v>
      </c>
      <c r="E47" t="s">
        <v>2</v>
      </c>
    </row>
    <row r="48" spans="1:7" x14ac:dyDescent="0.25">
      <c r="A48" t="s">
        <v>288</v>
      </c>
      <c r="D48" s="1">
        <v>0</v>
      </c>
      <c r="E48" t="s">
        <v>2</v>
      </c>
    </row>
    <row r="49" spans="1:5" x14ac:dyDescent="0.25">
      <c r="A49" t="s">
        <v>471</v>
      </c>
      <c r="D49" s="1">
        <v>1.5</v>
      </c>
      <c r="E49" t="s">
        <v>2</v>
      </c>
    </row>
    <row r="50" spans="1:5" x14ac:dyDescent="0.25">
      <c r="A50" t="s">
        <v>470</v>
      </c>
      <c r="D50" s="1">
        <f>116+132</f>
        <v>248</v>
      </c>
      <c r="E50" t="s">
        <v>472</v>
      </c>
    </row>
    <row r="51" spans="1:5" x14ac:dyDescent="0.25">
      <c r="A51" t="s">
        <v>56</v>
      </c>
      <c r="D51" s="1">
        <f>D47*D48+D49*D50</f>
        <v>372</v>
      </c>
      <c r="E51" t="s">
        <v>13</v>
      </c>
    </row>
    <row r="52" spans="1:5" x14ac:dyDescent="0.25">
      <c r="D52" s="1">
        <f>D51/27</f>
        <v>13.777777777777779</v>
      </c>
      <c r="E52" t="s">
        <v>8</v>
      </c>
    </row>
    <row r="54" spans="1:5" x14ac:dyDescent="0.25">
      <c r="A54" s="6" t="s">
        <v>53</v>
      </c>
    </row>
    <row r="56" spans="1:5" x14ac:dyDescent="0.25">
      <c r="A56" t="s">
        <v>379</v>
      </c>
      <c r="D56" s="1">
        <v>0</v>
      </c>
      <c r="E56" t="s">
        <v>40</v>
      </c>
    </row>
    <row r="57" spans="1:5" x14ac:dyDescent="0.25">
      <c r="A57" t="s">
        <v>288</v>
      </c>
      <c r="D57" s="1">
        <v>0</v>
      </c>
      <c r="E57" t="s">
        <v>2</v>
      </c>
    </row>
    <row r="58" spans="1:5" x14ac:dyDescent="0.25">
      <c r="A58" t="s">
        <v>471</v>
      </c>
      <c r="D58" s="1">
        <v>1.5</v>
      </c>
      <c r="E58" t="s">
        <v>2</v>
      </c>
    </row>
    <row r="59" spans="1:5" x14ac:dyDescent="0.25">
      <c r="A59" t="s">
        <v>470</v>
      </c>
      <c r="D59" s="1">
        <f>130.7+154.4</f>
        <v>285.10000000000002</v>
      </c>
      <c r="E59" t="s">
        <v>472</v>
      </c>
    </row>
    <row r="60" spans="1:5" x14ac:dyDescent="0.25">
      <c r="A60" t="s">
        <v>56</v>
      </c>
      <c r="D60" s="1">
        <f>D56*D57+D58*D59</f>
        <v>427.65000000000003</v>
      </c>
      <c r="E60" t="s">
        <v>13</v>
      </c>
    </row>
    <row r="61" spans="1:5" x14ac:dyDescent="0.25">
      <c r="D61" s="1">
        <f>D60/27</f>
        <v>15.83888888888889</v>
      </c>
      <c r="E61" t="s">
        <v>8</v>
      </c>
    </row>
    <row r="63" spans="1:5" x14ac:dyDescent="0.25">
      <c r="A63" s="124" t="s">
        <v>57</v>
      </c>
      <c r="B63" s="7"/>
      <c r="C63" s="7"/>
      <c r="D63" s="126">
        <f>ROUNDUP((D43+D52+D61),0)</f>
        <v>37</v>
      </c>
      <c r="E63" s="124" t="s">
        <v>8</v>
      </c>
    </row>
    <row r="66" spans="1:6" x14ac:dyDescent="0.25">
      <c r="A66" s="56" t="s">
        <v>461</v>
      </c>
    </row>
    <row r="68" spans="1:6" x14ac:dyDescent="0.25">
      <c r="A68" s="6" t="s">
        <v>376</v>
      </c>
    </row>
    <row r="69" spans="1:6" x14ac:dyDescent="0.25">
      <c r="A69" t="s">
        <v>292</v>
      </c>
      <c r="D69">
        <v>4.08</v>
      </c>
      <c r="E69" t="s">
        <v>278</v>
      </c>
      <c r="F69">
        <f>588/144</f>
        <v>4.083333333333333</v>
      </c>
    </row>
    <row r="70" spans="1:6" x14ac:dyDescent="0.25">
      <c r="A70" t="s">
        <v>293</v>
      </c>
      <c r="D70" s="1">
        <f>188.7</f>
        <v>188.7</v>
      </c>
      <c r="E70" t="s">
        <v>2</v>
      </c>
    </row>
    <row r="71" spans="1:6" x14ac:dyDescent="0.25">
      <c r="A71" t="s">
        <v>294</v>
      </c>
      <c r="D71">
        <v>2</v>
      </c>
      <c r="E71" t="s">
        <v>116</v>
      </c>
    </row>
    <row r="72" spans="1:6" x14ac:dyDescent="0.25">
      <c r="A72" t="s">
        <v>56</v>
      </c>
      <c r="D72" s="1">
        <f>D69*D70*D71</f>
        <v>1539.7919999999999</v>
      </c>
      <c r="E72" t="s">
        <v>295</v>
      </c>
    </row>
    <row r="73" spans="1:6" x14ac:dyDescent="0.25">
      <c r="D73">
        <f>ROUNDUP(D72/27,0)</f>
        <v>58</v>
      </c>
      <c r="E73" t="s">
        <v>8</v>
      </c>
    </row>
    <row r="75" spans="1:6" x14ac:dyDescent="0.25">
      <c r="A75" t="s">
        <v>377</v>
      </c>
      <c r="D75" s="1">
        <f>(4*1.82)</f>
        <v>7.28</v>
      </c>
      <c r="E75" t="s">
        <v>8</v>
      </c>
    </row>
    <row r="76" spans="1:6" x14ac:dyDescent="0.25">
      <c r="A76" t="s">
        <v>378</v>
      </c>
      <c r="D76" s="1">
        <f>D73+D75</f>
        <v>65.28</v>
      </c>
      <c r="E76" t="s">
        <v>8</v>
      </c>
    </row>
    <row r="78" spans="1:6" x14ac:dyDescent="0.25">
      <c r="A78" s="6" t="s">
        <v>289</v>
      </c>
    </row>
    <row r="80" spans="1:6" x14ac:dyDescent="0.25">
      <c r="A80" t="s">
        <v>142</v>
      </c>
      <c r="D80">
        <v>4.75</v>
      </c>
      <c r="E80" t="s">
        <v>2</v>
      </c>
    </row>
    <row r="81" spans="1:5" x14ac:dyDescent="0.25">
      <c r="A81" t="s">
        <v>143</v>
      </c>
      <c r="D81">
        <v>50</v>
      </c>
      <c r="E81" t="s">
        <v>2</v>
      </c>
    </row>
    <row r="82" spans="1:5" x14ac:dyDescent="0.25">
      <c r="A82" t="s">
        <v>283</v>
      </c>
      <c r="D82">
        <v>9</v>
      </c>
      <c r="E82" t="s">
        <v>49</v>
      </c>
    </row>
    <row r="83" spans="1:5" x14ac:dyDescent="0.25">
      <c r="A83" t="s">
        <v>287</v>
      </c>
      <c r="D83">
        <v>1</v>
      </c>
      <c r="E83" t="s">
        <v>49</v>
      </c>
    </row>
    <row r="84" spans="1:5" x14ac:dyDescent="0.25">
      <c r="A84" t="s">
        <v>144</v>
      </c>
      <c r="D84">
        <v>7</v>
      </c>
      <c r="E84" t="s">
        <v>49</v>
      </c>
    </row>
    <row r="85" spans="1:5" x14ac:dyDescent="0.25">
      <c r="A85" s="231" t="s">
        <v>50</v>
      </c>
      <c r="B85" s="231"/>
    </row>
    <row r="86" spans="1:5" x14ac:dyDescent="0.25">
      <c r="A86" s="231"/>
      <c r="B86" s="231"/>
      <c r="D86">
        <v>1</v>
      </c>
      <c r="E86" t="s">
        <v>49</v>
      </c>
    </row>
    <row r="87" spans="1:5" x14ac:dyDescent="0.25">
      <c r="A87" s="138" t="s">
        <v>466</v>
      </c>
      <c r="B87" s="138"/>
      <c r="D87">
        <v>7</v>
      </c>
      <c r="E87" t="s">
        <v>116</v>
      </c>
    </row>
    <row r="88" spans="1:5" x14ac:dyDescent="0.25">
      <c r="A88" t="s">
        <v>145</v>
      </c>
      <c r="D88">
        <v>3.5</v>
      </c>
      <c r="E88" t="s">
        <v>2</v>
      </c>
    </row>
    <row r="89" spans="1:5" x14ac:dyDescent="0.25">
      <c r="A89" t="s">
        <v>286</v>
      </c>
      <c r="D89">
        <v>1</v>
      </c>
      <c r="E89" t="s">
        <v>2</v>
      </c>
    </row>
    <row r="91" spans="1:5" x14ac:dyDescent="0.25">
      <c r="A91" t="s">
        <v>51</v>
      </c>
      <c r="D91" s="1">
        <f>(D80*D81*(D84+D86)/12)</f>
        <v>158.33333333333334</v>
      </c>
      <c r="E91" t="s">
        <v>13</v>
      </c>
    </row>
    <row r="92" spans="1:5" x14ac:dyDescent="0.25">
      <c r="D92" s="1">
        <f>D91/27</f>
        <v>5.8641975308641978</v>
      </c>
      <c r="E92" t="s">
        <v>8</v>
      </c>
    </row>
    <row r="94" spans="1:5" x14ac:dyDescent="0.25">
      <c r="A94" s="6" t="s">
        <v>462</v>
      </c>
    </row>
    <row r="96" spans="1:5" x14ac:dyDescent="0.25">
      <c r="A96" t="s">
        <v>463</v>
      </c>
      <c r="D96">
        <v>50</v>
      </c>
      <c r="E96" t="s">
        <v>2</v>
      </c>
    </row>
    <row r="97" spans="1:5" x14ac:dyDescent="0.25">
      <c r="A97" t="s">
        <v>465</v>
      </c>
      <c r="D97">
        <v>3.75</v>
      </c>
      <c r="E97" t="s">
        <v>2</v>
      </c>
    </row>
    <row r="98" spans="1:5" x14ac:dyDescent="0.25">
      <c r="A98" t="s">
        <v>464</v>
      </c>
      <c r="D98">
        <v>3.75</v>
      </c>
      <c r="E98" t="s">
        <v>2</v>
      </c>
    </row>
    <row r="100" spans="1:5" x14ac:dyDescent="0.25">
      <c r="A100" t="s">
        <v>51</v>
      </c>
      <c r="D100" s="1">
        <f>(D96*D97*D98)</f>
        <v>703.125</v>
      </c>
      <c r="E100" t="s">
        <v>13</v>
      </c>
    </row>
    <row r="101" spans="1:5" x14ac:dyDescent="0.25">
      <c r="D101" s="1">
        <f>D100/27</f>
        <v>26.041666666666668</v>
      </c>
      <c r="E101" t="s">
        <v>8</v>
      </c>
    </row>
    <row r="104" spans="1:5" x14ac:dyDescent="0.25">
      <c r="A104" s="6" t="s">
        <v>290</v>
      </c>
    </row>
    <row r="106" spans="1:5" x14ac:dyDescent="0.25">
      <c r="A106" t="s">
        <v>142</v>
      </c>
      <c r="D106">
        <v>4.75</v>
      </c>
      <c r="E106" t="s">
        <v>2</v>
      </c>
    </row>
    <row r="107" spans="1:5" x14ac:dyDescent="0.25">
      <c r="A107" t="s">
        <v>143</v>
      </c>
      <c r="D107">
        <v>50</v>
      </c>
      <c r="E107" t="s">
        <v>2</v>
      </c>
    </row>
    <row r="108" spans="1:5" x14ac:dyDescent="0.25">
      <c r="A108" t="s">
        <v>283</v>
      </c>
      <c r="D108">
        <v>9</v>
      </c>
      <c r="E108" t="s">
        <v>49</v>
      </c>
    </row>
    <row r="109" spans="1:5" x14ac:dyDescent="0.25">
      <c r="A109" t="s">
        <v>287</v>
      </c>
      <c r="D109">
        <v>1</v>
      </c>
      <c r="E109" t="s">
        <v>49</v>
      </c>
    </row>
    <row r="110" spans="1:5" x14ac:dyDescent="0.25">
      <c r="A110" t="s">
        <v>144</v>
      </c>
      <c r="D110">
        <v>7</v>
      </c>
      <c r="E110" t="s">
        <v>49</v>
      </c>
    </row>
    <row r="111" spans="1:5" x14ac:dyDescent="0.25">
      <c r="A111" s="231" t="s">
        <v>50</v>
      </c>
      <c r="B111" s="231"/>
    </row>
    <row r="112" spans="1:5" x14ac:dyDescent="0.25">
      <c r="A112" s="231"/>
      <c r="B112" s="231"/>
      <c r="D112">
        <v>1</v>
      </c>
      <c r="E112" t="s">
        <v>49</v>
      </c>
    </row>
    <row r="113" spans="1:5" x14ac:dyDescent="0.25">
      <c r="A113" s="138" t="s">
        <v>466</v>
      </c>
      <c r="B113" s="138"/>
      <c r="D113">
        <v>7</v>
      </c>
      <c r="E113" t="s">
        <v>116</v>
      </c>
    </row>
    <row r="114" spans="1:5" x14ac:dyDescent="0.25">
      <c r="A114" t="s">
        <v>145</v>
      </c>
      <c r="D114">
        <v>3.5</v>
      </c>
      <c r="E114" t="s">
        <v>2</v>
      </c>
    </row>
    <row r="115" spans="1:5" x14ac:dyDescent="0.25">
      <c r="A115" t="s">
        <v>286</v>
      </c>
      <c r="D115">
        <v>1</v>
      </c>
      <c r="E115" t="s">
        <v>2</v>
      </c>
    </row>
    <row r="117" spans="1:5" x14ac:dyDescent="0.25">
      <c r="A117" t="s">
        <v>51</v>
      </c>
      <c r="D117" s="1">
        <f>(D106*D107*(D110+D112)/12)</f>
        <v>158.33333333333334</v>
      </c>
      <c r="E117" t="s">
        <v>13</v>
      </c>
    </row>
    <row r="118" spans="1:5" x14ac:dyDescent="0.25">
      <c r="D118" s="1">
        <f>D117/27</f>
        <v>5.8641975308641978</v>
      </c>
      <c r="E118" t="s">
        <v>8</v>
      </c>
    </row>
    <row r="120" spans="1:5" x14ac:dyDescent="0.25">
      <c r="A120" s="6" t="s">
        <v>467</v>
      </c>
    </row>
    <row r="122" spans="1:5" x14ac:dyDescent="0.25">
      <c r="A122" t="s">
        <v>463</v>
      </c>
      <c r="D122">
        <v>50</v>
      </c>
      <c r="E122" t="s">
        <v>2</v>
      </c>
    </row>
    <row r="123" spans="1:5" x14ac:dyDescent="0.25">
      <c r="A123" t="s">
        <v>465</v>
      </c>
      <c r="D123">
        <v>3.75</v>
      </c>
      <c r="E123" t="s">
        <v>2</v>
      </c>
    </row>
    <row r="124" spans="1:5" x14ac:dyDescent="0.25">
      <c r="A124" t="s">
        <v>464</v>
      </c>
      <c r="D124">
        <v>3.75</v>
      </c>
      <c r="E124" t="s">
        <v>2</v>
      </c>
    </row>
    <row r="126" spans="1:5" x14ac:dyDescent="0.25">
      <c r="A126" t="s">
        <v>51</v>
      </c>
      <c r="D126" s="1">
        <f>(D122*D123*D124)</f>
        <v>703.125</v>
      </c>
      <c r="E126" t="s">
        <v>13</v>
      </c>
    </row>
    <row r="127" spans="1:5" x14ac:dyDescent="0.25">
      <c r="D127" s="1">
        <f>D126/27</f>
        <v>26.041666666666668</v>
      </c>
      <c r="E127" t="s">
        <v>8</v>
      </c>
    </row>
    <row r="129" spans="1:7" x14ac:dyDescent="0.25">
      <c r="A129" t="s">
        <v>473</v>
      </c>
    </row>
    <row r="130" spans="1:7" x14ac:dyDescent="0.25">
      <c r="A130" t="s">
        <v>474</v>
      </c>
    </row>
    <row r="131" spans="1:7" x14ac:dyDescent="0.25">
      <c r="A131" t="s">
        <v>475</v>
      </c>
    </row>
    <row r="132" spans="1:7" x14ac:dyDescent="0.25">
      <c r="A132" t="s">
        <v>476</v>
      </c>
    </row>
    <row r="134" spans="1:7" x14ac:dyDescent="0.25">
      <c r="A134" s="124" t="s">
        <v>378</v>
      </c>
      <c r="B134" s="124"/>
      <c r="C134" s="124"/>
      <c r="D134" s="126">
        <f>D76+D92+D101+D118+D127</f>
        <v>129.09172839506175</v>
      </c>
      <c r="E134" s="124" t="s">
        <v>8</v>
      </c>
    </row>
    <row r="138" spans="1:7" x14ac:dyDescent="0.25">
      <c r="A138" s="125" t="s">
        <v>437</v>
      </c>
      <c r="B138" s="113"/>
      <c r="C138" s="113"/>
      <c r="D138" s="113"/>
      <c r="E138" s="113"/>
      <c r="F138" s="114"/>
      <c r="G138" s="114"/>
    </row>
    <row r="139" spans="1:7" x14ac:dyDescent="0.25">
      <c r="A139" s="2"/>
    </row>
    <row r="140" spans="1:7" x14ac:dyDescent="0.25">
      <c r="A140" s="3" t="s">
        <v>299</v>
      </c>
      <c r="B140" s="3"/>
    </row>
    <row r="141" spans="1:7" x14ac:dyDescent="0.25">
      <c r="A141" t="s">
        <v>60</v>
      </c>
      <c r="D141">
        <v>187</v>
      </c>
      <c r="E141" t="s">
        <v>2</v>
      </c>
    </row>
    <row r="142" spans="1:7" x14ac:dyDescent="0.25">
      <c r="A142" t="s">
        <v>248</v>
      </c>
      <c r="D142">
        <v>10.25</v>
      </c>
      <c r="E142" t="s">
        <v>2</v>
      </c>
    </row>
    <row r="143" spans="1:7" x14ac:dyDescent="0.25">
      <c r="A143" t="s">
        <v>61</v>
      </c>
      <c r="D143">
        <v>2</v>
      </c>
    </row>
    <row r="144" spans="1:7" x14ac:dyDescent="0.25">
      <c r="A144" t="s">
        <v>62</v>
      </c>
      <c r="D144">
        <f>D141*D142*D143</f>
        <v>3833.5</v>
      </c>
      <c r="E144" t="s">
        <v>40</v>
      </c>
    </row>
    <row r="145" spans="1:5" x14ac:dyDescent="0.25">
      <c r="D145" s="2">
        <f>ROUNDUP(D144/9,0)</f>
        <v>426</v>
      </c>
      <c r="E145" s="2" t="s">
        <v>24</v>
      </c>
    </row>
    <row r="147" spans="1:5" x14ac:dyDescent="0.25">
      <c r="A147" s="6" t="s">
        <v>63</v>
      </c>
    </row>
    <row r="148" spans="1:5" x14ac:dyDescent="0.25">
      <c r="A148" t="s">
        <v>64</v>
      </c>
      <c r="D148">
        <v>2</v>
      </c>
    </row>
    <row r="149" spans="1:5" x14ac:dyDescent="0.25">
      <c r="A149" t="s">
        <v>76</v>
      </c>
      <c r="D149">
        <v>3</v>
      </c>
      <c r="E149" t="s">
        <v>2</v>
      </c>
    </row>
    <row r="150" spans="1:5" x14ac:dyDescent="0.25">
      <c r="A150" t="s">
        <v>448</v>
      </c>
      <c r="D150">
        <v>4.5</v>
      </c>
      <c r="E150" t="s">
        <v>2</v>
      </c>
    </row>
    <row r="151" spans="1:5" x14ac:dyDescent="0.25">
      <c r="A151" t="s">
        <v>449</v>
      </c>
      <c r="D151">
        <v>49.25</v>
      </c>
      <c r="E151" t="s">
        <v>2</v>
      </c>
    </row>
    <row r="152" spans="1:5" x14ac:dyDescent="0.25">
      <c r="A152" t="s">
        <v>232</v>
      </c>
      <c r="D152">
        <v>12</v>
      </c>
      <c r="E152" t="s">
        <v>2</v>
      </c>
    </row>
    <row r="153" spans="1:5" x14ac:dyDescent="0.25">
      <c r="A153" t="s">
        <v>450</v>
      </c>
      <c r="D153" s="1">
        <f>PI()*D149</f>
        <v>9.4247779607693793</v>
      </c>
      <c r="E153" t="s">
        <v>2</v>
      </c>
    </row>
    <row r="155" spans="1:5" x14ac:dyDescent="0.25">
      <c r="A155" t="s">
        <v>451</v>
      </c>
      <c r="D155">
        <f>D149*D150</f>
        <v>13.5</v>
      </c>
      <c r="E155" t="s">
        <v>40</v>
      </c>
    </row>
    <row r="156" spans="1:5" x14ac:dyDescent="0.25">
      <c r="A156" t="s">
        <v>68</v>
      </c>
      <c r="D156">
        <v>2</v>
      </c>
    </row>
    <row r="157" spans="1:5" x14ac:dyDescent="0.25">
      <c r="A157" t="s">
        <v>78</v>
      </c>
      <c r="D157">
        <f>D155*D156</f>
        <v>27</v>
      </c>
      <c r="E157" t="s">
        <v>40</v>
      </c>
    </row>
    <row r="159" spans="1:5" x14ac:dyDescent="0.25">
      <c r="A159" t="s">
        <v>452</v>
      </c>
      <c r="D159">
        <f>D149*D151</f>
        <v>147.75</v>
      </c>
      <c r="E159" t="s">
        <v>40</v>
      </c>
    </row>
    <row r="160" spans="1:5" x14ac:dyDescent="0.25">
      <c r="A160" t="s">
        <v>69</v>
      </c>
      <c r="D160">
        <v>1</v>
      </c>
    </row>
    <row r="162" spans="1:5" x14ac:dyDescent="0.25">
      <c r="A162" t="s">
        <v>67</v>
      </c>
      <c r="D162">
        <f>D150*D151</f>
        <v>221.625</v>
      </c>
      <c r="E162" t="s">
        <v>40</v>
      </c>
    </row>
    <row r="163" spans="1:5" x14ac:dyDescent="0.25">
      <c r="A163" t="s">
        <v>70</v>
      </c>
      <c r="D163">
        <v>2</v>
      </c>
    </row>
    <row r="164" spans="1:5" x14ac:dyDescent="0.25">
      <c r="A164" t="s">
        <v>78</v>
      </c>
      <c r="D164">
        <f>D162*D163</f>
        <v>443.25</v>
      </c>
      <c r="E164" t="s">
        <v>40</v>
      </c>
    </row>
    <row r="166" spans="1:5" x14ac:dyDescent="0.25">
      <c r="A166" t="s">
        <v>71</v>
      </c>
    </row>
    <row r="167" spans="1:5" x14ac:dyDescent="0.25">
      <c r="A167" t="s">
        <v>75</v>
      </c>
      <c r="D167">
        <f>D149*D151</f>
        <v>147.75</v>
      </c>
      <c r="E167" t="s">
        <v>40</v>
      </c>
    </row>
    <row r="168" spans="1:5" x14ac:dyDescent="0.25">
      <c r="A168" t="s">
        <v>77</v>
      </c>
      <c r="D168">
        <v>1</v>
      </c>
    </row>
    <row r="170" spans="1:5" x14ac:dyDescent="0.25">
      <c r="A170" t="s">
        <v>453</v>
      </c>
      <c r="D170">
        <v>12</v>
      </c>
      <c r="E170" t="s">
        <v>2</v>
      </c>
    </row>
    <row r="171" spans="1:5" x14ac:dyDescent="0.25">
      <c r="A171" t="s">
        <v>454</v>
      </c>
      <c r="D171">
        <f>D153*D170</f>
        <v>113.09733552923255</v>
      </c>
      <c r="E171" t="s">
        <v>40</v>
      </c>
    </row>
    <row r="172" spans="1:5" x14ac:dyDescent="0.25">
      <c r="A172" t="s">
        <v>455</v>
      </c>
      <c r="D172">
        <v>4</v>
      </c>
      <c r="E172" t="s">
        <v>456</v>
      </c>
    </row>
    <row r="173" spans="1:5" x14ac:dyDescent="0.25">
      <c r="A173" t="s">
        <v>457</v>
      </c>
      <c r="D173">
        <f>D171*D172</f>
        <v>452.38934211693021</v>
      </c>
      <c r="E173" t="s">
        <v>40</v>
      </c>
    </row>
    <row r="175" spans="1:5" x14ac:dyDescent="0.25">
      <c r="A175" t="s">
        <v>78</v>
      </c>
      <c r="D175">
        <f>D148*(D157+D159+D164+D167+D173)</f>
        <v>2436.2786842338605</v>
      </c>
      <c r="E175" t="s">
        <v>40</v>
      </c>
    </row>
    <row r="176" spans="1:5" x14ac:dyDescent="0.25">
      <c r="D176" s="2">
        <f>ROUNDUP(D175/9,0)</f>
        <v>271</v>
      </c>
      <c r="E176" s="2" t="s">
        <v>24</v>
      </c>
    </row>
    <row r="178" spans="1:7" x14ac:dyDescent="0.25">
      <c r="A178" s="3" t="s">
        <v>80</v>
      </c>
      <c r="B178" s="3"/>
      <c r="C178" s="3"/>
      <c r="D178" s="3"/>
      <c r="E178" s="3"/>
      <c r="F178" s="3"/>
      <c r="G178" s="3"/>
    </row>
    <row r="180" spans="1:7" x14ac:dyDescent="0.25">
      <c r="A180" t="s">
        <v>81</v>
      </c>
      <c r="D180">
        <v>2</v>
      </c>
      <c r="E180" t="s">
        <v>2</v>
      </c>
    </row>
    <row r="181" spans="1:7" x14ac:dyDescent="0.25">
      <c r="A181" t="s">
        <v>82</v>
      </c>
      <c r="D181">
        <v>50</v>
      </c>
      <c r="E181" t="s">
        <v>2</v>
      </c>
    </row>
    <row r="182" spans="1:7" x14ac:dyDescent="0.25">
      <c r="A182" t="s">
        <v>276</v>
      </c>
      <c r="D182">
        <v>2</v>
      </c>
      <c r="E182" t="s">
        <v>2</v>
      </c>
    </row>
    <row r="183" spans="1:7" x14ac:dyDescent="0.25">
      <c r="A183" t="s">
        <v>88</v>
      </c>
      <c r="D183">
        <v>1.75</v>
      </c>
      <c r="E183" t="s">
        <v>2</v>
      </c>
    </row>
    <row r="184" spans="1:7" x14ac:dyDescent="0.25">
      <c r="A184" t="s">
        <v>275</v>
      </c>
      <c r="D184">
        <v>4</v>
      </c>
      <c r="E184" t="s">
        <v>2</v>
      </c>
    </row>
    <row r="186" spans="1:7" x14ac:dyDescent="0.25">
      <c r="A186" t="s">
        <v>84</v>
      </c>
      <c r="D186">
        <f>D182*D181</f>
        <v>100</v>
      </c>
      <c r="E186" t="s">
        <v>40</v>
      </c>
    </row>
    <row r="187" spans="1:7" x14ac:dyDescent="0.25">
      <c r="A187" t="s">
        <v>85</v>
      </c>
      <c r="D187">
        <f>D181*D180</f>
        <v>100</v>
      </c>
      <c r="E187" t="s">
        <v>40</v>
      </c>
    </row>
    <row r="188" spans="1:7" x14ac:dyDescent="0.25">
      <c r="A188" t="s">
        <v>86</v>
      </c>
      <c r="D188">
        <f>2*(D180*D182)</f>
        <v>8</v>
      </c>
      <c r="E188" t="s">
        <v>40</v>
      </c>
    </row>
    <row r="190" spans="1:7" x14ac:dyDescent="0.25">
      <c r="A190" s="29" t="s">
        <v>300</v>
      </c>
      <c r="B190" s="5"/>
      <c r="D190">
        <f>D184*D181</f>
        <v>200</v>
      </c>
      <c r="E190" t="s">
        <v>40</v>
      </c>
    </row>
    <row r="191" spans="1:7" x14ac:dyDescent="0.25">
      <c r="A191" s="5"/>
      <c r="B191" s="5"/>
    </row>
    <row r="192" spans="1:7" x14ac:dyDescent="0.25">
      <c r="A192" s="4"/>
      <c r="B192" s="4"/>
    </row>
    <row r="193" spans="1:7" x14ac:dyDescent="0.25">
      <c r="A193" s="29" t="s">
        <v>390</v>
      </c>
      <c r="B193" s="55"/>
      <c r="D193">
        <f>0.5*(13*5)</f>
        <v>32.5</v>
      </c>
      <c r="E193" t="s">
        <v>87</v>
      </c>
    </row>
    <row r="194" spans="1:7" x14ac:dyDescent="0.25">
      <c r="A194" s="29" t="s">
        <v>458</v>
      </c>
      <c r="B194" s="55"/>
      <c r="D194" s="1">
        <f>13*((32+18+32)/12)</f>
        <v>88.833333333333329</v>
      </c>
      <c r="E194" t="s">
        <v>40</v>
      </c>
    </row>
    <row r="195" spans="1:7" x14ac:dyDescent="0.25">
      <c r="A195" s="29" t="s">
        <v>391</v>
      </c>
      <c r="B195" s="55"/>
      <c r="D195">
        <f>0.5*(13*5)</f>
        <v>32.5</v>
      </c>
      <c r="E195" t="s">
        <v>87</v>
      </c>
    </row>
    <row r="196" spans="1:7" x14ac:dyDescent="0.25">
      <c r="A196" s="29" t="s">
        <v>458</v>
      </c>
      <c r="B196" s="55"/>
      <c r="D196" s="1">
        <f>13*((32+18+32)/12)</f>
        <v>88.833333333333329</v>
      </c>
      <c r="E196" t="s">
        <v>40</v>
      </c>
    </row>
    <row r="198" spans="1:7" x14ac:dyDescent="0.25">
      <c r="A198" t="s">
        <v>78</v>
      </c>
      <c r="D198">
        <f>D186+D187+D188+D190+D193+D194+D195+D196</f>
        <v>650.66666666666674</v>
      </c>
      <c r="E198" t="s">
        <v>40</v>
      </c>
    </row>
    <row r="199" spans="1:7" x14ac:dyDescent="0.25">
      <c r="D199" s="2">
        <f>ROUNDUP(D198/9,0)</f>
        <v>73</v>
      </c>
      <c r="E199" s="2" t="s">
        <v>24</v>
      </c>
    </row>
    <row r="202" spans="1:7" x14ac:dyDescent="0.25">
      <c r="A202" s="3" t="s">
        <v>89</v>
      </c>
      <c r="B202" s="3"/>
      <c r="C202" s="3"/>
      <c r="D202" s="3"/>
      <c r="E202" s="3"/>
      <c r="F202" s="3"/>
      <c r="G202" s="3"/>
    </row>
    <row r="204" spans="1:7" x14ac:dyDescent="0.25">
      <c r="A204" t="s">
        <v>81</v>
      </c>
      <c r="D204">
        <v>2</v>
      </c>
      <c r="E204" t="s">
        <v>2</v>
      </c>
    </row>
    <row r="205" spans="1:7" x14ac:dyDescent="0.25">
      <c r="A205" t="s">
        <v>82</v>
      </c>
      <c r="D205">
        <v>50</v>
      </c>
      <c r="E205" t="s">
        <v>2</v>
      </c>
    </row>
    <row r="206" spans="1:7" x14ac:dyDescent="0.25">
      <c r="A206" t="s">
        <v>276</v>
      </c>
      <c r="D206">
        <v>2</v>
      </c>
      <c r="E206" t="s">
        <v>2</v>
      </c>
    </row>
    <row r="207" spans="1:7" x14ac:dyDescent="0.25">
      <c r="A207" t="s">
        <v>88</v>
      </c>
      <c r="D207">
        <v>1.75</v>
      </c>
      <c r="E207" t="s">
        <v>2</v>
      </c>
    </row>
    <row r="208" spans="1:7" x14ac:dyDescent="0.25">
      <c r="A208" t="s">
        <v>275</v>
      </c>
      <c r="D208">
        <v>4</v>
      </c>
      <c r="E208" t="s">
        <v>2</v>
      </c>
    </row>
    <row r="210" spans="1:5" x14ac:dyDescent="0.25">
      <c r="A210" t="s">
        <v>84</v>
      </c>
      <c r="D210">
        <f>D205*D206</f>
        <v>100</v>
      </c>
      <c r="E210" t="s">
        <v>40</v>
      </c>
    </row>
    <row r="211" spans="1:5" x14ac:dyDescent="0.25">
      <c r="A211" t="s">
        <v>85</v>
      </c>
      <c r="D211">
        <f>D205*D204</f>
        <v>100</v>
      </c>
      <c r="E211" t="s">
        <v>40</v>
      </c>
    </row>
    <row r="212" spans="1:5" x14ac:dyDescent="0.25">
      <c r="A212" t="s">
        <v>86</v>
      </c>
      <c r="D212">
        <f>2*(D204*D206)</f>
        <v>8</v>
      </c>
      <c r="E212" t="s">
        <v>40</v>
      </c>
    </row>
    <row r="214" spans="1:5" x14ac:dyDescent="0.25">
      <c r="A214" s="29" t="s">
        <v>300</v>
      </c>
      <c r="B214" s="5"/>
      <c r="D214">
        <f>D208*D205</f>
        <v>200</v>
      </c>
      <c r="E214" t="s">
        <v>40</v>
      </c>
    </row>
    <row r="215" spans="1:5" x14ac:dyDescent="0.25">
      <c r="A215" s="5"/>
      <c r="B215" s="5"/>
    </row>
    <row r="216" spans="1:5" x14ac:dyDescent="0.25">
      <c r="A216" s="4"/>
      <c r="B216" s="4"/>
    </row>
    <row r="217" spans="1:5" x14ac:dyDescent="0.25">
      <c r="A217" s="29" t="s">
        <v>390</v>
      </c>
      <c r="B217" s="55"/>
      <c r="D217">
        <f>0.5*(13*5)</f>
        <v>32.5</v>
      </c>
      <c r="E217" t="s">
        <v>87</v>
      </c>
    </row>
    <row r="218" spans="1:5" x14ac:dyDescent="0.25">
      <c r="A218" s="29" t="s">
        <v>392</v>
      </c>
      <c r="B218" s="55"/>
      <c r="D218" s="1">
        <f>13*((32+18+32)/12)</f>
        <v>88.833333333333329</v>
      </c>
      <c r="E218" t="s">
        <v>40</v>
      </c>
    </row>
    <row r="219" spans="1:5" x14ac:dyDescent="0.25">
      <c r="A219" s="29" t="s">
        <v>391</v>
      </c>
      <c r="B219" s="55"/>
      <c r="D219">
        <f>0.5*(13*5)</f>
        <v>32.5</v>
      </c>
      <c r="E219" t="s">
        <v>87</v>
      </c>
    </row>
    <row r="220" spans="1:5" x14ac:dyDescent="0.25">
      <c r="A220" s="29" t="s">
        <v>392</v>
      </c>
      <c r="B220" s="55"/>
      <c r="D220" s="1">
        <f>13*((32+18+32)/12)</f>
        <v>88.833333333333329</v>
      </c>
      <c r="E220" t="s">
        <v>40</v>
      </c>
    </row>
    <row r="222" spans="1:5" x14ac:dyDescent="0.25">
      <c r="A222" t="s">
        <v>78</v>
      </c>
      <c r="D222" s="1">
        <f>D210+D211+D212+D214+D217+D218+D219+D220</f>
        <v>650.66666666666674</v>
      </c>
      <c r="E222" t="s">
        <v>40</v>
      </c>
    </row>
    <row r="223" spans="1:5" x14ac:dyDescent="0.25">
      <c r="D223" s="2">
        <f>ROUNDUP(D222/9,0)</f>
        <v>73</v>
      </c>
      <c r="E223" s="2" t="s">
        <v>24</v>
      </c>
    </row>
    <row r="225" spans="1:8" x14ac:dyDescent="0.25">
      <c r="A225" s="124" t="s">
        <v>90</v>
      </c>
      <c r="B225" s="7"/>
      <c r="C225" s="7"/>
      <c r="D225" s="124">
        <f>ROUNDUP(D145+D176+D199+D223,0)</f>
        <v>843</v>
      </c>
      <c r="E225" s="124" t="s">
        <v>24</v>
      </c>
    </row>
    <row r="227" spans="1:8" x14ac:dyDescent="0.25">
      <c r="A227" s="125" t="s">
        <v>459</v>
      </c>
      <c r="E227" s="124">
        <f>D225-D145+(3/10.25)*D145</f>
        <v>541.68292682926824</v>
      </c>
      <c r="F227" s="124" t="s">
        <v>24</v>
      </c>
      <c r="H227">
        <f>(3/10.25)*D145</f>
        <v>124.68292682926828</v>
      </c>
    </row>
    <row r="230" spans="1:8" x14ac:dyDescent="0.25">
      <c r="A230" s="56" t="s">
        <v>274</v>
      </c>
    </row>
    <row r="232" spans="1:8" x14ac:dyDescent="0.25">
      <c r="A232" t="s">
        <v>11</v>
      </c>
      <c r="D232">
        <v>25</v>
      </c>
      <c r="E232" t="s">
        <v>2</v>
      </c>
    </row>
    <row r="233" spans="1:8" x14ac:dyDescent="0.25">
      <c r="A233" t="s">
        <v>10</v>
      </c>
      <c r="D233">
        <v>2</v>
      </c>
      <c r="E233" t="s">
        <v>2</v>
      </c>
      <c r="F233" t="s">
        <v>21</v>
      </c>
    </row>
    <row r="234" spans="1:8" x14ac:dyDescent="0.25">
      <c r="A234" t="s">
        <v>12</v>
      </c>
      <c r="D234">
        <v>2</v>
      </c>
    </row>
    <row r="235" spans="1:8" x14ac:dyDescent="0.25">
      <c r="A235" t="s">
        <v>22</v>
      </c>
      <c r="D235">
        <f>D232*D233*D234</f>
        <v>100</v>
      </c>
      <c r="E235" t="s">
        <v>23</v>
      </c>
      <c r="F235">
        <f>D235/9</f>
        <v>11.111111111111111</v>
      </c>
      <c r="G235" t="s">
        <v>24</v>
      </c>
    </row>
    <row r="237" spans="1:8" x14ac:dyDescent="0.25">
      <c r="A237" t="s">
        <v>25</v>
      </c>
      <c r="D237" s="1">
        <v>187</v>
      </c>
      <c r="E237" t="s">
        <v>2</v>
      </c>
      <c r="F237" t="s">
        <v>27</v>
      </c>
    </row>
    <row r="238" spans="1:8" x14ac:dyDescent="0.25">
      <c r="A238" t="s">
        <v>26</v>
      </c>
      <c r="D238">
        <v>2</v>
      </c>
      <c r="E238" t="s">
        <v>2</v>
      </c>
      <c r="F238" t="s">
        <v>21</v>
      </c>
    </row>
    <row r="239" spans="1:8" x14ac:dyDescent="0.25">
      <c r="A239" t="s">
        <v>36</v>
      </c>
      <c r="D239" s="1">
        <f>D237*D238</f>
        <v>374</v>
      </c>
      <c r="E239" t="s">
        <v>23</v>
      </c>
      <c r="F239">
        <f>D239/9</f>
        <v>41.555555555555557</v>
      </c>
      <c r="G239" t="s">
        <v>24</v>
      </c>
    </row>
    <row r="241" spans="1:39" x14ac:dyDescent="0.25">
      <c r="A241" s="124" t="s">
        <v>28</v>
      </c>
      <c r="B241" s="124">
        <f>ROUNDUP(F235+F239,0)</f>
        <v>53</v>
      </c>
      <c r="C241" s="124" t="s">
        <v>24</v>
      </c>
    </row>
    <row r="243" spans="1:39" x14ac:dyDescent="0.25">
      <c r="A243" s="125" t="s">
        <v>504</v>
      </c>
    </row>
    <row r="245" spans="1:39" x14ac:dyDescent="0.25">
      <c r="A245" t="s">
        <v>505</v>
      </c>
      <c r="B245" s="124">
        <f>ROUNDUP(4*2*11/9,0)</f>
        <v>10</v>
      </c>
      <c r="C245" s="124" t="s">
        <v>24</v>
      </c>
    </row>
    <row r="249" spans="1:39" x14ac:dyDescent="0.25">
      <c r="A249" s="137" t="s">
        <v>433</v>
      </c>
      <c r="B249" s="63"/>
      <c r="C249" s="63"/>
      <c r="D249" s="63"/>
      <c r="E249" s="63"/>
    </row>
    <row r="250" spans="1:39" x14ac:dyDescent="0.25">
      <c r="A250" s="63"/>
      <c r="B250" s="63"/>
      <c r="C250" s="63"/>
      <c r="D250" s="63"/>
      <c r="E250" s="63"/>
    </row>
    <row r="251" spans="1:39" x14ac:dyDescent="0.25">
      <c r="A251" s="63" t="s">
        <v>434</v>
      </c>
      <c r="B251" s="63"/>
      <c r="C251" s="63"/>
      <c r="D251" s="63">
        <f>3*1*(0.5/12)*490</f>
        <v>61.25</v>
      </c>
      <c r="E251" s="63" t="s">
        <v>18</v>
      </c>
    </row>
    <row r="252" spans="1:39" x14ac:dyDescent="0.25">
      <c r="A252" s="57"/>
    </row>
    <row r="253" spans="1:39" x14ac:dyDescent="0.25">
      <c r="A253" s="212" t="s">
        <v>309</v>
      </c>
      <c r="B253" s="212"/>
      <c r="C253" s="212"/>
      <c r="D253" s="212"/>
      <c r="E253" s="212"/>
      <c r="F253" s="212"/>
      <c r="G253" s="212"/>
      <c r="H253" s="212"/>
      <c r="I253" s="212"/>
      <c r="J253" s="212"/>
    </row>
    <row r="254" spans="1:39" x14ac:dyDescent="0.25">
      <c r="A254" s="212"/>
      <c r="B254" s="212"/>
      <c r="C254" s="212"/>
      <c r="D254" s="212"/>
      <c r="E254" s="212"/>
      <c r="F254" s="212"/>
      <c r="G254" s="212"/>
      <c r="H254" s="212"/>
      <c r="I254" s="212"/>
      <c r="J254" s="212"/>
    </row>
    <row r="255" spans="1:39" x14ac:dyDescent="0.25">
      <c r="A255" s="212"/>
      <c r="B255" s="212"/>
      <c r="C255" s="212"/>
      <c r="D255" s="212"/>
      <c r="E255" s="212"/>
      <c r="F255" s="212"/>
      <c r="G255" s="212"/>
      <c r="H255" s="212"/>
      <c r="I255" s="212"/>
      <c r="J255" s="212"/>
    </row>
    <row r="256" spans="1:39" ht="15.6" x14ac:dyDescent="0.25">
      <c r="H256" t="s">
        <v>338</v>
      </c>
      <c r="L256" t="s">
        <v>339</v>
      </c>
      <c r="P256" t="s">
        <v>340</v>
      </c>
      <c r="Q256">
        <f>2*(2.5+72+2.5)+(3*18)-(2*0.4375)</f>
        <v>207.125</v>
      </c>
      <c r="T256" t="s">
        <v>341</v>
      </c>
      <c r="AM256" s="8"/>
    </row>
    <row r="257" spans="2:71" ht="32.700000000000003" x14ac:dyDescent="0.25">
      <c r="H257" s="9" t="s">
        <v>418</v>
      </c>
      <c r="I257" s="10">
        <f>2*(33)+(3*11.5)-(2*0.5)</f>
        <v>99.5</v>
      </c>
      <c r="J257" s="10" t="s">
        <v>92</v>
      </c>
      <c r="K257" s="9" t="s">
        <v>93</v>
      </c>
      <c r="L257" s="9" t="s">
        <v>91</v>
      </c>
      <c r="M257" s="10">
        <v>0</v>
      </c>
      <c r="N257" s="10" t="s">
        <v>92</v>
      </c>
      <c r="O257" s="9" t="s">
        <v>93</v>
      </c>
      <c r="P257" s="9" t="s">
        <v>91</v>
      </c>
      <c r="Q257" s="10">
        <v>0</v>
      </c>
      <c r="R257" s="10" t="s">
        <v>92</v>
      </c>
      <c r="S257" s="9" t="s">
        <v>93</v>
      </c>
      <c r="T257" s="9" t="s">
        <v>91</v>
      </c>
      <c r="U257" s="10">
        <v>0</v>
      </c>
      <c r="V257" s="10" t="s">
        <v>92</v>
      </c>
      <c r="W257" s="9" t="s">
        <v>93</v>
      </c>
      <c r="X257" s="115"/>
    </row>
    <row r="258" spans="2:71" ht="133.65" x14ac:dyDescent="0.25">
      <c r="B258" s="116">
        <v>514</v>
      </c>
      <c r="C258" s="132" t="s">
        <v>94</v>
      </c>
      <c r="D258" s="115" t="s">
        <v>95</v>
      </c>
      <c r="E258" s="116" t="s">
        <v>40</v>
      </c>
      <c r="F258" s="12">
        <f>P276</f>
        <v>12185.387053730567</v>
      </c>
      <c r="H258" s="58" t="s">
        <v>417</v>
      </c>
      <c r="I258" s="10">
        <f>I257/12</f>
        <v>8.2916666666666661</v>
      </c>
      <c r="J258" s="10" t="s">
        <v>52</v>
      </c>
      <c r="K258" s="13"/>
      <c r="L258" s="58" t="s">
        <v>337</v>
      </c>
      <c r="M258" s="10">
        <f>M257/12</f>
        <v>0</v>
      </c>
      <c r="N258" s="10" t="s">
        <v>52</v>
      </c>
      <c r="O258" s="13"/>
      <c r="P258" s="58" t="s">
        <v>381</v>
      </c>
      <c r="Q258" s="10">
        <f>Q257/12</f>
        <v>0</v>
      </c>
      <c r="R258" s="10" t="s">
        <v>52</v>
      </c>
      <c r="S258" s="13"/>
      <c r="T258" s="58" t="s">
        <v>382</v>
      </c>
      <c r="U258" s="10">
        <f>U257/12</f>
        <v>0</v>
      </c>
      <c r="V258" s="10" t="s">
        <v>52</v>
      </c>
      <c r="W258" s="13"/>
      <c r="X258" s="116"/>
    </row>
    <row r="259" spans="2:71" ht="44.55" x14ac:dyDescent="0.25">
      <c r="B259" s="116">
        <v>514</v>
      </c>
      <c r="C259" s="132" t="s">
        <v>96</v>
      </c>
      <c r="D259" s="115" t="s">
        <v>97</v>
      </c>
      <c r="E259" s="116" t="s">
        <v>40</v>
      </c>
      <c r="F259" s="12">
        <f>P276</f>
        <v>12185.387053730567</v>
      </c>
      <c r="AH259" s="129" t="s">
        <v>407</v>
      </c>
      <c r="AI259" s="60"/>
      <c r="AJ259" s="60"/>
      <c r="AK259" s="60"/>
      <c r="AL259" s="60"/>
      <c r="AM259" s="60"/>
      <c r="AN259" s="60"/>
      <c r="AO259" s="60"/>
      <c r="AP259" s="60"/>
      <c r="AQ259" s="61"/>
    </row>
    <row r="260" spans="2:71" ht="59.4" x14ac:dyDescent="0.25">
      <c r="B260" s="116">
        <v>514</v>
      </c>
      <c r="C260" s="132" t="s">
        <v>98</v>
      </c>
      <c r="D260" s="115" t="s">
        <v>99</v>
      </c>
      <c r="E260" s="116" t="s">
        <v>40</v>
      </c>
      <c r="F260" s="12">
        <f>P276</f>
        <v>12185.387053730567</v>
      </c>
      <c r="H260" s="10" t="s">
        <v>100</v>
      </c>
      <c r="I260" s="10">
        <v>185</v>
      </c>
      <c r="J260" s="10" t="s">
        <v>52</v>
      </c>
      <c r="K260" s="10"/>
      <c r="L260" s="10" t="s">
        <v>100</v>
      </c>
      <c r="M260" s="10">
        <v>0</v>
      </c>
      <c r="N260" s="10" t="s">
        <v>52</v>
      </c>
      <c r="O260" s="10"/>
      <c r="P260" s="10" t="s">
        <v>100</v>
      </c>
      <c r="Q260" s="10">
        <v>0</v>
      </c>
      <c r="R260" s="10" t="s">
        <v>52</v>
      </c>
      <c r="S260" s="10"/>
      <c r="T260" s="10" t="s">
        <v>100</v>
      </c>
      <c r="U260" s="10">
        <v>0</v>
      </c>
      <c r="V260" s="10" t="s">
        <v>52</v>
      </c>
      <c r="W260" s="10"/>
      <c r="AH260" s="62"/>
      <c r="AI260" s="63"/>
      <c r="AJ260" s="63"/>
      <c r="AK260" s="63"/>
      <c r="AL260" s="63"/>
      <c r="AM260" s="63" t="s">
        <v>102</v>
      </c>
      <c r="AN260" s="63"/>
      <c r="AO260" s="64">
        <v>8.1999999999999993</v>
      </c>
      <c r="AP260" s="65" t="s">
        <v>103</v>
      </c>
      <c r="AQ260" s="66"/>
    </row>
    <row r="261" spans="2:71" ht="44.55" x14ac:dyDescent="0.25">
      <c r="B261" s="116">
        <v>514</v>
      </c>
      <c r="C261" s="132" t="s">
        <v>104</v>
      </c>
      <c r="D261" s="115" t="s">
        <v>105</v>
      </c>
      <c r="E261" s="116" t="s">
        <v>40</v>
      </c>
      <c r="F261" s="12">
        <f>P276</f>
        <v>12185.387053730567</v>
      </c>
      <c r="H261" s="22" t="s">
        <v>106</v>
      </c>
      <c r="I261" s="23" t="s">
        <v>107</v>
      </c>
      <c r="J261" s="24"/>
      <c r="K261" s="22"/>
      <c r="L261" s="22" t="s">
        <v>106</v>
      </c>
      <c r="M261" s="23" t="s">
        <v>339</v>
      </c>
      <c r="N261" s="24"/>
      <c r="O261" s="22"/>
      <c r="P261" s="22" t="s">
        <v>106</v>
      </c>
      <c r="Q261" s="23" t="s">
        <v>340</v>
      </c>
      <c r="R261" s="24"/>
      <c r="S261" s="22"/>
      <c r="T261" s="22" t="s">
        <v>106</v>
      </c>
      <c r="U261" s="23" t="s">
        <v>341</v>
      </c>
      <c r="V261" s="24"/>
      <c r="W261" s="22"/>
      <c r="X261" s="117"/>
      <c r="Y261" s="213" t="s">
        <v>352</v>
      </c>
      <c r="Z261" s="214"/>
      <c r="AA261" s="214"/>
      <c r="AB261" s="214"/>
      <c r="AC261" s="214"/>
      <c r="AD261" s="214"/>
      <c r="AE261" s="214"/>
      <c r="AF261" s="215"/>
      <c r="AH261" s="62"/>
      <c r="AI261" s="63"/>
      <c r="AJ261" s="63"/>
      <c r="AK261" s="63"/>
      <c r="AL261" s="65"/>
      <c r="AM261" s="65"/>
      <c r="AN261" s="65"/>
      <c r="AO261" s="63"/>
      <c r="AP261" s="63"/>
      <c r="AQ261" s="66"/>
    </row>
    <row r="262" spans="2:71" ht="44.55" x14ac:dyDescent="0.25">
      <c r="B262" s="116">
        <v>514</v>
      </c>
      <c r="C262" s="132" t="s">
        <v>109</v>
      </c>
      <c r="D262" s="133" t="s">
        <v>110</v>
      </c>
      <c r="E262" s="116" t="s">
        <v>111</v>
      </c>
      <c r="F262" s="134">
        <f>ROUNDUP(J264*J266/60,0)</f>
        <v>19</v>
      </c>
      <c r="H262" s="10" t="s">
        <v>112</v>
      </c>
      <c r="I262" s="10">
        <f>I260*I258</f>
        <v>1533.9583333333333</v>
      </c>
      <c r="J262" s="10" t="s">
        <v>113</v>
      </c>
      <c r="K262" s="10"/>
      <c r="L262" s="10" t="s">
        <v>112</v>
      </c>
      <c r="M262" s="10">
        <f>M260*M258</f>
        <v>0</v>
      </c>
      <c r="N262" s="10" t="s">
        <v>113</v>
      </c>
      <c r="O262" s="10"/>
      <c r="P262" s="10" t="s">
        <v>112</v>
      </c>
      <c r="Q262" s="10">
        <f>Q260*Q258</f>
        <v>0</v>
      </c>
      <c r="R262" s="10" t="s">
        <v>113</v>
      </c>
      <c r="S262" s="10"/>
      <c r="T262" s="10" t="s">
        <v>112</v>
      </c>
      <c r="U262" s="10">
        <f>U260*U258</f>
        <v>0</v>
      </c>
      <c r="V262" s="10" t="s">
        <v>113</v>
      </c>
      <c r="W262" s="10"/>
      <c r="X262" s="19"/>
      <c r="Y262" s="19"/>
      <c r="Z262" t="s">
        <v>114</v>
      </c>
      <c r="AA262" s="27">
        <v>6.96</v>
      </c>
      <c r="AB262" s="27" t="s">
        <v>52</v>
      </c>
      <c r="AC262" s="27"/>
      <c r="AF262" s="21"/>
      <c r="AH262" s="216" t="s">
        <v>352</v>
      </c>
      <c r="AI262" s="217"/>
      <c r="AJ262" s="217"/>
      <c r="AK262" s="217"/>
      <c r="AL262" s="217"/>
      <c r="AM262" s="217"/>
      <c r="AN262" s="217"/>
      <c r="AO262" s="63"/>
      <c r="AP262" s="63"/>
      <c r="AQ262" s="66"/>
      <c r="AW262" t="s">
        <v>387</v>
      </c>
    </row>
    <row r="263" spans="2:71" ht="30.45" thickBot="1" x14ac:dyDescent="0.4">
      <c r="B263" s="116">
        <v>514</v>
      </c>
      <c r="C263" s="36">
        <v>10000</v>
      </c>
      <c r="D263" s="133" t="s">
        <v>115</v>
      </c>
      <c r="E263" s="116" t="s">
        <v>116</v>
      </c>
      <c r="F263" s="30">
        <f>ROUNDUP(MAX(F258/1200,(J264*J266/150)),0)</f>
        <v>11</v>
      </c>
      <c r="H263" s="90" t="s">
        <v>117</v>
      </c>
      <c r="I263" s="91">
        <f>I262*1.1</f>
        <v>1687.3541666666667</v>
      </c>
      <c r="J263" s="90" t="s">
        <v>113</v>
      </c>
      <c r="K263" s="90"/>
      <c r="L263" s="10" t="s">
        <v>117</v>
      </c>
      <c r="M263" s="31">
        <f>M262*1.1</f>
        <v>0</v>
      </c>
      <c r="N263" s="10" t="s">
        <v>113</v>
      </c>
      <c r="O263" s="10"/>
      <c r="P263" s="10" t="s">
        <v>117</v>
      </c>
      <c r="Q263" s="31">
        <f>Q262*1.1</f>
        <v>0</v>
      </c>
      <c r="R263" s="10" t="s">
        <v>113</v>
      </c>
      <c r="S263" s="10"/>
      <c r="T263" s="10" t="s">
        <v>117</v>
      </c>
      <c r="U263" s="31">
        <f>U262*1.1</f>
        <v>0</v>
      </c>
      <c r="V263" s="10" t="s">
        <v>113</v>
      </c>
      <c r="W263" s="10"/>
      <c r="X263" s="19"/>
      <c r="Y263" s="19" t="s">
        <v>419</v>
      </c>
      <c r="Z263" s="28" t="s">
        <v>386</v>
      </c>
      <c r="AA263">
        <f>6.96*12</f>
        <v>83.52</v>
      </c>
      <c r="AB263" t="s">
        <v>92</v>
      </c>
      <c r="AD263" s="25"/>
      <c r="AF263" s="21"/>
      <c r="AH263" s="67"/>
      <c r="AI263" s="65"/>
      <c r="AJ263" s="65" t="s">
        <v>101</v>
      </c>
      <c r="AK263" s="65" t="s">
        <v>119</v>
      </c>
      <c r="AL263" s="65" t="s">
        <v>120</v>
      </c>
      <c r="AM263" s="65"/>
      <c r="AN263" s="65"/>
      <c r="AO263" s="68" t="s">
        <v>118</v>
      </c>
      <c r="AP263" s="63">
        <v>2</v>
      </c>
      <c r="AQ263" s="66" t="s">
        <v>92</v>
      </c>
      <c r="AW263" s="118" t="s">
        <v>357</v>
      </c>
      <c r="AX263" s="118">
        <v>10.25</v>
      </c>
      <c r="AY263" s="118" t="s">
        <v>52</v>
      </c>
      <c r="AZ263" s="118"/>
      <c r="BA263" s="118"/>
      <c r="BB263" s="118"/>
      <c r="BC263" s="118"/>
      <c r="BD263" s="118"/>
      <c r="BE263" s="118"/>
      <c r="BF263" s="118" t="s">
        <v>357</v>
      </c>
      <c r="BG263" s="118">
        <v>13.5</v>
      </c>
      <c r="BH263" s="118" t="s">
        <v>52</v>
      </c>
      <c r="BI263" s="118"/>
    </row>
    <row r="264" spans="2:71" x14ac:dyDescent="0.25">
      <c r="H264" s="92" t="s">
        <v>121</v>
      </c>
      <c r="I264" s="93"/>
      <c r="J264" s="94">
        <f>I260+M260+Q260+U260</f>
        <v>185</v>
      </c>
      <c r="K264" s="95" t="s">
        <v>52</v>
      </c>
      <c r="Y264" s="19"/>
      <c r="Z264" s="28" t="s">
        <v>422</v>
      </c>
      <c r="AA264">
        <f>30-2</f>
        <v>28</v>
      </c>
      <c r="AB264" t="s">
        <v>92</v>
      </c>
      <c r="AD264" s="25"/>
      <c r="AF264" s="21"/>
      <c r="AH264" s="67"/>
      <c r="AI264" s="65" t="s">
        <v>114</v>
      </c>
      <c r="AJ264" s="65">
        <v>9.9600000000000009</v>
      </c>
      <c r="AK264" s="65">
        <f>AJ264/3</f>
        <v>3.3200000000000003</v>
      </c>
      <c r="AL264" s="65">
        <f>AJ264/6</f>
        <v>1.6600000000000001</v>
      </c>
      <c r="AM264" s="65"/>
      <c r="AN264" s="65"/>
      <c r="AO264" s="63" t="s">
        <v>92</v>
      </c>
      <c r="AP264" s="63"/>
      <c r="AQ264" s="66"/>
      <c r="AW264" s="118" t="s">
        <v>114</v>
      </c>
      <c r="AX264" s="118">
        <v>9.83</v>
      </c>
      <c r="AY264" s="118" t="s">
        <v>52</v>
      </c>
      <c r="AZ264" s="118"/>
      <c r="BA264" s="118"/>
      <c r="BB264" s="118"/>
      <c r="BC264" s="118"/>
      <c r="BD264" s="118"/>
      <c r="BE264" s="118"/>
      <c r="BF264" s="118" t="s">
        <v>114</v>
      </c>
      <c r="BG264" s="118">
        <v>9.83</v>
      </c>
      <c r="BH264" s="118" t="s">
        <v>52</v>
      </c>
      <c r="BI264" s="118"/>
    </row>
    <row r="265" spans="2:71" x14ac:dyDescent="0.25">
      <c r="H265" s="102" t="s">
        <v>342</v>
      </c>
      <c r="I265" s="103"/>
      <c r="J265" s="128">
        <f>(I263+M263+Q263+U263)</f>
        <v>1687.3541666666667</v>
      </c>
      <c r="K265" s="104" t="s">
        <v>113</v>
      </c>
      <c r="M265" t="s">
        <v>375</v>
      </c>
      <c r="N265" s="52">
        <f>BO272</f>
        <v>0</v>
      </c>
      <c r="O265" t="s">
        <v>126</v>
      </c>
      <c r="Y265" s="19"/>
      <c r="AF265" s="21"/>
      <c r="AH265" s="67"/>
      <c r="AI265" s="65" t="s">
        <v>321</v>
      </c>
      <c r="AJ265" s="65">
        <v>72</v>
      </c>
      <c r="AK265" s="69" t="s">
        <v>92</v>
      </c>
      <c r="AL265" s="65"/>
      <c r="AM265" s="65"/>
      <c r="AN265" s="65"/>
      <c r="AO265" s="63" t="s">
        <v>92</v>
      </c>
      <c r="AP265" s="63"/>
      <c r="AQ265" s="66"/>
      <c r="AW265" s="118" t="s">
        <v>356</v>
      </c>
      <c r="AX265" s="118">
        <f>2*(SQRT((AX277)^2+(AZ274)^2))</f>
        <v>28.403619487663892</v>
      </c>
      <c r="AY265" s="118" t="s">
        <v>52</v>
      </c>
      <c r="AZ265" s="118"/>
      <c r="BA265" s="118"/>
      <c r="BB265" s="118"/>
      <c r="BC265" s="118"/>
      <c r="BD265" s="118"/>
      <c r="BE265" s="118"/>
      <c r="BF265" s="118" t="s">
        <v>356</v>
      </c>
      <c r="BG265" s="118">
        <f>2*(SQRT((BG277)^2+(BI274)^2))</f>
        <v>33.399335322727609</v>
      </c>
      <c r="BH265" s="118" t="s">
        <v>52</v>
      </c>
      <c r="BI265" s="118"/>
      <c r="BL265" s="14"/>
      <c r="BM265" s="16"/>
      <c r="BN265" s="16"/>
      <c r="BO265" s="16"/>
      <c r="BP265" s="16"/>
      <c r="BQ265" s="16"/>
      <c r="BR265" s="16"/>
      <c r="BS265" s="17"/>
    </row>
    <row r="266" spans="2:71" x14ac:dyDescent="0.25">
      <c r="H266" s="96" t="s">
        <v>123</v>
      </c>
      <c r="I266" s="35"/>
      <c r="J266" s="10">
        <v>6</v>
      </c>
      <c r="K266" s="97"/>
      <c r="M266" t="s">
        <v>374</v>
      </c>
      <c r="N266" s="52">
        <f>BS292</f>
        <v>96.761053730565635</v>
      </c>
      <c r="O266" t="s">
        <v>126</v>
      </c>
      <c r="R266" s="14" t="s">
        <v>363</v>
      </c>
      <c r="S266" s="16" t="s">
        <v>423</v>
      </c>
      <c r="T266" s="16" t="s">
        <v>365</v>
      </c>
      <c r="U266" s="17" t="s">
        <v>424</v>
      </c>
      <c r="Y266" s="19"/>
      <c r="AF266" s="21"/>
      <c r="AH266" s="67"/>
      <c r="AI266" s="65"/>
      <c r="AJ266" s="65">
        <f>AJ265/12</f>
        <v>6</v>
      </c>
      <c r="AK266" s="69" t="s">
        <v>52</v>
      </c>
      <c r="AL266" s="65">
        <f>AI270^2+AI273^2</f>
        <v>40.136400000000002</v>
      </c>
      <c r="AM266" s="65"/>
      <c r="AN266" s="70">
        <f>AI270^2+AJ273^2</f>
        <v>34.809372250000003</v>
      </c>
      <c r="AO266" s="63" t="s">
        <v>92</v>
      </c>
      <c r="AP266" s="63"/>
      <c r="AQ266" s="66"/>
      <c r="AW266" s="119" t="s">
        <v>343</v>
      </c>
      <c r="AX266" s="118">
        <f>0.33*4*AX265</f>
        <v>37.492777723716337</v>
      </c>
      <c r="AY266" s="118" t="s">
        <v>113</v>
      </c>
      <c r="AZ266" s="118"/>
      <c r="BA266" s="118"/>
      <c r="BB266" s="118"/>
      <c r="BC266" s="118"/>
      <c r="BD266" s="118"/>
      <c r="BE266" s="118"/>
      <c r="BF266" s="119" t="s">
        <v>343</v>
      </c>
      <c r="BG266" s="118">
        <f>0.33*4*BG265</f>
        <v>44.087122626000443</v>
      </c>
      <c r="BH266" s="118" t="s">
        <v>113</v>
      </c>
      <c r="BI266" s="118"/>
      <c r="BL266" s="19"/>
      <c r="BN266" t="s">
        <v>368</v>
      </c>
      <c r="BS266" s="21"/>
    </row>
    <row r="267" spans="2:71" ht="15.6" thickBot="1" x14ac:dyDescent="0.3">
      <c r="H267" s="98" t="s">
        <v>360</v>
      </c>
      <c r="I267" s="99"/>
      <c r="J267" s="100">
        <f>J265*J266</f>
        <v>10124.125</v>
      </c>
      <c r="K267" s="101" t="s">
        <v>113</v>
      </c>
      <c r="R267" s="19" t="s">
        <v>366</v>
      </c>
      <c r="S267">
        <v>1.76</v>
      </c>
      <c r="T267">
        <v>1.76</v>
      </c>
      <c r="U267" s="21">
        <v>7.84</v>
      </c>
      <c r="Y267" s="19"/>
      <c r="AF267" s="21"/>
      <c r="AH267" s="67"/>
      <c r="AI267" s="65"/>
      <c r="AJ267" s="65"/>
      <c r="AK267" s="69"/>
      <c r="AL267" s="65"/>
      <c r="AM267" s="65"/>
      <c r="AN267" s="65"/>
      <c r="AO267" s="63"/>
      <c r="AP267" s="63"/>
      <c r="AQ267" s="66"/>
      <c r="AW267" s="120" t="s">
        <v>132</v>
      </c>
      <c r="AX267" s="118">
        <f>AX266*1.1</f>
        <v>41.242055496087971</v>
      </c>
      <c r="AY267" s="118" t="s">
        <v>113</v>
      </c>
      <c r="AZ267" s="118"/>
      <c r="BA267" s="118"/>
      <c r="BB267" s="118"/>
      <c r="BC267" s="118"/>
      <c r="BD267" s="118"/>
      <c r="BE267" s="118"/>
      <c r="BF267" s="120" t="s">
        <v>132</v>
      </c>
      <c r="BG267" s="118">
        <f>BG266*1.1</f>
        <v>48.495834888600491</v>
      </c>
      <c r="BH267" s="118" t="s">
        <v>113</v>
      </c>
      <c r="BI267" s="118"/>
      <c r="BL267" s="19"/>
      <c r="BM267" t="s">
        <v>370</v>
      </c>
      <c r="BN267" t="s">
        <v>364</v>
      </c>
      <c r="BO267">
        <f>(BM274*BL276)+(BS276*BP273)+(2*(BL276-BS276)*BP273/2)</f>
        <v>798</v>
      </c>
      <c r="BP267" t="s">
        <v>369</v>
      </c>
      <c r="BS267" s="21"/>
    </row>
    <row r="268" spans="2:71" x14ac:dyDescent="0.25">
      <c r="H268" s="4"/>
      <c r="R268" s="19" t="s">
        <v>358</v>
      </c>
      <c r="S268">
        <v>13</v>
      </c>
      <c r="T268">
        <v>13</v>
      </c>
      <c r="U268" s="21">
        <v>26</v>
      </c>
      <c r="Y268" s="19"/>
      <c r="Z268">
        <f>(Z269)/12</f>
        <v>2.3333333333333335</v>
      </c>
      <c r="AA268" t="s">
        <v>2</v>
      </c>
      <c r="AF268" s="21"/>
      <c r="AH268" s="67"/>
      <c r="AI268" s="65"/>
      <c r="AJ268" s="65"/>
      <c r="AK268" s="65"/>
      <c r="AL268" s="65"/>
      <c r="AM268" s="65"/>
      <c r="AN268" s="65"/>
      <c r="AO268" s="63"/>
      <c r="AP268" s="63">
        <v>1.333</v>
      </c>
      <c r="AQ268" s="66" t="s">
        <v>125</v>
      </c>
      <c r="AW268" s="118" t="s">
        <v>358</v>
      </c>
      <c r="AX268" s="118">
        <v>0</v>
      </c>
      <c r="AY268" s="118"/>
      <c r="AZ268" s="118"/>
      <c r="BA268" s="118"/>
      <c r="BB268" s="118"/>
      <c r="BC268" s="118"/>
      <c r="BD268" s="118"/>
      <c r="BE268" s="118"/>
      <c r="BF268" s="118" t="s">
        <v>358</v>
      </c>
      <c r="BG268" s="118">
        <v>0</v>
      </c>
      <c r="BH268" s="118"/>
      <c r="BI268" s="118"/>
      <c r="BL268" s="19"/>
      <c r="BM268" t="s">
        <v>371</v>
      </c>
      <c r="BN268" t="s">
        <v>364</v>
      </c>
      <c r="BO268">
        <f>0</f>
        <v>0</v>
      </c>
      <c r="BP268" t="s">
        <v>369</v>
      </c>
      <c r="BS268" s="21"/>
    </row>
    <row r="269" spans="2:71" x14ac:dyDescent="0.25">
      <c r="H269" s="14" t="s">
        <v>325</v>
      </c>
      <c r="I269" s="16"/>
      <c r="J269" s="16">
        <f>2*(6*72)/144</f>
        <v>6</v>
      </c>
      <c r="K269" s="17" t="s">
        <v>126</v>
      </c>
      <c r="R269" s="19" t="s">
        <v>361</v>
      </c>
      <c r="S269">
        <f>S267*S268</f>
        <v>22.88</v>
      </c>
      <c r="T269">
        <f>T267*T268</f>
        <v>22.88</v>
      </c>
      <c r="U269" s="21">
        <f>U267*U268</f>
        <v>203.84</v>
      </c>
      <c r="Y269" s="19"/>
      <c r="Z269">
        <f>AA264</f>
        <v>28</v>
      </c>
      <c r="AD269">
        <f>(SQRT((AB272/2)^2+(Z268)^2))</f>
        <v>4.189850169689179</v>
      </c>
      <c r="AE269" t="s">
        <v>2</v>
      </c>
      <c r="AF269" s="21"/>
      <c r="AH269" s="67"/>
      <c r="AI269" s="65"/>
      <c r="AJ269" s="70">
        <f>SQRT(AN266)</f>
        <v>5.8999468006076121</v>
      </c>
      <c r="AK269" s="70"/>
      <c r="AL269" s="65"/>
      <c r="AM269" s="70">
        <f>AH270</f>
        <v>6.335</v>
      </c>
      <c r="AN269" s="65"/>
      <c r="AO269" s="63"/>
      <c r="AP269" s="71">
        <f>0.33*AP268*2</f>
        <v>0.87978000000000001</v>
      </c>
      <c r="AQ269" s="66" t="s">
        <v>126</v>
      </c>
      <c r="AW269" s="118" t="s">
        <v>359</v>
      </c>
      <c r="AX269" s="118">
        <f>AX268*AX267*2</f>
        <v>0</v>
      </c>
      <c r="AY269" s="118"/>
      <c r="AZ269" s="118"/>
      <c r="BA269" s="118"/>
      <c r="BB269" s="118"/>
      <c r="BC269" s="118"/>
      <c r="BD269" s="118"/>
      <c r="BE269" s="118"/>
      <c r="BF269" s="118" t="s">
        <v>359</v>
      </c>
      <c r="BG269" s="118">
        <f>BG268*BG267*2</f>
        <v>0</v>
      </c>
      <c r="BH269" s="118"/>
      <c r="BI269" s="118"/>
      <c r="BL269" s="19"/>
      <c r="BM269" t="s">
        <v>372</v>
      </c>
      <c r="BN269" t="s">
        <v>364</v>
      </c>
      <c r="BO269">
        <f>(BO267+BO268)/144*2</f>
        <v>11.083333333333334</v>
      </c>
      <c r="BP269" t="s">
        <v>113</v>
      </c>
      <c r="BS269" s="21"/>
    </row>
    <row r="270" spans="2:71" x14ac:dyDescent="0.25">
      <c r="H270" s="19" t="s">
        <v>187</v>
      </c>
      <c r="J270">
        <v>0</v>
      </c>
      <c r="K270" s="21" t="s">
        <v>329</v>
      </c>
      <c r="R270" s="19"/>
      <c r="U270" s="21"/>
      <c r="Y270" s="19"/>
      <c r="AF270" s="21"/>
      <c r="AH270" s="72">
        <v>6.335</v>
      </c>
      <c r="AI270" s="73">
        <v>5.58</v>
      </c>
      <c r="AJ270" s="65"/>
      <c r="AK270" s="65"/>
      <c r="AL270" s="65"/>
      <c r="AM270" s="65"/>
      <c r="AN270" s="65"/>
      <c r="AO270" s="63"/>
      <c r="AP270" s="63">
        <v>7</v>
      </c>
      <c r="AQ270" s="66" t="s">
        <v>125</v>
      </c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  <c r="BH270" s="118"/>
      <c r="BI270" s="118"/>
      <c r="BL270" s="19"/>
      <c r="BM270" t="s">
        <v>358</v>
      </c>
      <c r="BO270">
        <v>0</v>
      </c>
      <c r="BS270" s="21"/>
    </row>
    <row r="271" spans="2:71" x14ac:dyDescent="0.25">
      <c r="H271" s="19" t="s">
        <v>188</v>
      </c>
      <c r="J271" s="7">
        <f>J269*J270</f>
        <v>0</v>
      </c>
      <c r="K271" s="21" t="s">
        <v>126</v>
      </c>
      <c r="R271" s="19"/>
      <c r="S271" t="s">
        <v>351</v>
      </c>
      <c r="T271">
        <f>S269+T269+U269</f>
        <v>249.6</v>
      </c>
      <c r="U271" s="21"/>
      <c r="Y271" s="19"/>
      <c r="AF271" s="21"/>
      <c r="AH271" s="67"/>
      <c r="AI271" s="65"/>
      <c r="AJ271" s="65"/>
      <c r="AK271" s="65"/>
      <c r="AL271" s="65"/>
      <c r="AM271" s="65"/>
      <c r="AN271" s="65"/>
      <c r="AO271" s="63"/>
      <c r="AP271" s="71">
        <f>0.33*AP270*2</f>
        <v>4.62</v>
      </c>
      <c r="AQ271" s="66" t="s">
        <v>126</v>
      </c>
      <c r="AW271" s="118"/>
      <c r="AX271" s="118"/>
      <c r="AY271" s="118"/>
      <c r="AZ271" s="121"/>
      <c r="BA271" s="118"/>
      <c r="BB271" s="118"/>
      <c r="BC271" s="118"/>
      <c r="BD271" s="118"/>
      <c r="BE271" s="118"/>
      <c r="BF271" s="118"/>
      <c r="BG271" s="118"/>
      <c r="BH271" s="118"/>
      <c r="BI271" s="121"/>
      <c r="BL271" s="19"/>
      <c r="BM271" t="s">
        <v>373</v>
      </c>
      <c r="BO271">
        <f>BO269*BO270</f>
        <v>0</v>
      </c>
      <c r="BS271" s="21"/>
    </row>
    <row r="272" spans="2:71" x14ac:dyDescent="0.25">
      <c r="H272" s="49" t="s">
        <v>189</v>
      </c>
      <c r="I272" s="3"/>
      <c r="J272" s="3"/>
      <c r="K272" s="44"/>
      <c r="R272" s="49"/>
      <c r="S272" s="112" t="s">
        <v>367</v>
      </c>
      <c r="T272" s="59">
        <f>T271*1.1</f>
        <v>274.56</v>
      </c>
      <c r="U272" s="44"/>
      <c r="Y272" s="19"/>
      <c r="AB272" s="27">
        <f>AA262</f>
        <v>6.96</v>
      </c>
      <c r="AF272" s="21"/>
      <c r="AH272" s="67"/>
      <c r="AI272" s="65"/>
      <c r="AJ272" s="65"/>
      <c r="AK272" s="65"/>
      <c r="AL272" s="65"/>
      <c r="AM272" s="65"/>
      <c r="AN272" s="65"/>
      <c r="AO272" s="63"/>
      <c r="AP272" s="63"/>
      <c r="AQ272" s="66"/>
      <c r="AW272" s="118"/>
      <c r="AX272" s="118">
        <f>SQRT((AX277)^2+(AZ274)^2)</f>
        <v>14.201809743831946</v>
      </c>
      <c r="AY272" s="118"/>
      <c r="AZ272" s="121"/>
      <c r="BA272" s="118"/>
      <c r="BB272" s="118"/>
      <c r="BC272" s="118"/>
      <c r="BD272" s="118"/>
      <c r="BE272" s="118"/>
      <c r="BF272" s="118"/>
      <c r="BG272" s="118">
        <f>SQRT((BG277)^2+(BI274)^2)</f>
        <v>16.699667661363804</v>
      </c>
      <c r="BH272" s="118"/>
      <c r="BI272" s="121"/>
      <c r="BL272" s="19"/>
      <c r="BM272" t="s">
        <v>367</v>
      </c>
      <c r="BO272" s="7">
        <f>BO271*1.1</f>
        <v>0</v>
      </c>
      <c r="BS272" s="21"/>
    </row>
    <row r="273" spans="8:71" x14ac:dyDescent="0.25">
      <c r="Y273" s="19"/>
      <c r="AF273" s="21"/>
      <c r="AH273" s="67"/>
      <c r="AI273" s="70">
        <v>3</v>
      </c>
      <c r="AJ273" s="70">
        <v>1.9165000000000001</v>
      </c>
      <c r="AK273" s="65"/>
      <c r="AL273" s="65"/>
      <c r="AM273" s="65"/>
      <c r="AN273" s="65"/>
      <c r="AO273" s="63"/>
      <c r="AP273" s="63"/>
      <c r="AQ273" s="66"/>
      <c r="AW273" s="118"/>
      <c r="AX273" s="118"/>
      <c r="AY273" s="118"/>
      <c r="AZ273" s="121"/>
      <c r="BA273" s="118"/>
      <c r="BB273" s="118"/>
      <c r="BC273" s="118"/>
      <c r="BD273" s="118"/>
      <c r="BE273" s="118"/>
      <c r="BF273" s="118"/>
      <c r="BG273" s="118"/>
      <c r="BH273" s="118"/>
      <c r="BI273" s="121"/>
      <c r="BL273" s="19"/>
      <c r="BP273">
        <v>39</v>
      </c>
      <c r="BS273" s="21"/>
    </row>
    <row r="274" spans="8:71" ht="15.6" thickBot="1" x14ac:dyDescent="0.3">
      <c r="H274" s="14" t="s">
        <v>383</v>
      </c>
      <c r="I274" s="16"/>
      <c r="J274" s="16">
        <f>2*(8*72)/144</f>
        <v>8</v>
      </c>
      <c r="K274" s="17" t="s">
        <v>126</v>
      </c>
      <c r="Y274" s="19" t="s">
        <v>420</v>
      </c>
      <c r="AB274" s="27">
        <f>(2*AD269)+AB272</f>
        <v>15.339700339378357</v>
      </c>
      <c r="AC274" t="s">
        <v>125</v>
      </c>
      <c r="AF274" s="21"/>
      <c r="AH274" s="74"/>
      <c r="AI274" s="75"/>
      <c r="AJ274" s="75"/>
      <c r="AK274" s="75"/>
      <c r="AL274" s="75"/>
      <c r="AM274" s="75"/>
      <c r="AN274" s="75"/>
      <c r="AO274" s="76"/>
      <c r="AP274" s="76"/>
      <c r="AQ274" s="77"/>
      <c r="AW274" s="118"/>
      <c r="AX274" s="118"/>
      <c r="AY274" s="118"/>
      <c r="AZ274" s="121">
        <f>AX264</f>
        <v>9.83</v>
      </c>
      <c r="BA274" s="118"/>
      <c r="BB274" s="118"/>
      <c r="BC274" s="118"/>
      <c r="BD274" s="118"/>
      <c r="BE274" s="118"/>
      <c r="BF274" s="118"/>
      <c r="BG274" s="118"/>
      <c r="BH274" s="118"/>
      <c r="BI274" s="121">
        <f>BG264</f>
        <v>9.83</v>
      </c>
      <c r="BL274" s="19"/>
      <c r="BM274">
        <v>18</v>
      </c>
      <c r="BS274" s="21"/>
    </row>
    <row r="275" spans="8:71" x14ac:dyDescent="0.25">
      <c r="H275" s="19" t="s">
        <v>187</v>
      </c>
      <c r="J275">
        <v>0</v>
      </c>
      <c r="K275" s="21" t="s">
        <v>329</v>
      </c>
      <c r="O275" s="108" t="s">
        <v>362</v>
      </c>
      <c r="P275" s="109"/>
      <c r="Y275" s="19"/>
      <c r="AF275" s="21"/>
      <c r="AH275" s="78"/>
      <c r="AI275" s="79"/>
      <c r="AJ275" s="79" t="s">
        <v>130</v>
      </c>
      <c r="AK275" s="80" t="s">
        <v>353</v>
      </c>
      <c r="AL275" s="79"/>
      <c r="AM275" s="79"/>
      <c r="AN275" s="79"/>
      <c r="AO275" s="60"/>
      <c r="AP275" s="60"/>
      <c r="AQ275" s="61"/>
      <c r="AW275" s="118"/>
      <c r="AX275" s="118"/>
      <c r="AY275" s="118"/>
      <c r="AZ275" s="121"/>
      <c r="BA275" s="118"/>
      <c r="BB275" s="118"/>
      <c r="BC275" s="118"/>
      <c r="BD275" s="118"/>
      <c r="BE275" s="118"/>
      <c r="BF275" s="118"/>
      <c r="BG275" s="118"/>
      <c r="BH275" s="118"/>
      <c r="BI275" s="121"/>
      <c r="BL275" s="19"/>
      <c r="BS275" s="21"/>
    </row>
    <row r="276" spans="8:71" ht="15.6" thickBot="1" x14ac:dyDescent="0.3">
      <c r="H276" s="19" t="s">
        <v>188</v>
      </c>
      <c r="J276" s="7">
        <f>J274*J275</f>
        <v>0</v>
      </c>
      <c r="K276" s="21" t="s">
        <v>126</v>
      </c>
      <c r="O276" s="110" t="s">
        <v>351</v>
      </c>
      <c r="P276" s="111">
        <f>J267+J271+J276+I285+I295+I304+T272+N265+N266</f>
        <v>12185.387053730567</v>
      </c>
      <c r="Y276" s="48" t="s">
        <v>421</v>
      </c>
      <c r="AB276" s="1">
        <f>0.25*4*AB274</f>
        <v>15.339700339378357</v>
      </c>
      <c r="AC276" t="s">
        <v>126</v>
      </c>
      <c r="AF276" s="21"/>
      <c r="AH276" s="74"/>
      <c r="AI276" s="75"/>
      <c r="AJ276" s="75"/>
      <c r="AK276" s="75">
        <f>AJ264+(2*AH270)+(2*AJ269)</f>
        <v>34.429893601215227</v>
      </c>
      <c r="AL276" s="75" t="s">
        <v>52</v>
      </c>
      <c r="AM276" s="75"/>
      <c r="AN276" s="75"/>
      <c r="AO276" s="76"/>
      <c r="AP276" s="76"/>
      <c r="AQ276" s="77"/>
      <c r="AW276" s="118"/>
      <c r="AX276" s="118"/>
      <c r="AY276" s="118"/>
      <c r="AZ276" s="121"/>
      <c r="BA276" s="118"/>
      <c r="BB276" s="118"/>
      <c r="BC276" s="118"/>
      <c r="BD276" s="118"/>
      <c r="BE276" s="118"/>
      <c r="BF276" s="118"/>
      <c r="BG276" s="118"/>
      <c r="BH276" s="118"/>
      <c r="BI276" s="121"/>
      <c r="BL276" s="19">
        <v>14</v>
      </c>
      <c r="BS276" s="21">
        <v>6</v>
      </c>
    </row>
    <row r="277" spans="8:71" x14ac:dyDescent="0.25">
      <c r="H277" s="49" t="s">
        <v>189</v>
      </c>
      <c r="I277" s="3"/>
      <c r="J277" s="3"/>
      <c r="K277" s="44"/>
      <c r="Y277" s="19" t="s">
        <v>132</v>
      </c>
      <c r="AA277" t="s">
        <v>133</v>
      </c>
      <c r="AB277" s="27">
        <f>AB276*1.1</f>
        <v>16.873670373316195</v>
      </c>
      <c r="AC277" t="s">
        <v>126</v>
      </c>
      <c r="AF277" s="21"/>
      <c r="AH277" s="78"/>
      <c r="AI277" s="79"/>
      <c r="AJ277" s="79"/>
      <c r="AK277" s="79"/>
      <c r="AL277" s="79"/>
      <c r="AM277" s="79"/>
      <c r="AN277" s="79"/>
      <c r="AO277" s="60"/>
      <c r="AP277" s="60"/>
      <c r="AQ277" s="61"/>
      <c r="AW277" s="122"/>
      <c r="AX277" s="122">
        <f>AX263</f>
        <v>10.25</v>
      </c>
      <c r="AY277" s="122"/>
      <c r="AZ277" s="118"/>
      <c r="BA277" s="118"/>
      <c r="BB277" s="118"/>
      <c r="BC277" s="118"/>
      <c r="BD277" s="118"/>
      <c r="BE277" s="118"/>
      <c r="BF277" s="122"/>
      <c r="BG277" s="122">
        <f>BG263</f>
        <v>13.5</v>
      </c>
      <c r="BH277" s="122"/>
      <c r="BI277" s="118"/>
      <c r="BL277" s="19"/>
      <c r="BS277" s="21"/>
    </row>
    <row r="278" spans="8:71" x14ac:dyDescent="0.25">
      <c r="Y278" s="19"/>
      <c r="AB278" s="27"/>
      <c r="AF278" s="21"/>
      <c r="AH278" s="67"/>
      <c r="AI278" s="65"/>
      <c r="AJ278" s="65"/>
      <c r="AK278" s="65"/>
      <c r="AL278" s="65"/>
      <c r="AM278" s="65"/>
      <c r="AN278" s="65"/>
      <c r="AO278" s="63"/>
      <c r="AP278" s="63"/>
      <c r="AQ278" s="66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  <c r="BH278" s="118"/>
      <c r="BI278" s="118"/>
      <c r="BL278" s="19"/>
      <c r="BS278" s="21"/>
    </row>
    <row r="279" spans="8:71" x14ac:dyDescent="0.25">
      <c r="H279" t="s">
        <v>435</v>
      </c>
      <c r="Y279" s="49"/>
      <c r="Z279" s="3"/>
      <c r="AA279" s="3"/>
      <c r="AB279" s="3"/>
      <c r="AC279" s="3"/>
      <c r="AD279" s="3"/>
      <c r="AE279" s="3"/>
      <c r="AF279" s="44"/>
      <c r="AH279" s="67"/>
      <c r="AI279" s="65" t="s">
        <v>134</v>
      </c>
      <c r="AJ279" s="65"/>
      <c r="AK279" s="65">
        <f>AK276*(0.3333*4)</f>
        <v>45.901934149140139</v>
      </c>
      <c r="AL279" s="65" t="s">
        <v>126</v>
      </c>
      <c r="AM279" s="65"/>
      <c r="AN279" s="65"/>
      <c r="AO279" s="63"/>
      <c r="AP279" s="63"/>
      <c r="AQ279" s="66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L279" s="19"/>
      <c r="BS279" s="21"/>
    </row>
    <row r="280" spans="8:71" x14ac:dyDescent="0.25">
      <c r="H280" s="10" t="s">
        <v>91</v>
      </c>
      <c r="I280" s="10">
        <v>1.33</v>
      </c>
      <c r="J280" s="10" t="s">
        <v>52</v>
      </c>
      <c r="K280" s="10"/>
      <c r="AH280" s="74"/>
      <c r="AI280" s="75" t="s">
        <v>135</v>
      </c>
      <c r="AJ280" s="75"/>
      <c r="AK280" s="75"/>
      <c r="AL280" s="75"/>
      <c r="AM280" s="75"/>
      <c r="AN280" s="75"/>
      <c r="AO280" s="76"/>
      <c r="AP280" s="76"/>
      <c r="AQ280" s="77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  <c r="BH280" s="118"/>
      <c r="BI280" s="118"/>
      <c r="BL280" s="19"/>
      <c r="BS280" s="21"/>
    </row>
    <row r="281" spans="8:71" x14ac:dyDescent="0.25">
      <c r="H281" s="10" t="s">
        <v>100</v>
      </c>
      <c r="I281" s="41">
        <v>15.39</v>
      </c>
      <c r="J281" s="10" t="s">
        <v>52</v>
      </c>
      <c r="K281" s="10"/>
      <c r="AH281" s="81"/>
      <c r="AI281" s="60"/>
      <c r="AJ281" s="60"/>
      <c r="AK281" s="60"/>
      <c r="AL281" s="60"/>
      <c r="AM281" s="60"/>
      <c r="AN281" s="60"/>
      <c r="AO281" s="60"/>
      <c r="AP281" s="60"/>
      <c r="AQ281" s="61"/>
      <c r="AW281" s="118" t="s">
        <v>357</v>
      </c>
      <c r="AX281" s="118">
        <v>10.792</v>
      </c>
      <c r="AY281" s="118" t="s">
        <v>52</v>
      </c>
      <c r="AZ281" s="118"/>
      <c r="BA281" s="118"/>
      <c r="BB281" s="118"/>
      <c r="BC281" s="118"/>
      <c r="BD281" s="118"/>
      <c r="BE281" s="118"/>
      <c r="BF281" s="118" t="s">
        <v>357</v>
      </c>
      <c r="BG281" s="118">
        <v>10.916700000000001</v>
      </c>
      <c r="BH281" s="118" t="s">
        <v>52</v>
      </c>
      <c r="BI281" s="118"/>
      <c r="BL281" s="19">
        <v>1.375</v>
      </c>
      <c r="BS281" s="21"/>
    </row>
    <row r="282" spans="8:71" x14ac:dyDescent="0.25">
      <c r="H282" s="10" t="s">
        <v>106</v>
      </c>
      <c r="I282" t="str">
        <f>'BUT-4-1580L'!$I$280</f>
        <v>End Crossframes</v>
      </c>
      <c r="K282" s="10"/>
      <c r="Y282" s="14"/>
      <c r="Z282" s="15" t="s">
        <v>384</v>
      </c>
      <c r="AA282" s="16"/>
      <c r="AB282" s="16"/>
      <c r="AC282" s="16"/>
      <c r="AD282" s="16"/>
      <c r="AE282" s="16"/>
      <c r="AF282" s="17"/>
      <c r="AH282" s="62"/>
      <c r="AI282" s="211" t="s">
        <v>136</v>
      </c>
      <c r="AJ282" s="63"/>
      <c r="AK282" s="63"/>
      <c r="AL282" s="63"/>
      <c r="AM282" s="63"/>
      <c r="AN282" s="63"/>
      <c r="AO282" s="63"/>
      <c r="AP282" s="63"/>
      <c r="AQ282" s="66"/>
      <c r="AW282" s="118" t="s">
        <v>114</v>
      </c>
      <c r="AX282" s="118">
        <v>9.83</v>
      </c>
      <c r="AY282" s="118" t="s">
        <v>52</v>
      </c>
      <c r="AZ282" s="118"/>
      <c r="BA282" s="118"/>
      <c r="BB282" s="118"/>
      <c r="BC282" s="118"/>
      <c r="BD282" s="118"/>
      <c r="BE282" s="118"/>
      <c r="BF282" s="118" t="s">
        <v>114</v>
      </c>
      <c r="BG282" s="118">
        <v>9.83</v>
      </c>
      <c r="BH282" s="118" t="s">
        <v>52</v>
      </c>
      <c r="BI282" s="118"/>
      <c r="BL282" s="19"/>
      <c r="BS282" s="21"/>
    </row>
    <row r="283" spans="8:71" x14ac:dyDescent="0.25">
      <c r="H283" s="10" t="s">
        <v>128</v>
      </c>
      <c r="I283" s="33">
        <v>0</v>
      </c>
      <c r="J283" s="35"/>
      <c r="K283" s="10"/>
      <c r="Y283" s="19"/>
      <c r="AA283" t="s">
        <v>101</v>
      </c>
      <c r="AH283" s="62"/>
      <c r="AI283" s="211"/>
      <c r="AJ283" s="63"/>
      <c r="AK283" s="63">
        <f>AO260*AK276</f>
        <v>282.32512752996485</v>
      </c>
      <c r="AL283" s="63" t="s">
        <v>137</v>
      </c>
      <c r="AM283" s="63"/>
      <c r="AN283" s="63"/>
      <c r="AO283" s="63"/>
      <c r="AP283" s="63"/>
      <c r="AQ283" s="66"/>
      <c r="AW283" s="118" t="s">
        <v>356</v>
      </c>
      <c r="AX283" s="118">
        <f>2*(SQRT((AX295)^2+(AZ292)^2))</f>
        <v>29.195627343833529</v>
      </c>
      <c r="AY283" s="118" t="s">
        <v>52</v>
      </c>
      <c r="AZ283" s="118"/>
      <c r="BA283" s="118"/>
      <c r="BB283" s="118"/>
      <c r="BC283" s="118"/>
      <c r="BD283" s="118"/>
      <c r="BE283" s="118"/>
      <c r="BF283" s="118" t="s">
        <v>356</v>
      </c>
      <c r="BG283" s="118">
        <f>2*(SQRT((BG295)^2+(BI292)^2))</f>
        <v>29.380485965347816</v>
      </c>
      <c r="BH283" s="118" t="s">
        <v>52</v>
      </c>
      <c r="BI283" s="118"/>
      <c r="BL283" s="19"/>
      <c r="BO283">
        <f>BM274+BP273</f>
        <v>57</v>
      </c>
      <c r="BS283" s="21"/>
    </row>
    <row r="284" spans="8:71" x14ac:dyDescent="0.25">
      <c r="H284" s="10" t="s">
        <v>112</v>
      </c>
      <c r="I284" s="10">
        <f>I281*I280*I283</f>
        <v>0</v>
      </c>
      <c r="J284" s="10" t="s">
        <v>113</v>
      </c>
      <c r="K284" s="10"/>
      <c r="Y284" s="19"/>
      <c r="AD284" s="25"/>
      <c r="AF284" s="21"/>
      <c r="AH284" s="82"/>
      <c r="AI284" s="218"/>
      <c r="AJ284" s="76"/>
      <c r="AK284" s="76"/>
      <c r="AL284" s="76"/>
      <c r="AM284" s="76"/>
      <c r="AN284" s="76"/>
      <c r="AO284" s="76"/>
      <c r="AP284" s="76"/>
      <c r="AQ284" s="77"/>
      <c r="AW284" s="119" t="s">
        <v>343</v>
      </c>
      <c r="AX284" s="118">
        <f>0.33*4*AX283</f>
        <v>38.538228093860262</v>
      </c>
      <c r="AY284" s="118" t="s">
        <v>113</v>
      </c>
      <c r="AZ284" s="118"/>
      <c r="BA284" s="118"/>
      <c r="BB284" s="118"/>
      <c r="BC284" s="118"/>
      <c r="BD284" s="118"/>
      <c r="BE284" s="118"/>
      <c r="BF284" s="119" t="s">
        <v>343</v>
      </c>
      <c r="BG284" s="118">
        <f>0.33*4*BG283</f>
        <v>38.782241474259116</v>
      </c>
      <c r="BH284" s="118" t="s">
        <v>113</v>
      </c>
      <c r="BI284" s="118"/>
      <c r="BL284" s="49"/>
      <c r="BM284" s="3"/>
      <c r="BN284" s="3"/>
      <c r="BO284" s="3"/>
      <c r="BP284" s="3"/>
      <c r="BQ284" s="3"/>
      <c r="BR284" s="3"/>
      <c r="BS284" s="44"/>
    </row>
    <row r="285" spans="8:71" x14ac:dyDescent="0.25">
      <c r="H285" s="106" t="s">
        <v>354</v>
      </c>
      <c r="I285" s="31">
        <f>I284*1.1</f>
        <v>0</v>
      </c>
      <c r="J285" s="10" t="s">
        <v>113</v>
      </c>
      <c r="K285" s="10"/>
      <c r="Y285" s="19"/>
      <c r="Z285" t="s">
        <v>114</v>
      </c>
      <c r="AA285" s="27">
        <v>7.5</v>
      </c>
      <c r="AB285" s="27" t="s">
        <v>52</v>
      </c>
      <c r="AC285" s="27"/>
      <c r="AF285" s="21"/>
      <c r="AH285" s="81"/>
      <c r="AI285" s="60"/>
      <c r="AJ285" s="60"/>
      <c r="AK285" s="60"/>
      <c r="AL285" s="60"/>
      <c r="AM285" s="60"/>
      <c r="AN285" s="60"/>
      <c r="AO285" s="60"/>
      <c r="AP285" s="60"/>
      <c r="AQ285" s="61"/>
      <c r="AW285" s="120" t="s">
        <v>132</v>
      </c>
      <c r="AX285" s="118">
        <f>AX284*1.1</f>
        <v>42.392050903246293</v>
      </c>
      <c r="AY285" s="118" t="s">
        <v>113</v>
      </c>
      <c r="AZ285" s="118"/>
      <c r="BA285" s="118"/>
      <c r="BB285" s="118"/>
      <c r="BC285" s="118"/>
      <c r="BD285" s="118"/>
      <c r="BE285" s="118"/>
      <c r="BF285" s="120" t="s">
        <v>132</v>
      </c>
      <c r="BG285" s="118">
        <f>BG284*1.1</f>
        <v>42.660465621685034</v>
      </c>
      <c r="BH285" s="118" t="s">
        <v>113</v>
      </c>
      <c r="BI285" s="118"/>
    </row>
    <row r="286" spans="8:71" x14ac:dyDescent="0.25">
      <c r="I286" s="105"/>
      <c r="Y286" s="19"/>
      <c r="AA286" s="27"/>
      <c r="AB286" s="27"/>
      <c r="AC286" s="27"/>
      <c r="AF286" s="21"/>
      <c r="AH286" s="62"/>
      <c r="AI286" s="63"/>
      <c r="AJ286" s="63"/>
      <c r="AK286" s="63"/>
      <c r="AL286" s="63"/>
      <c r="AM286" s="63"/>
      <c r="AN286" s="63"/>
      <c r="AO286" s="63"/>
      <c r="AP286" s="63"/>
      <c r="AQ286" s="66"/>
      <c r="AW286" s="118" t="s">
        <v>358</v>
      </c>
      <c r="AX286" s="118">
        <v>0</v>
      </c>
      <c r="AY286" s="118"/>
      <c r="AZ286" s="118"/>
      <c r="BA286" s="118"/>
      <c r="BB286" s="118"/>
      <c r="BC286" s="118">
        <f>AX269+BG269+AX287+BG287+AX306+BG306+AX349+BG349</f>
        <v>0</v>
      </c>
      <c r="BD286" s="118"/>
      <c r="BE286" s="118"/>
      <c r="BF286" s="118" t="s">
        <v>358</v>
      </c>
      <c r="BG286" s="118">
        <v>0</v>
      </c>
      <c r="BH286" s="118"/>
      <c r="BI286" s="118"/>
    </row>
    <row r="287" spans="8:71" x14ac:dyDescent="0.25">
      <c r="H287" t="s">
        <v>384</v>
      </c>
      <c r="Y287" s="19" t="s">
        <v>481</v>
      </c>
      <c r="Z287" s="28" t="s">
        <v>482</v>
      </c>
      <c r="AA287">
        <f>33</f>
        <v>33</v>
      </c>
      <c r="AB287" t="s">
        <v>92</v>
      </c>
      <c r="AD287" s="25"/>
      <c r="AF287" s="21"/>
      <c r="AH287" s="62"/>
      <c r="AI287" s="211" t="s">
        <v>138</v>
      </c>
      <c r="AJ287" s="63"/>
      <c r="AK287" s="63">
        <f>1.1*AK283</f>
        <v>310.55764028296136</v>
      </c>
      <c r="AL287" s="63" t="s">
        <v>137</v>
      </c>
      <c r="AM287" s="63"/>
      <c r="AN287" s="63"/>
      <c r="AO287" s="63"/>
      <c r="AP287" s="63"/>
      <c r="AQ287" s="66"/>
      <c r="AW287" s="118" t="s">
        <v>359</v>
      </c>
      <c r="AX287" s="118">
        <f>AX286*AX285*2</f>
        <v>0</v>
      </c>
      <c r="AY287" s="118"/>
      <c r="AZ287" s="118"/>
      <c r="BA287" s="118"/>
      <c r="BB287" s="118"/>
      <c r="BC287" s="118"/>
      <c r="BD287" s="118"/>
      <c r="BE287" s="118"/>
      <c r="BF287" s="118" t="s">
        <v>359</v>
      </c>
      <c r="BG287" s="118">
        <f>BG286*BG285*2</f>
        <v>0</v>
      </c>
      <c r="BH287" s="118"/>
      <c r="BI287" s="118"/>
    </row>
    <row r="288" spans="8:71" x14ac:dyDescent="0.25">
      <c r="H288" s="10" t="s">
        <v>344</v>
      </c>
      <c r="I288" s="10">
        <v>1</v>
      </c>
      <c r="J288" s="10" t="s">
        <v>52</v>
      </c>
      <c r="K288" s="10"/>
      <c r="Y288" s="107"/>
      <c r="AA288">
        <f>AA287/12</f>
        <v>2.75</v>
      </c>
      <c r="AB288" t="s">
        <v>52</v>
      </c>
      <c r="AD288" s="25"/>
      <c r="AF288" s="21"/>
      <c r="AH288" s="82"/>
      <c r="AI288" s="218"/>
      <c r="AJ288" s="76"/>
      <c r="AK288" s="76"/>
      <c r="AL288" s="76"/>
      <c r="AM288" s="76"/>
      <c r="AN288" s="76"/>
      <c r="AO288" s="76"/>
      <c r="AP288" s="76"/>
      <c r="AQ288" s="77"/>
      <c r="AW288" s="118"/>
      <c r="AX288" s="118"/>
      <c r="AY288" s="118"/>
      <c r="AZ288" s="118"/>
      <c r="BA288" s="118"/>
      <c r="BB288" s="118"/>
      <c r="BC288" s="118"/>
      <c r="BD288" s="118"/>
      <c r="BE288" s="118"/>
      <c r="BF288" s="118"/>
      <c r="BG288" s="118"/>
      <c r="BH288" s="118"/>
      <c r="BI288" s="118"/>
      <c r="BM288" t="s">
        <v>374</v>
      </c>
    </row>
    <row r="289" spans="8:72" x14ac:dyDescent="0.25">
      <c r="H289" s="10" t="s">
        <v>345</v>
      </c>
      <c r="I289">
        <v>1</v>
      </c>
      <c r="J289" s="10" t="s">
        <v>52</v>
      </c>
      <c r="K289" s="10"/>
      <c r="Y289" s="19"/>
      <c r="AF289" s="21"/>
      <c r="AH289" s="81"/>
      <c r="AI289" s="60"/>
      <c r="AJ289" s="60"/>
      <c r="AK289" s="60"/>
      <c r="AL289" s="60"/>
      <c r="AM289" s="60"/>
      <c r="AN289" s="60"/>
      <c r="AO289" s="60"/>
      <c r="AP289" s="60"/>
      <c r="AQ289" s="61"/>
      <c r="AW289" s="118"/>
      <c r="AX289" s="118"/>
      <c r="AY289" s="118"/>
      <c r="AZ289" s="121"/>
      <c r="BA289" s="118"/>
      <c r="BB289" s="118"/>
      <c r="BC289" s="118"/>
      <c r="BD289" s="118"/>
      <c r="BE289" s="118"/>
      <c r="BF289" s="118"/>
      <c r="BG289" s="118"/>
      <c r="BH289" s="118"/>
      <c r="BI289" s="121"/>
      <c r="BO289">
        <v>8</v>
      </c>
      <c r="BP289" t="s">
        <v>92</v>
      </c>
      <c r="BR289" t="s">
        <v>364</v>
      </c>
      <c r="BS289">
        <f>PI()*BO289/12*BQ296</f>
        <v>43.982297150257104</v>
      </c>
    </row>
    <row r="290" spans="8:72" x14ac:dyDescent="0.25">
      <c r="H290" s="10" t="s">
        <v>346</v>
      </c>
      <c r="I290" s="41">
        <v>7.93</v>
      </c>
      <c r="J290" s="10" t="s">
        <v>52</v>
      </c>
      <c r="K290" s="10"/>
      <c r="Y290" s="19"/>
      <c r="AF290" s="21"/>
      <c r="AH290" s="62"/>
      <c r="AI290" s="211" t="s">
        <v>139</v>
      </c>
      <c r="AJ290" s="63"/>
      <c r="AK290" s="63">
        <v>18</v>
      </c>
      <c r="AL290" s="63"/>
      <c r="AM290" s="63"/>
      <c r="AN290" s="63"/>
      <c r="AO290" s="63"/>
      <c r="AP290" s="63"/>
      <c r="AQ290" s="66"/>
      <c r="AW290" s="118"/>
      <c r="AX290" s="118">
        <f>SQRT((AX295)^2+(AZ292)^2)</f>
        <v>14.597813671916764</v>
      </c>
      <c r="AY290" s="118"/>
      <c r="AZ290" s="121"/>
      <c r="BA290" s="118"/>
      <c r="BB290" s="118"/>
      <c r="BC290" s="118"/>
      <c r="BD290" s="118"/>
      <c r="BE290" s="118"/>
      <c r="BF290" s="118"/>
      <c r="BG290" s="118">
        <f>SQRT((BG295)^2+(BI292)^2)</f>
        <v>14.690242982673908</v>
      </c>
      <c r="BH290" s="118"/>
      <c r="BI290" s="121"/>
      <c r="BR290" t="s">
        <v>358</v>
      </c>
      <c r="BS290">
        <v>2</v>
      </c>
      <c r="BT290" t="s">
        <v>116</v>
      </c>
    </row>
    <row r="291" spans="8:72" x14ac:dyDescent="0.25">
      <c r="H291" s="10" t="s">
        <v>347</v>
      </c>
      <c r="I291">
        <v>7.5</v>
      </c>
      <c r="J291" s="10" t="s">
        <v>52</v>
      </c>
      <c r="K291" s="10"/>
      <c r="Y291" s="19"/>
      <c r="AF291" s="21"/>
      <c r="AH291" s="62"/>
      <c r="AI291" s="211"/>
      <c r="AJ291" s="63"/>
      <c r="AK291" s="63"/>
      <c r="AL291" s="63"/>
      <c r="AM291" s="63"/>
      <c r="AN291" s="63"/>
      <c r="AO291" s="63"/>
      <c r="AP291" s="63"/>
      <c r="AQ291" s="66"/>
      <c r="AW291" s="118"/>
      <c r="AX291" s="118"/>
      <c r="AY291" s="118"/>
      <c r="AZ291" s="121"/>
      <c r="BA291" s="118"/>
      <c r="BB291" s="118"/>
      <c r="BC291" s="118"/>
      <c r="BD291" s="118"/>
      <c r="BE291" s="118"/>
      <c r="BF291" s="118"/>
      <c r="BG291" s="118"/>
      <c r="BH291" s="118"/>
      <c r="BI291" s="121"/>
      <c r="BR291" t="s">
        <v>361</v>
      </c>
      <c r="BS291">
        <f>BS289*BS290</f>
        <v>87.964594300514207</v>
      </c>
    </row>
    <row r="292" spans="8:72" x14ac:dyDescent="0.25">
      <c r="H292" s="10" t="s">
        <v>106</v>
      </c>
      <c r="I292" s="33" t="s">
        <v>193</v>
      </c>
      <c r="J292" s="35"/>
      <c r="K292" s="10"/>
      <c r="Y292" s="19"/>
      <c r="Z292">
        <f>(AA287-2)/12</f>
        <v>2.5833333333333335</v>
      </c>
      <c r="AA292" t="s">
        <v>2</v>
      </c>
      <c r="AC292">
        <f>SQRT((AB296)^2+(Z292)^2)</f>
        <v>7.9324404259415093</v>
      </c>
      <c r="AD292" t="s">
        <v>2</v>
      </c>
      <c r="AF292" s="21"/>
      <c r="AH292" s="82"/>
      <c r="AI292" s="76"/>
      <c r="AJ292" s="76"/>
      <c r="AK292" s="76"/>
      <c r="AL292" s="76"/>
      <c r="AM292" s="76"/>
      <c r="AN292" s="76"/>
      <c r="AO292" s="76"/>
      <c r="AP292" s="76"/>
      <c r="AQ292" s="77"/>
      <c r="AW292" s="118"/>
      <c r="AX292" s="118"/>
      <c r="AY292" s="118"/>
      <c r="AZ292" s="121">
        <f>AX282</f>
        <v>9.83</v>
      </c>
      <c r="BA292" s="118"/>
      <c r="BB292" s="118"/>
      <c r="BC292" s="118"/>
      <c r="BD292" s="118"/>
      <c r="BE292" s="118"/>
      <c r="BF292" s="118"/>
      <c r="BG292" s="118"/>
      <c r="BH292" s="118"/>
      <c r="BI292" s="121">
        <f>BG282</f>
        <v>9.83</v>
      </c>
      <c r="BR292" t="s">
        <v>367</v>
      </c>
      <c r="BS292" s="7">
        <f>BS291*1.1</f>
        <v>96.761053730565635</v>
      </c>
      <c r="BT292" t="s">
        <v>40</v>
      </c>
    </row>
    <row r="293" spans="8:72" ht="44.55" x14ac:dyDescent="0.25">
      <c r="H293" s="10" t="s">
        <v>128</v>
      </c>
      <c r="I293" s="33">
        <v>67</v>
      </c>
      <c r="J293" s="35"/>
      <c r="K293" s="10"/>
      <c r="Y293" s="19"/>
      <c r="Z293">
        <f>Z292*12</f>
        <v>31</v>
      </c>
      <c r="AF293" s="21"/>
      <c r="AH293" s="83"/>
      <c r="AI293" s="84" t="s">
        <v>140</v>
      </c>
      <c r="AJ293" s="85"/>
      <c r="AK293" s="85">
        <f>AK287*AK290</f>
        <v>5590.0375250933048</v>
      </c>
      <c r="AL293" s="85" t="s">
        <v>137</v>
      </c>
      <c r="AM293" s="85"/>
      <c r="AN293" s="85"/>
      <c r="AO293" s="85"/>
      <c r="AP293" s="85"/>
      <c r="AQ293" s="86"/>
      <c r="AW293" s="118"/>
      <c r="AX293" s="118"/>
      <c r="AY293" s="118"/>
      <c r="AZ293" s="121"/>
      <c r="BA293" s="118"/>
      <c r="BB293" s="118"/>
      <c r="BC293" s="118"/>
      <c r="BD293" s="118"/>
      <c r="BE293" s="118"/>
      <c r="BF293" s="118"/>
      <c r="BG293" s="118"/>
      <c r="BH293" s="118"/>
      <c r="BI293" s="121"/>
    </row>
    <row r="294" spans="8:72" x14ac:dyDescent="0.25">
      <c r="H294" s="10" t="s">
        <v>112</v>
      </c>
      <c r="I294" s="10">
        <f>((I290*I288)+(I289*I291)*2)*I293</f>
        <v>1536.31</v>
      </c>
      <c r="J294" s="10" t="s">
        <v>113</v>
      </c>
      <c r="K294" s="10"/>
      <c r="Y294" s="19"/>
      <c r="AF294" s="21"/>
      <c r="AW294" s="118"/>
      <c r="AX294" s="118"/>
      <c r="AY294" s="118"/>
      <c r="AZ294" s="121"/>
      <c r="BA294" s="118"/>
      <c r="BB294" s="118"/>
      <c r="BC294" s="118"/>
      <c r="BD294" s="118"/>
      <c r="BE294" s="118"/>
      <c r="BF294" s="118"/>
      <c r="BG294" s="118"/>
      <c r="BH294" s="118"/>
      <c r="BI294" s="121"/>
    </row>
    <row r="295" spans="8:72" x14ac:dyDescent="0.25">
      <c r="H295" s="106" t="s">
        <v>354</v>
      </c>
      <c r="I295" s="31">
        <f>I294*1.1</f>
        <v>1689.941</v>
      </c>
      <c r="J295" s="10" t="s">
        <v>113</v>
      </c>
      <c r="K295" s="10"/>
      <c r="Y295" s="19"/>
      <c r="AF295" s="21"/>
      <c r="AW295" s="122"/>
      <c r="AX295" s="122">
        <f>AX281</f>
        <v>10.792</v>
      </c>
      <c r="AY295" s="122"/>
      <c r="AZ295" s="118"/>
      <c r="BA295" s="118"/>
      <c r="BB295" s="118"/>
      <c r="BC295" s="118"/>
      <c r="BD295" s="118"/>
      <c r="BE295" s="118"/>
      <c r="BF295" s="122"/>
      <c r="BG295" s="122">
        <f>BG281</f>
        <v>10.916700000000001</v>
      </c>
      <c r="BH295" s="122"/>
      <c r="BI295" s="118"/>
    </row>
    <row r="296" spans="8:72" x14ac:dyDescent="0.25">
      <c r="Y296" s="19"/>
      <c r="AB296" s="27">
        <f>AA285</f>
        <v>7.5</v>
      </c>
      <c r="AF296" s="21"/>
      <c r="AW296" s="118"/>
      <c r="AX296" s="118"/>
      <c r="AY296" s="118"/>
      <c r="AZ296" s="118"/>
      <c r="BA296" s="118"/>
      <c r="BB296" s="118"/>
      <c r="BC296" s="118"/>
      <c r="BD296" s="118"/>
      <c r="BE296" s="118"/>
      <c r="BF296" s="118"/>
      <c r="BG296" s="118"/>
      <c r="BH296" s="118"/>
      <c r="BI296" s="118"/>
      <c r="BQ296">
        <v>21</v>
      </c>
      <c r="BR296" t="s">
        <v>52</v>
      </c>
    </row>
    <row r="297" spans="8:72" x14ac:dyDescent="0.25">
      <c r="Y297" s="19"/>
      <c r="AF297" s="21"/>
      <c r="AW297" s="118"/>
      <c r="AX297" s="118"/>
      <c r="AY297" s="118"/>
      <c r="AZ297" s="118"/>
      <c r="BA297" s="118"/>
      <c r="BB297" s="118"/>
      <c r="BC297" s="118"/>
      <c r="BD297" s="118"/>
      <c r="BE297" s="118"/>
      <c r="BF297" s="118"/>
      <c r="BG297" s="118"/>
      <c r="BH297" s="118"/>
      <c r="BI297" s="118"/>
    </row>
    <row r="298" spans="8:72" x14ac:dyDescent="0.25">
      <c r="H298" t="s">
        <v>385</v>
      </c>
      <c r="Y298" s="19" t="s">
        <v>348</v>
      </c>
      <c r="AB298" s="27">
        <f>(1*AB296)</f>
        <v>7.5</v>
      </c>
      <c r="AC298" t="s">
        <v>125</v>
      </c>
      <c r="AF298" s="21"/>
      <c r="AW298" s="118"/>
      <c r="AX298" s="118"/>
      <c r="AY298" s="118"/>
      <c r="AZ298" s="118"/>
      <c r="BA298" s="118"/>
      <c r="BB298" s="118"/>
      <c r="BC298" s="118"/>
      <c r="BD298" s="118"/>
      <c r="BE298" s="118"/>
      <c r="BF298" s="118"/>
      <c r="BG298" s="118"/>
      <c r="BH298" s="118"/>
      <c r="BI298" s="118"/>
    </row>
    <row r="299" spans="8:72" x14ac:dyDescent="0.25">
      <c r="H299" s="10" t="s">
        <v>91</v>
      </c>
      <c r="I299" s="10">
        <f>0</f>
        <v>0</v>
      </c>
      <c r="J299" s="10" t="s">
        <v>52</v>
      </c>
      <c r="K299" s="10"/>
      <c r="Y299" s="19" t="s">
        <v>349</v>
      </c>
      <c r="AB299">
        <f>AC292</f>
        <v>7.9324404259415093</v>
      </c>
      <c r="AC299" t="s">
        <v>125</v>
      </c>
      <c r="AF299" s="21"/>
      <c r="AW299" s="118"/>
      <c r="AX299" s="118"/>
      <c r="AY299" s="118"/>
      <c r="AZ299" s="118"/>
      <c r="BA299" s="118"/>
      <c r="BB299" s="118"/>
      <c r="BC299" s="118"/>
      <c r="BD299" s="118"/>
      <c r="BE299" s="118"/>
      <c r="BF299" s="118"/>
      <c r="BG299" s="118"/>
      <c r="BH299" s="118"/>
      <c r="BI299" s="118"/>
    </row>
    <row r="300" spans="8:72" x14ac:dyDescent="0.25">
      <c r="H300" s="10" t="s">
        <v>100</v>
      </c>
      <c r="I300" s="41">
        <f>0</f>
        <v>0</v>
      </c>
      <c r="J300" s="10" t="s">
        <v>52</v>
      </c>
      <c r="K300" s="10"/>
      <c r="Y300" s="48" t="s">
        <v>350</v>
      </c>
      <c r="AB300" s="1">
        <f>2*(0.25*4*AB299)+(0.25*4*AB296)</f>
        <v>23.364880851883019</v>
      </c>
      <c r="AC300" t="s">
        <v>126</v>
      </c>
      <c r="AF300" s="21"/>
      <c r="AW300" s="118" t="s">
        <v>357</v>
      </c>
      <c r="AX300" s="118">
        <v>14.25</v>
      </c>
      <c r="AY300" s="118" t="s">
        <v>52</v>
      </c>
      <c r="AZ300" s="118"/>
      <c r="BA300" s="118"/>
      <c r="BB300" s="118"/>
      <c r="BC300" s="118"/>
      <c r="BD300" s="118"/>
      <c r="BE300" s="118"/>
      <c r="BF300" s="118" t="s">
        <v>357</v>
      </c>
      <c r="BG300" s="118">
        <v>10.75</v>
      </c>
      <c r="BH300" s="118" t="s">
        <v>52</v>
      </c>
      <c r="BI300" s="118"/>
    </row>
    <row r="301" spans="8:72" x14ac:dyDescent="0.25">
      <c r="H301" s="10" t="s">
        <v>106</v>
      </c>
      <c r="I301" t="s">
        <v>385</v>
      </c>
      <c r="K301" s="10"/>
      <c r="Y301" s="19" t="s">
        <v>132</v>
      </c>
      <c r="AA301" t="s">
        <v>133</v>
      </c>
      <c r="AB301" s="27">
        <f>AB300*1.1</f>
        <v>25.701368937071322</v>
      </c>
      <c r="AC301" t="s">
        <v>126</v>
      </c>
      <c r="AF301" s="21"/>
      <c r="AW301" s="118" t="s">
        <v>114</v>
      </c>
      <c r="AX301" s="118">
        <v>9.83</v>
      </c>
      <c r="AY301" s="118" t="s">
        <v>52</v>
      </c>
      <c r="AZ301" s="118"/>
      <c r="BA301" s="118"/>
      <c r="BB301" s="118"/>
      <c r="BC301" s="118"/>
      <c r="BD301" s="118"/>
      <c r="BE301" s="118"/>
      <c r="BF301" s="118" t="s">
        <v>114</v>
      </c>
      <c r="BG301" s="118">
        <v>9.83</v>
      </c>
      <c r="BH301" s="118" t="s">
        <v>52</v>
      </c>
      <c r="BI301" s="118"/>
    </row>
    <row r="302" spans="8:72" x14ac:dyDescent="0.25">
      <c r="H302" s="10" t="s">
        <v>128</v>
      </c>
      <c r="I302" s="33">
        <v>0</v>
      </c>
      <c r="J302" s="35"/>
      <c r="K302" s="10"/>
      <c r="Y302" s="49" t="s">
        <v>438</v>
      </c>
      <c r="Z302" s="3"/>
      <c r="AA302" s="3"/>
      <c r="AB302" s="135">
        <f>AB298+AB299</f>
        <v>15.432440425941509</v>
      </c>
      <c r="AC302" s="3"/>
      <c r="AD302" s="3"/>
      <c r="AE302" s="3"/>
      <c r="AF302" s="44"/>
      <c r="AW302" s="118" t="s">
        <v>356</v>
      </c>
      <c r="AX302" s="118">
        <f>2*(SQRT((AX314)^2+(AZ311)^2))</f>
        <v>34.623194537766153</v>
      </c>
      <c r="AY302" s="118" t="s">
        <v>52</v>
      </c>
      <c r="AZ302" s="118"/>
      <c r="BA302" s="118"/>
      <c r="BB302" s="118"/>
      <c r="BC302" s="118"/>
      <c r="BD302" s="118"/>
      <c r="BE302" s="118"/>
      <c r="BF302" s="118" t="s">
        <v>356</v>
      </c>
      <c r="BG302" s="118">
        <f>2*(SQRT((BG314)^2+(BI311)^2))</f>
        <v>29.133581997413224</v>
      </c>
      <c r="BH302" s="118" t="s">
        <v>52</v>
      </c>
      <c r="BI302" s="118"/>
    </row>
    <row r="303" spans="8:72" x14ac:dyDescent="0.25">
      <c r="H303" s="10" t="s">
        <v>112</v>
      </c>
      <c r="I303" s="10">
        <f>I300*I299*I302</f>
        <v>0</v>
      </c>
      <c r="J303" s="10" t="s">
        <v>113</v>
      </c>
      <c r="K303" s="10"/>
      <c r="AW303" s="119" t="s">
        <v>343</v>
      </c>
      <c r="AX303" s="118">
        <f>0.33*4*AX302</f>
        <v>45.702616789851326</v>
      </c>
      <c r="AY303" s="118" t="s">
        <v>113</v>
      </c>
      <c r="AZ303" s="118"/>
      <c r="BA303" s="118"/>
      <c r="BB303" s="118"/>
      <c r="BC303" s="118"/>
      <c r="BD303" s="118"/>
      <c r="BE303" s="118"/>
      <c r="BF303" s="119" t="s">
        <v>343</v>
      </c>
      <c r="BG303" s="118">
        <f>0.33*4*BG302</f>
        <v>38.456328236585456</v>
      </c>
      <c r="BH303" s="118" t="s">
        <v>113</v>
      </c>
      <c r="BI303" s="118"/>
    </row>
    <row r="304" spans="8:72" x14ac:dyDescent="0.25">
      <c r="H304" s="106" t="s">
        <v>354</v>
      </c>
      <c r="I304" s="31">
        <f>I303*1.1</f>
        <v>0</v>
      </c>
      <c r="J304" s="10" t="s">
        <v>113</v>
      </c>
      <c r="K304" s="10"/>
      <c r="AW304" s="120" t="s">
        <v>132</v>
      </c>
      <c r="AX304" s="118">
        <f>AX303*1.1</f>
        <v>50.27287846883646</v>
      </c>
      <c r="AY304" s="118" t="s">
        <v>113</v>
      </c>
      <c r="AZ304" s="118"/>
      <c r="BA304" s="118"/>
      <c r="BB304" s="118"/>
      <c r="BC304" s="118"/>
      <c r="BD304" s="118"/>
      <c r="BE304" s="118"/>
      <c r="BF304" s="120" t="s">
        <v>132</v>
      </c>
      <c r="BG304" s="118">
        <f>BG303*1.1</f>
        <v>42.301961060244004</v>
      </c>
      <c r="BH304" s="118" t="s">
        <v>113</v>
      </c>
      <c r="BI304" s="118"/>
    </row>
    <row r="305" spans="1:61" x14ac:dyDescent="0.25">
      <c r="AW305" s="118" t="s">
        <v>358</v>
      </c>
      <c r="AX305" s="118">
        <v>0</v>
      </c>
      <c r="AY305" s="118"/>
      <c r="AZ305" s="118"/>
      <c r="BA305" s="118"/>
      <c r="BB305" s="118"/>
      <c r="BC305" s="118"/>
      <c r="BD305" s="118"/>
      <c r="BE305" s="118"/>
      <c r="BF305" s="118" t="s">
        <v>358</v>
      </c>
      <c r="BG305" s="118">
        <v>0</v>
      </c>
      <c r="BH305" s="118"/>
      <c r="BI305" s="118"/>
    </row>
    <row r="306" spans="1:61" x14ac:dyDescent="0.25">
      <c r="A306" s="130" t="s">
        <v>416</v>
      </c>
      <c r="AW306" s="118" t="s">
        <v>359</v>
      </c>
      <c r="AX306" s="118">
        <f>AX305*AX304*2</f>
        <v>0</v>
      </c>
      <c r="AY306" s="118"/>
      <c r="AZ306" s="118"/>
      <c r="BA306" s="118"/>
      <c r="BB306" s="118"/>
      <c r="BC306" s="118"/>
      <c r="BD306" s="118"/>
      <c r="BE306" s="118"/>
      <c r="BF306" s="118" t="s">
        <v>359</v>
      </c>
      <c r="BG306" s="118">
        <f>BG305*BG304*2</f>
        <v>0</v>
      </c>
      <c r="BH306" s="118"/>
      <c r="BI306" s="118"/>
    </row>
    <row r="307" spans="1:61" x14ac:dyDescent="0.25">
      <c r="A307" s="7" t="s">
        <v>57</v>
      </c>
      <c r="B307" s="7"/>
      <c r="C307" s="7">
        <v>0</v>
      </c>
      <c r="D307" s="7" t="s">
        <v>116</v>
      </c>
      <c r="AW307" s="118"/>
      <c r="AX307" s="118"/>
      <c r="AY307" s="118"/>
      <c r="AZ307" s="118"/>
      <c r="BA307" s="118"/>
      <c r="BB307" s="118"/>
      <c r="BC307" s="118"/>
      <c r="BD307" s="118"/>
      <c r="BE307" s="118"/>
      <c r="BF307" s="118"/>
      <c r="BG307" s="118"/>
      <c r="BH307" s="118"/>
      <c r="BI307" s="118"/>
    </row>
    <row r="308" spans="1:61" x14ac:dyDescent="0.25">
      <c r="AW308" s="118"/>
      <c r="AX308" s="118"/>
      <c r="AY308" s="118"/>
      <c r="AZ308" s="121"/>
      <c r="BA308" s="118"/>
      <c r="BB308" s="118"/>
      <c r="BC308" s="118"/>
      <c r="BD308" s="118"/>
      <c r="BE308" s="118"/>
      <c r="BF308" s="118"/>
      <c r="BG308" s="118"/>
      <c r="BH308" s="118"/>
      <c r="BI308" s="121"/>
    </row>
    <row r="309" spans="1:61" x14ac:dyDescent="0.25">
      <c r="A309" s="130" t="s">
        <v>415</v>
      </c>
      <c r="B309" s="6"/>
      <c r="C309" s="6"/>
      <c r="AW309" s="118"/>
      <c r="AX309" s="118">
        <f>SQRT((AX314)^2+(AZ311)^2)</f>
        <v>17.311597268883077</v>
      </c>
      <c r="AY309" s="118"/>
      <c r="AZ309" s="121"/>
      <c r="BA309" s="118"/>
      <c r="BB309" s="118"/>
      <c r="BC309" s="118"/>
      <c r="BD309" s="118"/>
      <c r="BE309" s="118"/>
      <c r="BF309" s="118"/>
      <c r="BG309" s="118">
        <f>SQRT((BG314)^2+(BI311)^2)</f>
        <v>14.566790998706612</v>
      </c>
      <c r="BH309" s="118"/>
      <c r="BI309" s="121"/>
    </row>
    <row r="310" spans="1:61" x14ac:dyDescent="0.25">
      <c r="A310" s="7" t="s">
        <v>409</v>
      </c>
      <c r="B310" s="7"/>
      <c r="C310" s="127">
        <f>0</f>
        <v>0</v>
      </c>
      <c r="D310" s="7" t="s">
        <v>137</v>
      </c>
      <c r="E310" s="7"/>
      <c r="AW310" s="118"/>
      <c r="AX310" s="118"/>
      <c r="AY310" s="118"/>
      <c r="AZ310" s="121"/>
      <c r="BA310" s="118"/>
      <c r="BB310" s="118"/>
      <c r="BC310" s="118"/>
      <c r="BD310" s="118"/>
      <c r="BE310" s="118"/>
      <c r="BF310" s="118"/>
      <c r="BG310" s="118"/>
      <c r="BH310" s="118"/>
      <c r="BI310" s="121"/>
    </row>
    <row r="311" spans="1:61" x14ac:dyDescent="0.25">
      <c r="AW311" s="118"/>
      <c r="AX311" s="118"/>
      <c r="AY311" s="118"/>
      <c r="AZ311" s="121">
        <f>AX301</f>
        <v>9.83</v>
      </c>
      <c r="BA311" s="118"/>
      <c r="BB311" s="118"/>
      <c r="BC311" s="118"/>
      <c r="BD311" s="118"/>
      <c r="BE311" s="118"/>
      <c r="BF311" s="118"/>
      <c r="BG311" s="118"/>
      <c r="BH311" s="118"/>
      <c r="BI311" s="121">
        <f>BG301</f>
        <v>9.83</v>
      </c>
    </row>
    <row r="312" spans="1:61" x14ac:dyDescent="0.25">
      <c r="AW312" s="118"/>
      <c r="AX312" s="118"/>
      <c r="AY312" s="118"/>
      <c r="AZ312" s="121"/>
      <c r="BA312" s="118"/>
      <c r="BB312" s="118"/>
      <c r="BC312" s="118"/>
      <c r="BD312" s="118"/>
      <c r="BE312" s="118"/>
      <c r="BF312" s="118"/>
      <c r="BG312" s="118"/>
      <c r="BH312" s="118"/>
      <c r="BI312" s="121"/>
    </row>
    <row r="313" spans="1:61" x14ac:dyDescent="0.25">
      <c r="AW313" s="118"/>
      <c r="AX313" s="118"/>
      <c r="AY313" s="118"/>
      <c r="AZ313" s="121"/>
      <c r="BA313" s="118"/>
      <c r="BB313" s="118"/>
      <c r="BC313" s="118"/>
      <c r="BD313" s="118"/>
      <c r="BE313" s="118"/>
      <c r="BF313" s="118"/>
      <c r="BG313" s="118"/>
      <c r="BH313" s="118"/>
      <c r="BI313" s="121"/>
    </row>
    <row r="314" spans="1:61" x14ac:dyDescent="0.25">
      <c r="A314" s="130" t="s">
        <v>426</v>
      </c>
      <c r="AW314" s="122"/>
      <c r="AX314" s="122">
        <f>AX300</f>
        <v>14.25</v>
      </c>
      <c r="AY314" s="122"/>
      <c r="AZ314" s="118"/>
      <c r="BA314" s="118"/>
      <c r="BB314" s="118"/>
      <c r="BC314" s="118"/>
      <c r="BD314" s="118"/>
      <c r="BE314" s="118"/>
      <c r="BF314" s="122"/>
      <c r="BG314" s="122">
        <f>BG300</f>
        <v>10.75</v>
      </c>
      <c r="BH314" s="122"/>
      <c r="BI314" s="118"/>
    </row>
    <row r="315" spans="1:61" x14ac:dyDescent="0.25">
      <c r="AW315" s="118"/>
      <c r="AX315" s="118"/>
      <c r="AY315" s="118"/>
      <c r="AZ315" s="118"/>
      <c r="BA315" s="118"/>
      <c r="BB315" s="118"/>
      <c r="BC315" s="118"/>
      <c r="BD315" s="118"/>
      <c r="BE315" s="118"/>
      <c r="BF315" s="118"/>
      <c r="BG315" s="118"/>
      <c r="BH315" s="118"/>
      <c r="BI315" s="118"/>
    </row>
    <row r="316" spans="1:61" x14ac:dyDescent="0.25">
      <c r="A316" t="s">
        <v>143</v>
      </c>
      <c r="D316" s="25">
        <f>AVERAGE(82,76)</f>
        <v>79</v>
      </c>
      <c r="E316" t="s">
        <v>2</v>
      </c>
      <c r="F316" t="s">
        <v>432</v>
      </c>
      <c r="AW316" s="118"/>
      <c r="AX316" s="118"/>
      <c r="AY316" s="118"/>
      <c r="AZ316" s="118"/>
      <c r="BA316" s="118"/>
      <c r="BB316" s="118"/>
      <c r="BC316" s="118"/>
      <c r="BD316" s="118"/>
      <c r="BE316" s="118"/>
      <c r="BF316" s="118"/>
      <c r="BG316" s="118"/>
      <c r="BH316" s="118"/>
      <c r="BI316" s="118"/>
    </row>
    <row r="317" spans="1:61" x14ac:dyDescent="0.25">
      <c r="A317" t="s">
        <v>146</v>
      </c>
      <c r="D317">
        <v>0</v>
      </c>
      <c r="E317" t="s">
        <v>72</v>
      </c>
      <c r="AW317" s="118" t="s">
        <v>357</v>
      </c>
      <c r="AX317" s="118">
        <v>13.583</v>
      </c>
      <c r="AY317" s="118" t="s">
        <v>52</v>
      </c>
      <c r="AZ317" s="118"/>
      <c r="BA317" s="118"/>
      <c r="BB317" s="118"/>
      <c r="BC317" s="118"/>
      <c r="BD317" s="118"/>
      <c r="BE317" s="118"/>
      <c r="BF317" s="118" t="s">
        <v>357</v>
      </c>
      <c r="BG317" s="118">
        <v>11.25</v>
      </c>
      <c r="BH317" s="118" t="s">
        <v>52</v>
      </c>
      <c r="BI317" s="118"/>
    </row>
    <row r="318" spans="1:61" x14ac:dyDescent="0.25">
      <c r="AW318" s="118" t="s">
        <v>114</v>
      </c>
      <c r="AX318" s="118">
        <v>9.83</v>
      </c>
      <c r="AY318" s="118" t="s">
        <v>52</v>
      </c>
      <c r="AZ318" s="118"/>
      <c r="BA318" s="118"/>
      <c r="BB318" s="118"/>
      <c r="BC318" s="118"/>
      <c r="BD318" s="118"/>
      <c r="BE318" s="118"/>
      <c r="BF318" s="118" t="s">
        <v>114</v>
      </c>
      <c r="BG318" s="118">
        <v>9.83</v>
      </c>
      <c r="BH318" s="118" t="s">
        <v>52</v>
      </c>
      <c r="BI318" s="118"/>
    </row>
    <row r="319" spans="1:61" x14ac:dyDescent="0.25">
      <c r="A319" t="s">
        <v>194</v>
      </c>
      <c r="D319" s="1">
        <v>84</v>
      </c>
      <c r="E319" t="s">
        <v>2</v>
      </c>
      <c r="AW319" s="118" t="s">
        <v>356</v>
      </c>
      <c r="AX319" s="118" t="e">
        <f>2*(SQRT((#REF!)^2+(#REF!)^2))</f>
        <v>#REF!</v>
      </c>
      <c r="AY319" s="118" t="s">
        <v>52</v>
      </c>
      <c r="AZ319" s="118"/>
      <c r="BA319" s="118"/>
      <c r="BB319" s="118"/>
      <c r="BC319" s="118"/>
      <c r="BD319" s="118"/>
      <c r="BE319" s="118"/>
      <c r="BF319" s="118" t="s">
        <v>356</v>
      </c>
      <c r="BG319" s="118" t="e">
        <f>2*(SQRT((#REF!)^2+(#REF!)^2))</f>
        <v>#REF!</v>
      </c>
      <c r="BH319" s="118" t="s">
        <v>52</v>
      </c>
      <c r="BI319" s="118"/>
    </row>
    <row r="320" spans="1:61" x14ac:dyDescent="0.25">
      <c r="A320" t="s">
        <v>195</v>
      </c>
      <c r="D320" s="3">
        <v>81</v>
      </c>
      <c r="E320" s="3" t="s">
        <v>2</v>
      </c>
      <c r="AW320" s="119" t="s">
        <v>343</v>
      </c>
      <c r="AX320" s="118" t="e">
        <f>0.33*4*AX319</f>
        <v>#REF!</v>
      </c>
      <c r="AY320" s="118" t="s">
        <v>113</v>
      </c>
      <c r="AZ320" s="118"/>
      <c r="BA320" s="118"/>
      <c r="BB320" s="118"/>
      <c r="BC320" s="118"/>
      <c r="BD320" s="118"/>
      <c r="BE320" s="118"/>
      <c r="BF320" s="119" t="s">
        <v>343</v>
      </c>
      <c r="BG320" s="118" t="e">
        <f>0.33*4*BG319</f>
        <v>#REF!</v>
      </c>
      <c r="BH320" s="118" t="s">
        <v>113</v>
      </c>
      <c r="BI320" s="118"/>
    </row>
    <row r="321" spans="1:61" x14ac:dyDescent="0.25">
      <c r="A321" t="s">
        <v>147</v>
      </c>
      <c r="D321" s="52">
        <f>SUM(D319:D320)</f>
        <v>165</v>
      </c>
      <c r="E321" s="7" t="s">
        <v>2</v>
      </c>
      <c r="AW321" s="120" t="s">
        <v>132</v>
      </c>
      <c r="AX321" s="118" t="e">
        <f>AX320*1.1</f>
        <v>#REF!</v>
      </c>
      <c r="AY321" s="118" t="s">
        <v>113</v>
      </c>
      <c r="AZ321" s="118"/>
      <c r="BA321" s="118"/>
      <c r="BB321" s="118"/>
      <c r="BC321" s="118"/>
      <c r="BD321" s="118"/>
      <c r="BE321" s="118"/>
      <c r="BF321" s="120" t="s">
        <v>132</v>
      </c>
      <c r="BG321" s="118" t="e">
        <f>BG320*1.1</f>
        <v>#REF!</v>
      </c>
      <c r="BH321" s="118" t="s">
        <v>113</v>
      </c>
      <c r="BI321" s="118"/>
    </row>
    <row r="322" spans="1:61" x14ac:dyDescent="0.25">
      <c r="AW322" s="118" t="s">
        <v>358</v>
      </c>
      <c r="AX322" s="118">
        <v>0</v>
      </c>
      <c r="AY322" s="118"/>
      <c r="AZ322" s="118"/>
      <c r="BA322" s="118"/>
      <c r="BB322" s="118"/>
      <c r="BC322" s="118"/>
      <c r="BD322" s="118"/>
      <c r="BE322" s="118"/>
      <c r="BF322" s="118" t="s">
        <v>358</v>
      </c>
      <c r="BG322" s="118">
        <v>0</v>
      </c>
      <c r="BH322" s="118"/>
      <c r="BI322" s="118"/>
    </row>
    <row r="323" spans="1:61" x14ac:dyDescent="0.25">
      <c r="AW323" s="118" t="s">
        <v>359</v>
      </c>
      <c r="AX323" s="118" t="e">
        <f>AX322*AX321*2</f>
        <v>#REF!</v>
      </c>
      <c r="AY323" s="118"/>
      <c r="AZ323" s="118"/>
      <c r="BA323" s="118"/>
      <c r="BB323" s="118"/>
      <c r="BC323" s="118"/>
      <c r="BD323" s="118"/>
      <c r="BE323" s="118"/>
      <c r="BF323" s="118" t="s">
        <v>359</v>
      </c>
      <c r="BG323" s="118" t="e">
        <f>BG322*BG321*2</f>
        <v>#REF!</v>
      </c>
      <c r="BH323" s="118"/>
      <c r="BI323" s="118"/>
    </row>
    <row r="324" spans="1:61" x14ac:dyDescent="0.25">
      <c r="A324" s="56" t="s">
        <v>506</v>
      </c>
      <c r="D324" s="7">
        <f>2*50</f>
        <v>100</v>
      </c>
      <c r="E324" s="7" t="s">
        <v>2</v>
      </c>
      <c r="AW324" s="118" t="s">
        <v>359</v>
      </c>
      <c r="AX324" s="118" t="e">
        <f>AX323*AX322*2</f>
        <v>#REF!</v>
      </c>
      <c r="AY324" s="118"/>
      <c r="AZ324" s="118"/>
      <c r="BA324" s="118"/>
      <c r="BB324" s="118"/>
      <c r="BC324" s="118"/>
      <c r="BD324" s="118"/>
      <c r="BE324" s="118"/>
      <c r="BF324" s="118" t="s">
        <v>359</v>
      </c>
      <c r="BG324" s="118" t="e">
        <f>BG323*BG322*2</f>
        <v>#REF!</v>
      </c>
      <c r="BH324" s="118"/>
      <c r="BI324" s="118"/>
    </row>
    <row r="325" spans="1:61" x14ac:dyDescent="0.25">
      <c r="AW325" s="118"/>
      <c r="AX325" s="118"/>
      <c r="AY325" s="118"/>
      <c r="AZ325" s="118"/>
      <c r="BA325" s="118"/>
      <c r="BB325" s="118"/>
      <c r="BC325" s="118"/>
      <c r="BD325" s="118"/>
      <c r="BE325" s="118"/>
      <c r="BF325" s="118"/>
      <c r="BG325" s="118"/>
      <c r="BH325" s="118"/>
      <c r="BI325" s="118"/>
    </row>
    <row r="326" spans="1:61" x14ac:dyDescent="0.25">
      <c r="A326" s="56" t="s">
        <v>203</v>
      </c>
      <c r="B326" s="114"/>
      <c r="AW326" s="118"/>
      <c r="AX326" s="118"/>
      <c r="AY326" s="118"/>
      <c r="AZ326" s="118"/>
      <c r="BA326" s="118"/>
      <c r="BB326" s="118"/>
      <c r="BC326" s="118"/>
      <c r="BD326" s="118"/>
      <c r="BE326" s="118"/>
      <c r="BF326" s="118"/>
      <c r="BG326" s="118"/>
      <c r="BH326" s="118"/>
      <c r="BI326" s="118"/>
    </row>
    <row r="327" spans="1:61" x14ac:dyDescent="0.25">
      <c r="A327" t="s">
        <v>291</v>
      </c>
      <c r="B327" s="114"/>
      <c r="C327" s="7">
        <f>4*4.08</f>
        <v>16.32</v>
      </c>
      <c r="D327" s="7" t="s">
        <v>278</v>
      </c>
      <c r="AW327" s="118"/>
      <c r="AX327" s="118"/>
      <c r="AY327" s="118"/>
      <c r="AZ327" s="118"/>
      <c r="BA327" s="118"/>
      <c r="BB327" s="118"/>
      <c r="BC327" s="118"/>
      <c r="BD327" s="118"/>
      <c r="BE327" s="118"/>
      <c r="BF327" s="118"/>
      <c r="BG327" s="118"/>
      <c r="BH327" s="118"/>
      <c r="BI327" s="118"/>
    </row>
    <row r="328" spans="1:61" x14ac:dyDescent="0.25">
      <c r="AW328" s="118"/>
      <c r="AX328" s="118"/>
      <c r="AY328" s="118"/>
      <c r="AZ328" s="118"/>
      <c r="BA328" s="118"/>
      <c r="BB328" s="118"/>
      <c r="BC328" s="118"/>
      <c r="BD328" s="118"/>
      <c r="BE328" s="118"/>
      <c r="BF328" s="118"/>
      <c r="BG328" s="118"/>
      <c r="BH328" s="118"/>
      <c r="BI328" s="118"/>
    </row>
    <row r="329" spans="1:61" x14ac:dyDescent="0.25">
      <c r="AW329" s="118"/>
      <c r="AX329" s="118"/>
      <c r="AY329" s="118"/>
      <c r="AZ329" s="121" t="e">
        <f>AX319</f>
        <v>#REF!</v>
      </c>
      <c r="BA329" s="118"/>
      <c r="BB329" s="118"/>
      <c r="BC329" s="118"/>
      <c r="BD329" s="118"/>
      <c r="BE329" s="118"/>
      <c r="BF329" s="118"/>
      <c r="BG329" s="118"/>
      <c r="BH329" s="118"/>
      <c r="BI329" s="121" t="e">
        <f>BG319</f>
        <v>#REF!</v>
      </c>
    </row>
    <row r="330" spans="1:61" x14ac:dyDescent="0.25">
      <c r="A330" s="56" t="s">
        <v>477</v>
      </c>
      <c r="B330" s="114"/>
      <c r="AW330" s="118"/>
      <c r="AX330" s="118"/>
      <c r="AY330" s="118"/>
      <c r="AZ330" s="121"/>
      <c r="BA330" s="118"/>
      <c r="BB330" s="118"/>
      <c r="BC330" s="118"/>
      <c r="BD330" s="118"/>
      <c r="BE330" s="118"/>
      <c r="BF330" s="118"/>
      <c r="BG330" s="118"/>
      <c r="BH330" s="118"/>
      <c r="BI330" s="121"/>
    </row>
    <row r="331" spans="1:61" x14ac:dyDescent="0.25">
      <c r="A331" t="s">
        <v>478</v>
      </c>
      <c r="B331" s="114"/>
      <c r="C331" s="7">
        <f>4*1.25*(14+3.75)</f>
        <v>88.75</v>
      </c>
      <c r="D331" s="7" t="s">
        <v>278</v>
      </c>
      <c r="AW331" s="118"/>
      <c r="AX331" s="118"/>
      <c r="AY331" s="118"/>
      <c r="AZ331" s="121"/>
      <c r="BA331" s="118"/>
      <c r="BB331" s="118"/>
      <c r="BC331" s="118"/>
      <c r="BD331" s="118"/>
      <c r="BE331" s="118"/>
      <c r="BF331" s="118"/>
      <c r="BG331" s="118"/>
      <c r="BH331" s="118"/>
      <c r="BI331" s="121"/>
    </row>
    <row r="332" spans="1:61" x14ac:dyDescent="0.25">
      <c r="AW332" s="118"/>
      <c r="AX332" s="118"/>
      <c r="AY332" s="118"/>
      <c r="AZ332" s="121"/>
      <c r="BA332" s="118"/>
      <c r="BB332" s="118"/>
      <c r="BC332" s="118"/>
      <c r="BD332" s="118"/>
      <c r="BE332" s="118"/>
      <c r="BF332" s="118"/>
      <c r="BG332" s="118"/>
      <c r="BH332" s="118"/>
      <c r="BI332" s="121"/>
    </row>
    <row r="333" spans="1:61" x14ac:dyDescent="0.25">
      <c r="AW333" s="118"/>
      <c r="AX333" s="118"/>
      <c r="AY333" s="118"/>
      <c r="AZ333" s="121"/>
      <c r="BA333" s="118"/>
      <c r="BB333" s="118"/>
      <c r="BC333" s="118"/>
      <c r="BD333" s="118"/>
      <c r="BE333" s="118"/>
      <c r="BF333" s="118"/>
      <c r="BG333" s="118"/>
      <c r="BH333" s="118"/>
      <c r="BI333" s="121"/>
    </row>
    <row r="334" spans="1:61" x14ac:dyDescent="0.25">
      <c r="A334" s="56" t="s">
        <v>485</v>
      </c>
      <c r="AW334" s="118"/>
      <c r="AX334" s="118"/>
      <c r="AY334" s="118"/>
      <c r="AZ334" s="121"/>
      <c r="BA334" s="118"/>
      <c r="BB334" s="118"/>
      <c r="BC334" s="118"/>
      <c r="BD334" s="118"/>
      <c r="BE334" s="118"/>
      <c r="BF334" s="118"/>
      <c r="BG334" s="118"/>
      <c r="BH334" s="118"/>
      <c r="BI334" s="121"/>
    </row>
    <row r="335" spans="1:61" x14ac:dyDescent="0.25">
      <c r="A335" t="s">
        <v>45</v>
      </c>
      <c r="C335">
        <f>4+50+4</f>
        <v>58</v>
      </c>
      <c r="D335" t="s">
        <v>2</v>
      </c>
      <c r="AW335" s="118"/>
      <c r="AX335" s="118"/>
      <c r="AY335" s="118"/>
      <c r="AZ335" s="121"/>
      <c r="BA335" s="118"/>
      <c r="BB335" s="118"/>
      <c r="BC335" s="118"/>
      <c r="BD335" s="118"/>
      <c r="BE335" s="118"/>
      <c r="BF335" s="118"/>
      <c r="BG335" s="118"/>
      <c r="BH335" s="118"/>
      <c r="BI335" s="121"/>
    </row>
    <row r="336" spans="1:61" x14ac:dyDescent="0.25">
      <c r="A336" t="s">
        <v>484</v>
      </c>
      <c r="C336" s="3">
        <f>4+50+4</f>
        <v>58</v>
      </c>
      <c r="D336" s="3" t="s">
        <v>2</v>
      </c>
      <c r="AW336" s="118"/>
      <c r="AX336" s="118"/>
      <c r="AY336" s="118"/>
      <c r="AZ336" s="121"/>
      <c r="BA336" s="118"/>
      <c r="BB336" s="118"/>
      <c r="BC336" s="118"/>
      <c r="BD336" s="118"/>
      <c r="BE336" s="118"/>
      <c r="BF336" s="118"/>
      <c r="BG336" s="118"/>
      <c r="BH336" s="118"/>
      <c r="BI336" s="121"/>
    </row>
    <row r="337" spans="1:72" x14ac:dyDescent="0.25">
      <c r="C337" s="7">
        <f>C335+C336</f>
        <v>116</v>
      </c>
      <c r="D337" s="7" t="s">
        <v>2</v>
      </c>
      <c r="AW337" s="118"/>
      <c r="AX337" s="118"/>
      <c r="AY337" s="118"/>
      <c r="AZ337" s="121"/>
      <c r="BA337" s="118"/>
      <c r="BB337" s="118"/>
      <c r="BC337" s="118"/>
      <c r="BD337" s="118"/>
      <c r="BE337" s="118"/>
      <c r="BF337" s="118"/>
      <c r="BG337" s="118"/>
      <c r="BH337" s="118"/>
      <c r="BI337" s="121"/>
    </row>
    <row r="338" spans="1:72" x14ac:dyDescent="0.25"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</row>
    <row r="339" spans="1:72" x14ac:dyDescent="0.25">
      <c r="AW339" s="118"/>
      <c r="AX339" s="118"/>
      <c r="AY339" s="118"/>
      <c r="AZ339" s="121"/>
      <c r="BA339" s="118"/>
      <c r="BB339" s="118"/>
      <c r="BC339" s="118"/>
      <c r="BD339" s="118"/>
      <c r="BE339" s="118"/>
      <c r="BF339" s="118"/>
      <c r="BG339" s="118"/>
      <c r="BH339" s="118"/>
      <c r="BI339" s="121"/>
    </row>
    <row r="340" spans="1:72" x14ac:dyDescent="0.25">
      <c r="A340" s="56" t="s">
        <v>380</v>
      </c>
      <c r="AW340" s="118"/>
      <c r="AX340" s="118"/>
      <c r="AY340" s="118"/>
      <c r="AZ340" s="121"/>
      <c r="BA340" s="118"/>
      <c r="BB340" s="118"/>
      <c r="BC340" s="118"/>
      <c r="BD340" s="118"/>
      <c r="BE340" s="118"/>
      <c r="BF340" s="118"/>
      <c r="BG340" s="118"/>
      <c r="BH340" s="118"/>
      <c r="BI340" s="121"/>
    </row>
    <row r="341" spans="1:72" x14ac:dyDescent="0.25">
      <c r="A341" t="s">
        <v>148</v>
      </c>
      <c r="C341">
        <v>6</v>
      </c>
      <c r="D341" t="s">
        <v>116</v>
      </c>
      <c r="AW341" s="118"/>
      <c r="AX341" s="118"/>
      <c r="AY341" s="118"/>
      <c r="AZ341" s="118"/>
      <c r="BA341" s="118"/>
      <c r="BB341" s="118"/>
      <c r="BC341" s="118"/>
      <c r="BD341" s="118"/>
      <c r="BE341" s="118"/>
      <c r="BF341" s="118"/>
      <c r="BG341" s="118"/>
      <c r="BH341" s="118"/>
      <c r="BI341" s="118"/>
    </row>
    <row r="342" spans="1:72" x14ac:dyDescent="0.25">
      <c r="AW342" s="118"/>
      <c r="AX342" s="118"/>
      <c r="AY342" s="118"/>
      <c r="AZ342" s="118"/>
      <c r="BA342" s="118"/>
      <c r="BB342" s="118"/>
      <c r="BC342" s="118"/>
      <c r="BD342" s="118"/>
      <c r="BE342" s="118"/>
      <c r="BF342" s="118"/>
      <c r="BG342" s="118"/>
      <c r="BH342" s="118"/>
      <c r="BI342" s="118"/>
    </row>
    <row r="343" spans="1:72" x14ac:dyDescent="0.25">
      <c r="A343" t="s">
        <v>149</v>
      </c>
      <c r="C343" s="3">
        <v>6</v>
      </c>
      <c r="D343" s="3" t="s">
        <v>116</v>
      </c>
      <c r="AW343" s="118" t="s">
        <v>357</v>
      </c>
      <c r="AX343" s="118">
        <v>15.229200000000001</v>
      </c>
      <c r="AY343" s="118" t="s">
        <v>52</v>
      </c>
      <c r="AZ343" s="118"/>
      <c r="BA343" s="118"/>
      <c r="BB343" s="118"/>
      <c r="BC343" s="118"/>
      <c r="BD343" s="118"/>
      <c r="BE343" s="118"/>
      <c r="BF343" s="118" t="s">
        <v>357</v>
      </c>
      <c r="BG343" s="118">
        <v>14.771000000000001</v>
      </c>
      <c r="BH343" s="118" t="s">
        <v>52</v>
      </c>
      <c r="BI343" s="118"/>
    </row>
    <row r="344" spans="1:72" x14ac:dyDescent="0.25">
      <c r="C344" s="7">
        <f>SUM(C341:C343)</f>
        <v>12</v>
      </c>
      <c r="D344" s="7" t="s">
        <v>116</v>
      </c>
      <c r="AW344" s="118" t="s">
        <v>114</v>
      </c>
      <c r="AX344" s="118">
        <v>9.83</v>
      </c>
      <c r="AY344" s="118" t="s">
        <v>52</v>
      </c>
      <c r="AZ344" s="118"/>
      <c r="BA344" s="118"/>
      <c r="BB344" s="118"/>
      <c r="BC344" s="118"/>
      <c r="BD344" s="118"/>
      <c r="BE344" s="118"/>
      <c r="BF344" s="118" t="s">
        <v>114</v>
      </c>
      <c r="BG344" s="118">
        <v>9.83</v>
      </c>
      <c r="BH344" s="118" t="s">
        <v>52</v>
      </c>
      <c r="BI344" s="118"/>
    </row>
    <row r="345" spans="1:72" x14ac:dyDescent="0.25">
      <c r="AW345" s="118" t="s">
        <v>356</v>
      </c>
      <c r="AX345" s="118">
        <f>2*(SQRT((AX357)^2+(AZ354)^2))</f>
        <v>36.25230655503178</v>
      </c>
      <c r="AY345" s="118" t="s">
        <v>52</v>
      </c>
      <c r="AZ345" s="118"/>
      <c r="BA345" s="118"/>
      <c r="BB345" s="118"/>
      <c r="BC345" s="118"/>
      <c r="BD345" s="118"/>
      <c r="BE345" s="118"/>
      <c r="BF345" s="118" t="s">
        <v>356</v>
      </c>
      <c r="BG345" s="118">
        <f>2*(SQRT((BG357)^2+(BI354)^2))</f>
        <v>35.48584737610193</v>
      </c>
      <c r="BH345" s="118" t="s">
        <v>52</v>
      </c>
      <c r="BI345" s="118"/>
    </row>
    <row r="346" spans="1:72" x14ac:dyDescent="0.25">
      <c r="A346" s="56" t="s">
        <v>447</v>
      </c>
      <c r="C346" s="7" t="s">
        <v>441</v>
      </c>
      <c r="H346" s="7" t="s">
        <v>441</v>
      </c>
      <c r="AW346" s="119" t="s">
        <v>343</v>
      </c>
      <c r="AX346" s="118">
        <f>0.33*4*AX345</f>
        <v>47.853044652641948</v>
      </c>
      <c r="AY346" s="118" t="s">
        <v>113</v>
      </c>
      <c r="AZ346" s="118"/>
      <c r="BA346" s="118"/>
      <c r="BB346" s="118"/>
      <c r="BC346" s="118"/>
      <c r="BD346" s="118"/>
      <c r="BE346" s="118"/>
      <c r="BF346" s="119" t="s">
        <v>343</v>
      </c>
      <c r="BG346" s="118">
        <f>0.33*4*BG345</f>
        <v>46.841318536454551</v>
      </c>
      <c r="BH346" s="118" t="s">
        <v>113</v>
      </c>
      <c r="BI346" s="118"/>
    </row>
    <row r="347" spans="1:72" x14ac:dyDescent="0.25">
      <c r="AW347" s="120" t="s">
        <v>132</v>
      </c>
      <c r="AX347" s="118">
        <f>AX346*1.1</f>
        <v>52.638349117906145</v>
      </c>
      <c r="AY347" s="118" t="s">
        <v>113</v>
      </c>
      <c r="AZ347" s="118"/>
      <c r="BA347" s="118"/>
      <c r="BB347" s="118"/>
      <c r="BC347" s="118"/>
      <c r="BD347" s="118"/>
      <c r="BE347" s="118"/>
      <c r="BF347" s="120" t="s">
        <v>132</v>
      </c>
      <c r="BG347" s="118">
        <f>BG346*1.1</f>
        <v>51.525450390100012</v>
      </c>
      <c r="BH347" s="118" t="s">
        <v>113</v>
      </c>
      <c r="BI347" s="118"/>
    </row>
    <row r="348" spans="1:72" x14ac:dyDescent="0.25">
      <c r="A348" s="57" t="s">
        <v>41</v>
      </c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  <c r="AB348" s="114"/>
      <c r="AC348" s="114"/>
      <c r="AD348" s="114"/>
      <c r="AE348" s="114"/>
      <c r="AF348" s="114"/>
      <c r="AG348" s="114"/>
      <c r="AH348" s="114"/>
      <c r="AI348" s="114"/>
      <c r="AJ348" s="114"/>
      <c r="AK348" s="114"/>
      <c r="AL348" s="114"/>
      <c r="AM348" s="114"/>
      <c r="AN348" s="114"/>
      <c r="AO348" s="114"/>
      <c r="AP348" s="114"/>
      <c r="AQ348" s="114"/>
      <c r="AR348" s="114"/>
      <c r="AS348" s="114"/>
      <c r="AT348" s="114"/>
      <c r="AU348" s="114"/>
      <c r="AV348" s="114"/>
      <c r="AW348" s="123" t="s">
        <v>358</v>
      </c>
      <c r="AX348" s="123">
        <v>0</v>
      </c>
      <c r="AY348" s="123"/>
      <c r="AZ348" s="123"/>
      <c r="BA348" s="123"/>
      <c r="BB348" s="123"/>
      <c r="BC348" s="123"/>
      <c r="BD348" s="123"/>
      <c r="BE348" s="123"/>
      <c r="BF348" s="123" t="s">
        <v>358</v>
      </c>
      <c r="BG348" s="123">
        <v>0</v>
      </c>
      <c r="BH348" s="123"/>
      <c r="BI348" s="123"/>
      <c r="BJ348" s="114"/>
      <c r="BK348" s="114"/>
      <c r="BL348" s="114"/>
      <c r="BM348" s="114"/>
      <c r="BN348" s="114"/>
      <c r="BO348" s="114"/>
      <c r="BP348" s="114"/>
      <c r="BQ348" s="114"/>
      <c r="BR348" s="114"/>
      <c r="BS348" s="114"/>
      <c r="BT348" s="114"/>
    </row>
    <row r="349" spans="1:72" x14ac:dyDescent="0.25">
      <c r="A349" s="2"/>
      <c r="AW349" s="118" t="s">
        <v>359</v>
      </c>
      <c r="AX349" s="118">
        <f>AX348*AX347*2</f>
        <v>0</v>
      </c>
      <c r="AY349" s="118"/>
      <c r="AZ349" s="118"/>
      <c r="BA349" s="118"/>
      <c r="BB349" s="118"/>
      <c r="BC349" s="118"/>
      <c r="BD349" s="118"/>
      <c r="BE349" s="118"/>
      <c r="BF349" s="118" t="s">
        <v>359</v>
      </c>
      <c r="BG349" s="118">
        <f>BG348*BG347*2</f>
        <v>0</v>
      </c>
      <c r="BH349" s="118"/>
      <c r="BI349" s="118"/>
    </row>
    <row r="350" spans="1:72" x14ac:dyDescent="0.25">
      <c r="A350" t="s">
        <v>305</v>
      </c>
      <c r="C350">
        <v>0</v>
      </c>
      <c r="D350" t="s">
        <v>278</v>
      </c>
      <c r="AW350" s="118"/>
      <c r="AX350" s="118"/>
      <c r="AY350" s="118"/>
      <c r="AZ350" s="118"/>
      <c r="BA350" s="118"/>
      <c r="BB350" s="118"/>
      <c r="BC350" s="118"/>
      <c r="BD350" s="118"/>
      <c r="BE350" s="118"/>
      <c r="BF350" s="118"/>
      <c r="BG350" s="118"/>
      <c r="BH350" s="118"/>
      <c r="BI350" s="118"/>
    </row>
    <row r="351" spans="1:72" x14ac:dyDescent="0.25">
      <c r="A351" s="2"/>
      <c r="AW351" s="118"/>
      <c r="AX351" s="118"/>
      <c r="AY351" s="118"/>
      <c r="AZ351" s="121"/>
      <c r="BA351" s="118"/>
      <c r="BB351" s="118"/>
      <c r="BC351" s="118"/>
      <c r="BD351" s="118"/>
      <c r="BE351" s="118"/>
      <c r="BF351" s="118"/>
      <c r="BG351" s="118"/>
      <c r="BH351" s="118"/>
      <c r="BI351" s="121"/>
    </row>
    <row r="352" spans="1:72" x14ac:dyDescent="0.25">
      <c r="A352" t="s">
        <v>175</v>
      </c>
      <c r="AW352" s="118"/>
      <c r="AX352" s="118">
        <f>SQRT((AX357)^2+(AZ354)^2)</f>
        <v>18.12615327751589</v>
      </c>
      <c r="AY352" s="118"/>
      <c r="AZ352" s="121"/>
      <c r="BA352" s="118"/>
      <c r="BB352" s="118"/>
      <c r="BC352" s="118"/>
      <c r="BD352" s="118"/>
      <c r="BE352" s="118"/>
      <c r="BF352" s="118"/>
      <c r="BG352" s="118">
        <f>SQRT((BG357)^2+(BI354)^2)</f>
        <v>17.742923688050965</v>
      </c>
      <c r="BH352" s="118"/>
      <c r="BI352" s="121"/>
    </row>
    <row r="353" spans="1:61" x14ac:dyDescent="0.25">
      <c r="A353" t="s">
        <v>37</v>
      </c>
      <c r="D353">
        <v>0</v>
      </c>
      <c r="E353" t="s">
        <v>2</v>
      </c>
      <c r="AW353" s="118"/>
      <c r="AX353" s="118"/>
      <c r="AY353" s="118"/>
      <c r="AZ353" s="121"/>
      <c r="BA353" s="118"/>
      <c r="BB353" s="118"/>
      <c r="BC353" s="118"/>
      <c r="BD353" s="118"/>
      <c r="BE353" s="118"/>
      <c r="BF353" s="118"/>
      <c r="BG353" s="118"/>
      <c r="BH353" s="118"/>
      <c r="BI353" s="121"/>
    </row>
    <row r="354" spans="1:61" x14ac:dyDescent="0.25">
      <c r="A354" t="s">
        <v>38</v>
      </c>
      <c r="D354">
        <v>0</v>
      </c>
      <c r="E354" t="s">
        <v>2</v>
      </c>
      <c r="AW354" s="118"/>
      <c r="AX354" s="118"/>
      <c r="AY354" s="118"/>
      <c r="AZ354" s="121">
        <f>AX344</f>
        <v>9.83</v>
      </c>
      <c r="BA354" s="118"/>
      <c r="BB354" s="118"/>
      <c r="BC354" s="118"/>
      <c r="BD354" s="118"/>
      <c r="BE354" s="118"/>
      <c r="BF354" s="118"/>
      <c r="BG354" s="118"/>
      <c r="BH354" s="118"/>
      <c r="BI354" s="121">
        <f>BG344</f>
        <v>9.83</v>
      </c>
    </row>
    <row r="355" spans="1:61" x14ac:dyDescent="0.25">
      <c r="A355" t="s">
        <v>43</v>
      </c>
      <c r="D355">
        <v>1</v>
      </c>
      <c r="AW355" s="118"/>
      <c r="AX355" s="118"/>
      <c r="AY355" s="118"/>
      <c r="AZ355" s="121"/>
      <c r="BA355" s="118"/>
      <c r="BB355" s="118"/>
      <c r="BC355" s="118"/>
      <c r="BD355" s="118"/>
      <c r="BE355" s="118"/>
      <c r="BF355" s="118"/>
      <c r="BG355" s="118"/>
      <c r="BH355" s="118"/>
      <c r="BI355" s="121"/>
    </row>
    <row r="356" spans="1:61" x14ac:dyDescent="0.25">
      <c r="A356" t="s">
        <v>42</v>
      </c>
      <c r="C356">
        <f>D353*D354*D355</f>
        <v>0</v>
      </c>
      <c r="D356" t="s">
        <v>40</v>
      </c>
      <c r="AW356" s="118"/>
      <c r="AX356" s="118"/>
      <c r="AY356" s="118"/>
      <c r="AZ356" s="121"/>
      <c r="BA356" s="118"/>
      <c r="BB356" s="118"/>
      <c r="BC356" s="118"/>
      <c r="BD356" s="118"/>
      <c r="BE356" s="118"/>
      <c r="BF356" s="118"/>
      <c r="BG356" s="118"/>
      <c r="BH356" s="118"/>
      <c r="BI356" s="121"/>
    </row>
    <row r="357" spans="1:61" x14ac:dyDescent="0.25">
      <c r="AW357" s="122"/>
      <c r="AX357" s="122">
        <f>AX343</f>
        <v>15.229200000000001</v>
      </c>
      <c r="AY357" s="122"/>
      <c r="AZ357" s="118"/>
      <c r="BA357" s="118"/>
      <c r="BB357" s="118"/>
      <c r="BC357" s="118"/>
      <c r="BD357" s="118"/>
      <c r="BE357" s="118"/>
      <c r="BF357" s="122"/>
      <c r="BG357" s="122">
        <f>BG343</f>
        <v>14.771000000000001</v>
      </c>
      <c r="BH357" s="122"/>
      <c r="BI357" s="118"/>
    </row>
    <row r="358" spans="1:61" x14ac:dyDescent="0.25">
      <c r="A358" t="s">
        <v>179</v>
      </c>
      <c r="AW358" s="118"/>
      <c r="AX358" s="118"/>
      <c r="AY358" s="118"/>
      <c r="AZ358" s="118"/>
      <c r="BA358" s="118"/>
      <c r="BB358" s="118"/>
      <c r="BC358" s="118"/>
      <c r="BD358" s="118"/>
      <c r="BE358" s="118"/>
      <c r="BF358" s="118"/>
      <c r="BG358" s="118"/>
      <c r="BH358" s="118"/>
      <c r="BI358" s="118"/>
    </row>
    <row r="359" spans="1:61" x14ac:dyDescent="0.25">
      <c r="A359" t="s">
        <v>37</v>
      </c>
      <c r="D359">
        <v>0</v>
      </c>
      <c r="E359" t="s">
        <v>2</v>
      </c>
      <c r="AW359" s="118"/>
      <c r="AX359" s="118"/>
      <c r="AY359" s="118"/>
      <c r="AZ359" s="118"/>
      <c r="BA359" s="118"/>
      <c r="BB359" s="118"/>
      <c r="BC359" s="118"/>
      <c r="BD359" s="118"/>
      <c r="BE359" s="118"/>
      <c r="BF359" s="118"/>
      <c r="BG359" s="118"/>
      <c r="BH359" s="118"/>
      <c r="BI359" s="118"/>
    </row>
    <row r="360" spans="1:61" x14ac:dyDescent="0.25">
      <c r="A360" t="s">
        <v>38</v>
      </c>
      <c r="D360">
        <v>0</v>
      </c>
      <c r="E360" t="s">
        <v>2</v>
      </c>
    </row>
    <row r="361" spans="1:61" x14ac:dyDescent="0.25">
      <c r="A361" t="s">
        <v>43</v>
      </c>
      <c r="D361">
        <v>1</v>
      </c>
    </row>
    <row r="362" spans="1:61" x14ac:dyDescent="0.25">
      <c r="A362" t="s">
        <v>42</v>
      </c>
      <c r="C362">
        <f>D359*D360*D361</f>
        <v>0</v>
      </c>
      <c r="D362" t="s">
        <v>40</v>
      </c>
    </row>
    <row r="364" spans="1:61" x14ac:dyDescent="0.25">
      <c r="A364" t="s">
        <v>412</v>
      </c>
    </row>
    <row r="365" spans="1:61" x14ac:dyDescent="0.25">
      <c r="A365" t="s">
        <v>37</v>
      </c>
      <c r="D365">
        <v>3</v>
      </c>
      <c r="E365" t="s">
        <v>2</v>
      </c>
    </row>
    <row r="366" spans="1:61" x14ac:dyDescent="0.25">
      <c r="A366" t="s">
        <v>38</v>
      </c>
      <c r="D366">
        <v>1.5</v>
      </c>
      <c r="E366" t="s">
        <v>2</v>
      </c>
    </row>
    <row r="367" spans="1:61" x14ac:dyDescent="0.25">
      <c r="A367" t="s">
        <v>43</v>
      </c>
      <c r="D367">
        <v>1</v>
      </c>
    </row>
    <row r="368" spans="1:61" x14ac:dyDescent="0.25">
      <c r="A368" t="s">
        <v>42</v>
      </c>
      <c r="C368">
        <f>D365*D366*D367</f>
        <v>4.5</v>
      </c>
      <c r="D368" t="s">
        <v>40</v>
      </c>
    </row>
    <row r="370" spans="1:5" x14ac:dyDescent="0.25">
      <c r="A370" t="s">
        <v>413</v>
      </c>
    </row>
    <row r="371" spans="1:5" x14ac:dyDescent="0.25">
      <c r="A371" t="s">
        <v>37</v>
      </c>
      <c r="D371">
        <v>0</v>
      </c>
      <c r="E371" t="s">
        <v>2</v>
      </c>
    </row>
    <row r="372" spans="1:5" x14ac:dyDescent="0.25">
      <c r="A372" t="s">
        <v>38</v>
      </c>
      <c r="D372">
        <v>0</v>
      </c>
      <c r="E372" t="s">
        <v>2</v>
      </c>
    </row>
    <row r="373" spans="1:5" x14ac:dyDescent="0.25">
      <c r="A373" t="s">
        <v>43</v>
      </c>
      <c r="D373">
        <v>1</v>
      </c>
    </row>
    <row r="374" spans="1:5" x14ac:dyDescent="0.25">
      <c r="A374" t="s">
        <v>42</v>
      </c>
      <c r="C374">
        <f>D371*D372*D373</f>
        <v>0</v>
      </c>
      <c r="D374" t="s">
        <v>40</v>
      </c>
    </row>
    <row r="376" spans="1:5" x14ac:dyDescent="0.25">
      <c r="A376" s="7" t="s">
        <v>180</v>
      </c>
      <c r="B376" s="7"/>
      <c r="C376" s="52">
        <f>ROUND(C350+C356+C362+C368+C374,1)</f>
        <v>4.5</v>
      </c>
      <c r="D376" s="7" t="s">
        <v>40</v>
      </c>
    </row>
    <row r="377" spans="1:5" x14ac:dyDescent="0.25">
      <c r="C377" s="1"/>
    </row>
    <row r="378" spans="1:5" x14ac:dyDescent="0.25">
      <c r="A378" s="56" t="s">
        <v>507</v>
      </c>
    </row>
    <row r="379" spans="1:5" x14ac:dyDescent="0.25">
      <c r="A379" t="s">
        <v>508</v>
      </c>
      <c r="C379">
        <f>14+50+14</f>
        <v>78</v>
      </c>
      <c r="D379" t="s">
        <v>2</v>
      </c>
    </row>
    <row r="380" spans="1:5" x14ac:dyDescent="0.25">
      <c r="A380" t="s">
        <v>3</v>
      </c>
      <c r="C380">
        <v>2</v>
      </c>
      <c r="D380" t="s">
        <v>2</v>
      </c>
    </row>
    <row r="381" spans="1:5" x14ac:dyDescent="0.25">
      <c r="A381" t="s">
        <v>498</v>
      </c>
      <c r="C381">
        <v>4.5</v>
      </c>
      <c r="D381" t="s">
        <v>2</v>
      </c>
    </row>
    <row r="382" spans="1:5" x14ac:dyDescent="0.25">
      <c r="A382" t="s">
        <v>509</v>
      </c>
      <c r="C382">
        <v>2</v>
      </c>
      <c r="D382" t="s">
        <v>116</v>
      </c>
    </row>
    <row r="383" spans="1:5" x14ac:dyDescent="0.25">
      <c r="A383" t="s">
        <v>510</v>
      </c>
      <c r="C383">
        <f>C379*C380*C381*C382</f>
        <v>1404</v>
      </c>
      <c r="D383" t="s">
        <v>295</v>
      </c>
    </row>
    <row r="384" spans="1:5" x14ac:dyDescent="0.25">
      <c r="C384" s="7">
        <f>ROUNDUP(C383/27,0)</f>
        <v>52</v>
      </c>
      <c r="D384" s="7" t="s">
        <v>297</v>
      </c>
    </row>
    <row r="387" spans="1:7" x14ac:dyDescent="0.25">
      <c r="A387" s="130" t="s">
        <v>335</v>
      </c>
      <c r="B387" s="6"/>
      <c r="C387" s="6"/>
      <c r="F387" s="7">
        <v>2</v>
      </c>
      <c r="G387" s="7" t="s">
        <v>116</v>
      </c>
    </row>
    <row r="388" spans="1:7" x14ac:dyDescent="0.25">
      <c r="A388" s="56"/>
      <c r="B388" s="6"/>
      <c r="C388" s="6"/>
    </row>
    <row r="389" spans="1:7" x14ac:dyDescent="0.25">
      <c r="A389" s="56" t="s">
        <v>516</v>
      </c>
      <c r="B389" s="7">
        <f>2*76</f>
        <v>152</v>
      </c>
      <c r="C389" s="7" t="s">
        <v>2</v>
      </c>
    </row>
    <row r="390" spans="1:7" x14ac:dyDescent="0.25">
      <c r="A390" s="56" t="s">
        <v>517</v>
      </c>
      <c r="B390" s="7">
        <f>4*30</f>
        <v>120</v>
      </c>
      <c r="C390" s="7" t="s">
        <v>2</v>
      </c>
    </row>
    <row r="391" spans="1:7" x14ac:dyDescent="0.25">
      <c r="A391" s="56"/>
      <c r="B391" s="6"/>
      <c r="C391" s="6"/>
    </row>
    <row r="392" spans="1:7" x14ac:dyDescent="0.25">
      <c r="A392" s="56"/>
      <c r="B392" s="6"/>
      <c r="C392" s="6"/>
    </row>
    <row r="393" spans="1:7" x14ac:dyDescent="0.25">
      <c r="A393" s="56"/>
      <c r="B393" s="6"/>
      <c r="C393" s="6"/>
    </row>
    <row r="394" spans="1:7" x14ac:dyDescent="0.25">
      <c r="A394" s="130" t="s">
        <v>439</v>
      </c>
      <c r="B394" s="6"/>
      <c r="F394" s="7">
        <v>1</v>
      </c>
      <c r="G394" s="7" t="s">
        <v>116</v>
      </c>
    </row>
    <row r="395" spans="1:7" x14ac:dyDescent="0.25">
      <c r="A395" s="2"/>
      <c r="F395" s="7"/>
      <c r="G395" s="7"/>
    </row>
    <row r="396" spans="1:7" x14ac:dyDescent="0.25">
      <c r="A396" s="130" t="s">
        <v>446</v>
      </c>
      <c r="B396" s="6"/>
      <c r="C396" s="6"/>
      <c r="D396" s="6"/>
      <c r="F396" s="7">
        <v>20</v>
      </c>
      <c r="G396" s="7" t="s">
        <v>2</v>
      </c>
    </row>
    <row r="398" spans="1:7" x14ac:dyDescent="0.25">
      <c r="A398" s="125" t="s">
        <v>518</v>
      </c>
      <c r="B398" s="6"/>
      <c r="C398" s="6"/>
      <c r="D398" s="6"/>
    </row>
    <row r="399" spans="1:7" x14ac:dyDescent="0.25">
      <c r="A399" t="s">
        <v>519</v>
      </c>
      <c r="C399">
        <v>25</v>
      </c>
      <c r="D399" t="s">
        <v>2</v>
      </c>
    </row>
    <row r="400" spans="1:7" x14ac:dyDescent="0.25">
      <c r="A400" t="s">
        <v>520</v>
      </c>
      <c r="C400" s="25">
        <f>(51.6+48)/2</f>
        <v>49.8</v>
      </c>
      <c r="D400" t="s">
        <v>487</v>
      </c>
    </row>
    <row r="401" spans="1:5" x14ac:dyDescent="0.25">
      <c r="A401" s="145" t="s">
        <v>521</v>
      </c>
      <c r="C401">
        <v>2</v>
      </c>
      <c r="D401" t="s">
        <v>116</v>
      </c>
    </row>
    <row r="402" spans="1:5" x14ac:dyDescent="0.25">
      <c r="A402" t="s">
        <v>202</v>
      </c>
      <c r="C402">
        <f>1023.6*C401</f>
        <v>2047.2</v>
      </c>
      <c r="D402" t="s">
        <v>40</v>
      </c>
      <c r="E402" t="s">
        <v>530</v>
      </c>
    </row>
    <row r="403" spans="1:5" x14ac:dyDescent="0.25">
      <c r="C403" s="52">
        <f>C402/9</f>
        <v>227.46666666666667</v>
      </c>
      <c r="D403" s="7" t="s">
        <v>24</v>
      </c>
    </row>
    <row r="404" spans="1:5" x14ac:dyDescent="0.25">
      <c r="C404" s="1"/>
    </row>
    <row r="405" spans="1:5" x14ac:dyDescent="0.25">
      <c r="A405" s="125" t="s">
        <v>522</v>
      </c>
      <c r="C405" s="52">
        <f>2*50</f>
        <v>100</v>
      </c>
      <c r="D405" s="7" t="s">
        <v>2</v>
      </c>
    </row>
    <row r="406" spans="1:5" x14ac:dyDescent="0.25">
      <c r="C406" s="1"/>
    </row>
    <row r="408" spans="1:5" x14ac:dyDescent="0.25">
      <c r="A408" s="125" t="s">
        <v>486</v>
      </c>
      <c r="B408" s="114"/>
      <c r="C408" s="114"/>
      <c r="D408" s="114"/>
      <c r="E408" s="114"/>
    </row>
    <row r="409" spans="1:5" x14ac:dyDescent="0.25">
      <c r="A409" s="125" t="s">
        <v>399</v>
      </c>
      <c r="B409" s="114"/>
      <c r="C409" s="114"/>
      <c r="D409" s="114"/>
      <c r="E409" s="114"/>
    </row>
    <row r="410" spans="1:5" x14ac:dyDescent="0.25">
      <c r="A410" s="125" t="s">
        <v>406</v>
      </c>
      <c r="B410" s="114"/>
      <c r="C410" s="114"/>
      <c r="D410" s="114"/>
      <c r="E410" s="114"/>
    </row>
    <row r="412" spans="1:5" x14ac:dyDescent="0.25">
      <c r="A412" t="s">
        <v>398</v>
      </c>
    </row>
    <row r="413" spans="1:5" x14ac:dyDescent="0.25">
      <c r="A413" t="s">
        <v>394</v>
      </c>
      <c r="C413">
        <v>187</v>
      </c>
      <c r="D413" t="s">
        <v>2</v>
      </c>
      <c r="E413">
        <v>188.7</v>
      </c>
    </row>
    <row r="414" spans="1:5" x14ac:dyDescent="0.25">
      <c r="A414" t="s">
        <v>395</v>
      </c>
      <c r="C414" s="25">
        <v>38.799999999999997</v>
      </c>
      <c r="D414" t="s">
        <v>487</v>
      </c>
    </row>
    <row r="416" spans="1:5" x14ac:dyDescent="0.25">
      <c r="A416" t="s">
        <v>202</v>
      </c>
      <c r="C416">
        <f>C413*C414</f>
        <v>7255.5999999999995</v>
      </c>
      <c r="D416" t="s">
        <v>40</v>
      </c>
    </row>
    <row r="417" spans="1:4" x14ac:dyDescent="0.25">
      <c r="C417" s="52">
        <f>C416/9</f>
        <v>806.17777777777769</v>
      </c>
      <c r="D417" s="7" t="s">
        <v>24</v>
      </c>
    </row>
    <row r="419" spans="1:4" x14ac:dyDescent="0.25">
      <c r="A419" s="56" t="s">
        <v>513</v>
      </c>
    </row>
    <row r="420" spans="1:4" x14ac:dyDescent="0.25">
      <c r="A420" t="s">
        <v>398</v>
      </c>
    </row>
    <row r="421" spans="1:4" x14ac:dyDescent="0.25">
      <c r="A421" t="s">
        <v>394</v>
      </c>
      <c r="C421">
        <v>187</v>
      </c>
      <c r="D421" t="s">
        <v>2</v>
      </c>
    </row>
    <row r="422" spans="1:4" x14ac:dyDescent="0.25">
      <c r="A422" t="s">
        <v>395</v>
      </c>
      <c r="C422" s="25">
        <v>38.799999999999997</v>
      </c>
      <c r="D422" t="s">
        <v>487</v>
      </c>
    </row>
    <row r="423" spans="1:4" x14ac:dyDescent="0.25">
      <c r="A423" t="s">
        <v>514</v>
      </c>
      <c r="C423">
        <v>8.3299999999999999E-2</v>
      </c>
      <c r="D423" t="s">
        <v>515</v>
      </c>
    </row>
    <row r="424" spans="1:4" x14ac:dyDescent="0.25">
      <c r="A424" t="s">
        <v>202</v>
      </c>
      <c r="C424">
        <f>C421*C422*C423</f>
        <v>604.39148</v>
      </c>
      <c r="D424" t="s">
        <v>13</v>
      </c>
    </row>
    <row r="425" spans="1:4" x14ac:dyDescent="0.25">
      <c r="C425" s="52">
        <f>C424/27</f>
        <v>22.38486962962963</v>
      </c>
      <c r="D425" s="7" t="s">
        <v>8</v>
      </c>
    </row>
    <row r="427" spans="1:4" x14ac:dyDescent="0.25">
      <c r="A427" s="56" t="s">
        <v>524</v>
      </c>
      <c r="C427" s="7">
        <f>0.2*C417</f>
        <v>161.23555555555555</v>
      </c>
      <c r="D427" s="7" t="s">
        <v>525</v>
      </c>
    </row>
    <row r="430" spans="1:4" x14ac:dyDescent="0.25">
      <c r="A430" s="2" t="s">
        <v>440</v>
      </c>
      <c r="B430" s="2"/>
      <c r="C430" s="2"/>
      <c r="D430" s="2"/>
    </row>
    <row r="431" spans="1:4" x14ac:dyDescent="0.25">
      <c r="A431" s="2" t="s">
        <v>442</v>
      </c>
      <c r="B431" s="2"/>
      <c r="C431" s="2"/>
      <c r="D431" s="2"/>
    </row>
    <row r="432" spans="1:4" x14ac:dyDescent="0.25">
      <c r="A432" s="2" t="s">
        <v>443</v>
      </c>
      <c r="B432" s="2"/>
      <c r="C432" s="2"/>
      <c r="D432" s="2"/>
    </row>
    <row r="433" spans="1:4" x14ac:dyDescent="0.25">
      <c r="A433" s="2" t="s">
        <v>444</v>
      </c>
      <c r="B433" s="2"/>
      <c r="C433" s="2"/>
      <c r="D433" s="2"/>
    </row>
    <row r="434" spans="1:4" x14ac:dyDescent="0.25">
      <c r="A434" s="2" t="s">
        <v>445</v>
      </c>
      <c r="B434" s="2"/>
      <c r="C434" s="2"/>
      <c r="D434" s="2"/>
    </row>
    <row r="435" spans="1:4" x14ac:dyDescent="0.25">
      <c r="A435" s="2"/>
      <c r="B435" s="2"/>
      <c r="C435" s="2"/>
      <c r="D435" s="2"/>
    </row>
    <row r="439" spans="1:4" x14ac:dyDescent="0.25">
      <c r="A439" s="2" t="s">
        <v>511</v>
      </c>
    </row>
    <row r="441" spans="1:4" x14ac:dyDescent="0.25">
      <c r="A441" t="s">
        <v>207</v>
      </c>
      <c r="B441">
        <v>50</v>
      </c>
      <c r="C441" t="s">
        <v>2</v>
      </c>
    </row>
    <row r="442" spans="1:4" x14ac:dyDescent="0.25">
      <c r="A442" t="s">
        <v>1</v>
      </c>
      <c r="B442">
        <v>1.6666000000000001</v>
      </c>
      <c r="C442" t="s">
        <v>2</v>
      </c>
    </row>
    <row r="443" spans="1:4" x14ac:dyDescent="0.25">
      <c r="A443" t="s">
        <v>3</v>
      </c>
      <c r="B443">
        <f>2.5</f>
        <v>2.5</v>
      </c>
      <c r="C443" t="s">
        <v>49</v>
      </c>
    </row>
    <row r="444" spans="1:4" x14ac:dyDescent="0.25">
      <c r="A444" t="s">
        <v>512</v>
      </c>
      <c r="B444">
        <v>2</v>
      </c>
      <c r="C444" t="s">
        <v>116</v>
      </c>
    </row>
    <row r="445" spans="1:4" x14ac:dyDescent="0.25">
      <c r="A445" t="s">
        <v>273</v>
      </c>
      <c r="B445">
        <f>B441*B442*(B443/12)*B444</f>
        <v>34.720833333333331</v>
      </c>
      <c r="C445" t="s">
        <v>295</v>
      </c>
    </row>
    <row r="448" spans="1:4" x14ac:dyDescent="0.25">
      <c r="A448" s="2" t="s">
        <v>528</v>
      </c>
    </row>
    <row r="450" spans="1:3" x14ac:dyDescent="0.25">
      <c r="A450" t="s">
        <v>529</v>
      </c>
      <c r="B450">
        <f>2*185</f>
        <v>370</v>
      </c>
      <c r="C450" t="s">
        <v>2</v>
      </c>
    </row>
    <row r="456" spans="1:3" x14ac:dyDescent="0.25">
      <c r="A456" s="2" t="s">
        <v>532</v>
      </c>
    </row>
    <row r="457" spans="1:3" x14ac:dyDescent="0.25">
      <c r="A457" t="s">
        <v>207</v>
      </c>
      <c r="B457">
        <v>187</v>
      </c>
      <c r="C457" t="s">
        <v>2</v>
      </c>
    </row>
    <row r="458" spans="1:3" x14ac:dyDescent="0.25">
      <c r="A458" t="s">
        <v>1</v>
      </c>
      <c r="B458">
        <v>1</v>
      </c>
      <c r="C458" t="s">
        <v>2</v>
      </c>
    </row>
    <row r="459" spans="1:3" x14ac:dyDescent="0.25">
      <c r="A459" t="s">
        <v>3</v>
      </c>
      <c r="B459">
        <v>6</v>
      </c>
      <c r="C459" t="s">
        <v>49</v>
      </c>
    </row>
    <row r="460" spans="1:3" x14ac:dyDescent="0.25">
      <c r="A460" t="s">
        <v>533</v>
      </c>
      <c r="B460">
        <v>2</v>
      </c>
      <c r="C460" t="s">
        <v>116</v>
      </c>
    </row>
    <row r="461" spans="1:3" x14ac:dyDescent="0.25">
      <c r="A461" t="s">
        <v>273</v>
      </c>
      <c r="B461">
        <f>B457*B458*(B459/12)*B460</f>
        <v>187</v>
      </c>
      <c r="C461" t="s">
        <v>295</v>
      </c>
    </row>
    <row r="462" spans="1:3" x14ac:dyDescent="0.25">
      <c r="B462">
        <f>B461/27</f>
        <v>6.9259259259259256</v>
      </c>
      <c r="C462" t="s">
        <v>297</v>
      </c>
    </row>
  </sheetData>
  <mergeCells count="8">
    <mergeCell ref="A85:B86"/>
    <mergeCell ref="A111:B112"/>
    <mergeCell ref="AI290:AI291"/>
    <mergeCell ref="A253:J255"/>
    <mergeCell ref="Y261:AF261"/>
    <mergeCell ref="AH262:AN262"/>
    <mergeCell ref="AI282:AI284"/>
    <mergeCell ref="AI287:AI288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1AA3-E79B-417E-970D-6F9E014C92A9}">
  <dimension ref="A1:J10"/>
  <sheetViews>
    <sheetView topLeftCell="F1" workbookViewId="0">
      <selection activeCell="J18" sqref="J18"/>
    </sheetView>
  </sheetViews>
  <sheetFormatPr defaultRowHeight="14.85" x14ac:dyDescent="0.25"/>
  <cols>
    <col min="2" max="2" width="12.28515625" customWidth="1"/>
    <col min="5" max="5" width="128" customWidth="1"/>
    <col min="6" max="7" width="12.7109375" customWidth="1"/>
    <col min="8" max="8" width="18.7109375" customWidth="1"/>
    <col min="9" max="10" width="12.7109375" customWidth="1"/>
  </cols>
  <sheetData>
    <row r="1" spans="1:10" ht="15.6" thickBot="1" x14ac:dyDescent="0.3">
      <c r="A1" s="219"/>
      <c r="B1" s="220"/>
      <c r="C1" s="220"/>
      <c r="D1" s="220"/>
      <c r="E1" s="170" t="s">
        <v>679</v>
      </c>
      <c r="F1" s="220" t="s">
        <v>719</v>
      </c>
      <c r="G1" s="220"/>
      <c r="H1" s="220"/>
      <c r="I1" s="220"/>
      <c r="J1" s="221"/>
    </row>
    <row r="2" spans="1:10" ht="15.6" thickBot="1" x14ac:dyDescent="0.3">
      <c r="A2" s="171" t="s">
        <v>640</v>
      </c>
      <c r="B2" s="172" t="s">
        <v>641</v>
      </c>
      <c r="C2" s="173" t="s">
        <v>378</v>
      </c>
      <c r="D2" s="174" t="s">
        <v>642</v>
      </c>
      <c r="E2" s="175" t="s">
        <v>643</v>
      </c>
      <c r="F2" s="176" t="s">
        <v>644</v>
      </c>
      <c r="G2" s="173" t="s">
        <v>645</v>
      </c>
      <c r="H2" s="173" t="s">
        <v>646</v>
      </c>
      <c r="I2" s="173" t="s">
        <v>647</v>
      </c>
      <c r="J2" s="208" t="s">
        <v>648</v>
      </c>
    </row>
    <row r="3" spans="1:10" x14ac:dyDescent="0.25">
      <c r="A3" s="192" t="s">
        <v>659</v>
      </c>
      <c r="B3" s="184">
        <v>50</v>
      </c>
      <c r="C3" s="185">
        <f t="shared" ref="C3:C10" si="0">IF(D3="LUMP","LS",IF(SUM(F3:I3)=0,"",(SUM(F3:I3))))</f>
        <v>704</v>
      </c>
      <c r="D3" s="186" t="s">
        <v>278</v>
      </c>
      <c r="E3" s="187" t="s">
        <v>95</v>
      </c>
      <c r="F3" s="185"/>
      <c r="G3" s="191">
        <v>704</v>
      </c>
      <c r="H3" s="191"/>
      <c r="I3" s="185"/>
      <c r="J3" s="189"/>
    </row>
    <row r="4" spans="1:10" x14ac:dyDescent="0.25">
      <c r="A4" s="192" t="s">
        <v>659</v>
      </c>
      <c r="B4" s="184">
        <v>56</v>
      </c>
      <c r="C4" s="185">
        <f t="shared" si="0"/>
        <v>704</v>
      </c>
      <c r="D4" s="186" t="s">
        <v>278</v>
      </c>
      <c r="E4" s="187" t="s">
        <v>660</v>
      </c>
      <c r="F4" s="185"/>
      <c r="G4" s="191">
        <v>704</v>
      </c>
      <c r="H4" s="191"/>
      <c r="I4" s="185"/>
      <c r="J4" s="189"/>
    </row>
    <row r="5" spans="1:10" x14ac:dyDescent="0.25">
      <c r="A5" s="192" t="s">
        <v>659</v>
      </c>
      <c r="B5" s="184">
        <v>60</v>
      </c>
      <c r="C5" s="185">
        <f t="shared" si="0"/>
        <v>704</v>
      </c>
      <c r="D5" s="186" t="s">
        <v>278</v>
      </c>
      <c r="E5" s="187" t="s">
        <v>661</v>
      </c>
      <c r="F5" s="185"/>
      <c r="G5" s="191">
        <v>704</v>
      </c>
      <c r="H5" s="191"/>
      <c r="I5" s="185"/>
      <c r="J5" s="189"/>
    </row>
    <row r="6" spans="1:10" x14ac:dyDescent="0.25">
      <c r="A6" s="192" t="s">
        <v>659</v>
      </c>
      <c r="B6" s="184">
        <v>66</v>
      </c>
      <c r="C6" s="185">
        <f t="shared" si="0"/>
        <v>704</v>
      </c>
      <c r="D6" s="186" t="s">
        <v>278</v>
      </c>
      <c r="E6" s="187" t="s">
        <v>662</v>
      </c>
      <c r="F6" s="185"/>
      <c r="G6" s="191">
        <v>704</v>
      </c>
      <c r="H6" s="191"/>
      <c r="I6" s="185"/>
      <c r="J6" s="189"/>
    </row>
    <row r="7" spans="1:10" x14ac:dyDescent="0.25">
      <c r="A7" s="192" t="s">
        <v>659</v>
      </c>
      <c r="B7" s="184">
        <v>504</v>
      </c>
      <c r="C7" s="185">
        <f t="shared" si="0"/>
        <v>2</v>
      </c>
      <c r="D7" s="186" t="s">
        <v>663</v>
      </c>
      <c r="E7" s="187" t="s">
        <v>110</v>
      </c>
      <c r="F7" s="185"/>
      <c r="G7" s="191">
        <v>2</v>
      </c>
      <c r="H7" s="191"/>
      <c r="I7" s="185"/>
      <c r="J7" s="189"/>
    </row>
    <row r="8" spans="1:10" x14ac:dyDescent="0.25">
      <c r="A8" s="192" t="s">
        <v>659</v>
      </c>
      <c r="B8" s="184">
        <v>10000</v>
      </c>
      <c r="C8" s="185">
        <f t="shared" si="0"/>
        <v>1</v>
      </c>
      <c r="D8" s="186" t="s">
        <v>116</v>
      </c>
      <c r="E8" s="187" t="s">
        <v>115</v>
      </c>
      <c r="F8" s="185"/>
      <c r="G8" s="185">
        <v>1</v>
      </c>
      <c r="H8" s="191"/>
      <c r="I8" s="185"/>
      <c r="J8" s="189"/>
    </row>
    <row r="9" spans="1:10" x14ac:dyDescent="0.25">
      <c r="A9" s="192"/>
      <c r="B9" s="184"/>
      <c r="C9" s="185"/>
      <c r="D9" s="186"/>
      <c r="E9" s="187"/>
      <c r="F9" s="185"/>
      <c r="G9" s="185"/>
      <c r="H9" s="191"/>
      <c r="I9" s="185"/>
      <c r="J9" s="189"/>
    </row>
    <row r="10" spans="1:10" ht="15.6" thickBot="1" x14ac:dyDescent="0.3">
      <c r="A10" s="202"/>
      <c r="B10" s="203"/>
      <c r="C10" s="204" t="str">
        <f t="shared" si="0"/>
        <v/>
      </c>
      <c r="D10" s="205"/>
      <c r="E10" s="206"/>
      <c r="F10" s="204"/>
      <c r="G10" s="204"/>
      <c r="H10" s="204"/>
      <c r="I10" s="204"/>
      <c r="J10" s="207"/>
    </row>
  </sheetData>
  <mergeCells count="2">
    <mergeCell ref="A1:D1"/>
    <mergeCell ref="F1:J1"/>
  </mergeCells>
  <pageMargins left="0.7" right="0.7" top="0.75" bottom="0.75" header="0.3" footer="0.3"/>
  <pageSetup paperSize="256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BT297"/>
  <sheetViews>
    <sheetView zoomScaleNormal="100" workbookViewId="0">
      <selection activeCell="C20" sqref="C20"/>
    </sheetView>
  </sheetViews>
  <sheetFormatPr defaultRowHeight="14.85" x14ac:dyDescent="0.25"/>
  <cols>
    <col min="3" max="3" width="18.28515625" customWidth="1"/>
    <col min="4" max="4" width="15.7109375" customWidth="1"/>
    <col min="8" max="23" width="16.42578125" customWidth="1"/>
    <col min="26" max="26" width="14.140625" customWidth="1"/>
    <col min="27" max="27" width="13" customWidth="1"/>
    <col min="28" max="28" width="12.28515625" customWidth="1"/>
    <col min="29" max="29" width="11.42578125" customWidth="1"/>
  </cols>
  <sheetData>
    <row r="6" spans="1:5" x14ac:dyDescent="0.25">
      <c r="A6" s="56" t="s">
        <v>44</v>
      </c>
    </row>
    <row r="8" spans="1:5" x14ac:dyDescent="0.25">
      <c r="A8" t="s">
        <v>430</v>
      </c>
      <c r="D8">
        <v>0</v>
      </c>
    </row>
    <row r="9" spans="1:5" x14ac:dyDescent="0.25">
      <c r="A9" t="s">
        <v>428</v>
      </c>
      <c r="D9">
        <f>2*22</f>
        <v>44</v>
      </c>
    </row>
    <row r="10" spans="1:5" x14ac:dyDescent="0.25">
      <c r="A10" t="s">
        <v>429</v>
      </c>
      <c r="D10">
        <f>2*22</f>
        <v>44</v>
      </c>
    </row>
    <row r="11" spans="1:5" x14ac:dyDescent="0.25">
      <c r="A11" s="124" t="s">
        <v>378</v>
      </c>
      <c r="B11" s="7"/>
      <c r="D11" s="124">
        <f>SUM(D8:D10)</f>
        <v>88</v>
      </c>
      <c r="E11" s="124" t="s">
        <v>116</v>
      </c>
    </row>
    <row r="14" spans="1:5" x14ac:dyDescent="0.25">
      <c r="A14" s="56" t="s">
        <v>427</v>
      </c>
    </row>
    <row r="16" spans="1:5" x14ac:dyDescent="0.25">
      <c r="A16" s="6" t="s">
        <v>291</v>
      </c>
    </row>
    <row r="17" spans="1:7" x14ac:dyDescent="0.25">
      <c r="A17" t="s">
        <v>292</v>
      </c>
      <c r="D17">
        <v>0</v>
      </c>
      <c r="E17" t="s">
        <v>278</v>
      </c>
    </row>
    <row r="18" spans="1:7" x14ac:dyDescent="0.25">
      <c r="A18" t="s">
        <v>293</v>
      </c>
      <c r="D18">
        <v>0</v>
      </c>
      <c r="E18" t="s">
        <v>2</v>
      </c>
    </row>
    <row r="19" spans="1:7" x14ac:dyDescent="0.25">
      <c r="A19" t="s">
        <v>294</v>
      </c>
      <c r="D19">
        <v>0</v>
      </c>
      <c r="E19" t="s">
        <v>116</v>
      </c>
    </row>
    <row r="20" spans="1:7" x14ac:dyDescent="0.25">
      <c r="A20" t="s">
        <v>431</v>
      </c>
      <c r="D20">
        <f>(16.2*0.75)/27</f>
        <v>0.44999999999999996</v>
      </c>
      <c r="E20" t="s">
        <v>297</v>
      </c>
      <c r="G20" t="s">
        <v>436</v>
      </c>
    </row>
    <row r="21" spans="1:7" x14ac:dyDescent="0.25">
      <c r="A21" t="s">
        <v>298</v>
      </c>
      <c r="D21">
        <v>4</v>
      </c>
      <c r="E21" t="s">
        <v>116</v>
      </c>
    </row>
    <row r="23" spans="1:7" x14ac:dyDescent="0.25">
      <c r="A23" t="s">
        <v>56</v>
      </c>
      <c r="D23" s="1">
        <f>(D17*D18*D19/27)+(D20*D21)</f>
        <v>1.7999999999999998</v>
      </c>
      <c r="E23" t="s">
        <v>8</v>
      </c>
    </row>
    <row r="26" spans="1:7" x14ac:dyDescent="0.25">
      <c r="A26" s="6" t="s">
        <v>48</v>
      </c>
    </row>
    <row r="28" spans="1:7" x14ac:dyDescent="0.25">
      <c r="A28" t="s">
        <v>379</v>
      </c>
      <c r="D28" s="1">
        <v>0</v>
      </c>
      <c r="E28" t="s">
        <v>2</v>
      </c>
    </row>
    <row r="29" spans="1:7" x14ac:dyDescent="0.25">
      <c r="A29" t="s">
        <v>288</v>
      </c>
      <c r="D29" s="1">
        <v>0</v>
      </c>
      <c r="E29" t="s">
        <v>2</v>
      </c>
    </row>
    <row r="30" spans="1:7" x14ac:dyDescent="0.25">
      <c r="D30" s="1"/>
    </row>
    <row r="31" spans="1:7" x14ac:dyDescent="0.25">
      <c r="A31" t="s">
        <v>56</v>
      </c>
      <c r="D31" s="1">
        <f>D28*D29</f>
        <v>0</v>
      </c>
      <c r="E31" t="s">
        <v>13</v>
      </c>
    </row>
    <row r="32" spans="1:7" x14ac:dyDescent="0.25">
      <c r="D32" s="1">
        <f>D31/27</f>
        <v>0</v>
      </c>
      <c r="E32" t="s">
        <v>8</v>
      </c>
    </row>
    <row r="34" spans="1:7" x14ac:dyDescent="0.25">
      <c r="A34" s="6" t="s">
        <v>53</v>
      </c>
    </row>
    <row r="36" spans="1:7" x14ac:dyDescent="0.25">
      <c r="A36" t="s">
        <v>379</v>
      </c>
      <c r="D36" s="1">
        <v>0</v>
      </c>
      <c r="E36" t="s">
        <v>40</v>
      </c>
    </row>
    <row r="37" spans="1:7" x14ac:dyDescent="0.25">
      <c r="A37" t="s">
        <v>288</v>
      </c>
      <c r="D37" s="1">
        <v>0</v>
      </c>
      <c r="E37" t="s">
        <v>2</v>
      </c>
    </row>
    <row r="38" spans="1:7" x14ac:dyDescent="0.25">
      <c r="D38" s="1"/>
    </row>
    <row r="39" spans="1:7" x14ac:dyDescent="0.25">
      <c r="A39" t="s">
        <v>56</v>
      </c>
      <c r="D39" s="1">
        <f>D36*D37</f>
        <v>0</v>
      </c>
      <c r="E39" t="s">
        <v>13</v>
      </c>
    </row>
    <row r="40" spans="1:7" x14ac:dyDescent="0.25">
      <c r="D40" s="1">
        <f>D39/27</f>
        <v>0</v>
      </c>
      <c r="E40" t="s">
        <v>8</v>
      </c>
    </row>
    <row r="42" spans="1:7" x14ac:dyDescent="0.25">
      <c r="A42" s="124" t="s">
        <v>57</v>
      </c>
      <c r="B42" s="7"/>
      <c r="C42" s="7"/>
      <c r="D42" s="126">
        <f>ROUNDUP((D23+D32+D40),0)</f>
        <v>2</v>
      </c>
      <c r="E42" s="124" t="s">
        <v>8</v>
      </c>
    </row>
    <row r="45" spans="1:7" x14ac:dyDescent="0.25">
      <c r="A45" s="125" t="s">
        <v>437</v>
      </c>
      <c r="B45" s="113"/>
      <c r="C45" s="113"/>
      <c r="D45" s="113"/>
      <c r="E45" s="113"/>
      <c r="F45" s="114"/>
      <c r="G45" s="114"/>
    </row>
    <row r="46" spans="1:7" x14ac:dyDescent="0.25">
      <c r="A46" s="2"/>
    </row>
    <row r="47" spans="1:7" x14ac:dyDescent="0.25">
      <c r="A47" s="3" t="s">
        <v>299</v>
      </c>
      <c r="B47" s="3"/>
    </row>
    <row r="48" spans="1:7" x14ac:dyDescent="0.25">
      <c r="A48" t="s">
        <v>60</v>
      </c>
      <c r="D48">
        <f>1.42+43+54+43+1.42</f>
        <v>142.84</v>
      </c>
      <c r="E48" t="s">
        <v>2</v>
      </c>
    </row>
    <row r="49" spans="1:5" x14ac:dyDescent="0.25">
      <c r="A49" t="s">
        <v>248</v>
      </c>
      <c r="D49">
        <v>8.42</v>
      </c>
      <c r="E49" t="s">
        <v>2</v>
      </c>
    </row>
    <row r="50" spans="1:5" x14ac:dyDescent="0.25">
      <c r="A50" t="s">
        <v>61</v>
      </c>
      <c r="D50">
        <v>2</v>
      </c>
    </row>
    <row r="51" spans="1:5" x14ac:dyDescent="0.25">
      <c r="A51" t="s">
        <v>62</v>
      </c>
      <c r="D51">
        <f>D48*D49*D50</f>
        <v>2405.4256</v>
      </c>
      <c r="E51" t="s">
        <v>40</v>
      </c>
    </row>
    <row r="52" spans="1:5" x14ac:dyDescent="0.25">
      <c r="D52" s="2">
        <f>ROUNDUP(D51/9,0)</f>
        <v>268</v>
      </c>
      <c r="E52" s="2" t="s">
        <v>24</v>
      </c>
    </row>
    <row r="54" spans="1:5" x14ac:dyDescent="0.25">
      <c r="A54" s="6" t="s">
        <v>63</v>
      </c>
    </row>
    <row r="55" spans="1:5" x14ac:dyDescent="0.25">
      <c r="A55" t="s">
        <v>64</v>
      </c>
      <c r="D55">
        <v>2</v>
      </c>
    </row>
    <row r="56" spans="1:5" x14ac:dyDescent="0.25">
      <c r="A56" t="s">
        <v>76</v>
      </c>
      <c r="D56">
        <v>3</v>
      </c>
      <c r="E56" t="s">
        <v>2</v>
      </c>
    </row>
    <row r="57" spans="1:5" x14ac:dyDescent="0.25">
      <c r="A57" t="s">
        <v>448</v>
      </c>
      <c r="D57">
        <v>4</v>
      </c>
      <c r="E57" t="s">
        <v>2</v>
      </c>
    </row>
    <row r="58" spans="1:5" x14ac:dyDescent="0.25">
      <c r="A58" t="s">
        <v>449</v>
      </c>
      <c r="D58">
        <v>81.25</v>
      </c>
      <c r="E58" t="s">
        <v>2</v>
      </c>
    </row>
    <row r="59" spans="1:5" x14ac:dyDescent="0.25">
      <c r="A59" t="s">
        <v>232</v>
      </c>
      <c r="D59">
        <v>16</v>
      </c>
      <c r="E59" t="s">
        <v>2</v>
      </c>
    </row>
    <row r="60" spans="1:5" x14ac:dyDescent="0.25">
      <c r="A60" t="s">
        <v>450</v>
      </c>
      <c r="D60">
        <f>2.5*4</f>
        <v>10</v>
      </c>
      <c r="E60" t="s">
        <v>2</v>
      </c>
    </row>
    <row r="62" spans="1:5" x14ac:dyDescent="0.25">
      <c r="A62" t="s">
        <v>451</v>
      </c>
      <c r="D62">
        <f>D56*D57</f>
        <v>12</v>
      </c>
      <c r="E62" t="s">
        <v>40</v>
      </c>
    </row>
    <row r="63" spans="1:5" x14ac:dyDescent="0.25">
      <c r="A63" t="s">
        <v>68</v>
      </c>
      <c r="D63">
        <v>2</v>
      </c>
    </row>
    <row r="64" spans="1:5" x14ac:dyDescent="0.25">
      <c r="A64" t="s">
        <v>78</v>
      </c>
      <c r="D64">
        <f>D62*D63</f>
        <v>24</v>
      </c>
      <c r="E64" t="s">
        <v>40</v>
      </c>
    </row>
    <row r="66" spans="1:5" x14ac:dyDescent="0.25">
      <c r="A66" t="s">
        <v>452</v>
      </c>
      <c r="D66">
        <f>D56*D58</f>
        <v>243.75</v>
      </c>
      <c r="E66" t="s">
        <v>40</v>
      </c>
    </row>
    <row r="67" spans="1:5" x14ac:dyDescent="0.25">
      <c r="A67" t="s">
        <v>69</v>
      </c>
      <c r="D67">
        <v>1</v>
      </c>
    </row>
    <row r="69" spans="1:5" x14ac:dyDescent="0.25">
      <c r="A69" t="s">
        <v>67</v>
      </c>
      <c r="D69">
        <f>D57*D58</f>
        <v>325</v>
      </c>
      <c r="E69" t="s">
        <v>40</v>
      </c>
    </row>
    <row r="70" spans="1:5" x14ac:dyDescent="0.25">
      <c r="A70" t="s">
        <v>70</v>
      </c>
      <c r="D70">
        <v>2</v>
      </c>
    </row>
    <row r="71" spans="1:5" x14ac:dyDescent="0.25">
      <c r="A71" t="s">
        <v>78</v>
      </c>
      <c r="D71">
        <f>D69*D70</f>
        <v>650</v>
      </c>
      <c r="E71" t="s">
        <v>40</v>
      </c>
    </row>
    <row r="73" spans="1:5" x14ac:dyDescent="0.25">
      <c r="A73" t="s">
        <v>71</v>
      </c>
    </row>
    <row r="74" spans="1:5" x14ac:dyDescent="0.25">
      <c r="A74" t="s">
        <v>75</v>
      </c>
      <c r="D74">
        <f>D56*D58</f>
        <v>243.75</v>
      </c>
      <c r="E74" t="s">
        <v>40</v>
      </c>
    </row>
    <row r="75" spans="1:5" x14ac:dyDescent="0.25">
      <c r="A75" t="s">
        <v>77</v>
      </c>
      <c r="D75">
        <v>1</v>
      </c>
    </row>
    <row r="77" spans="1:5" x14ac:dyDescent="0.25">
      <c r="A77" t="s">
        <v>453</v>
      </c>
      <c r="D77">
        <v>16</v>
      </c>
      <c r="E77" t="s">
        <v>2</v>
      </c>
    </row>
    <row r="78" spans="1:5" x14ac:dyDescent="0.25">
      <c r="A78" t="s">
        <v>454</v>
      </c>
      <c r="D78">
        <f>D60*D77</f>
        <v>160</v>
      </c>
      <c r="E78" t="s">
        <v>40</v>
      </c>
    </row>
    <row r="79" spans="1:5" x14ac:dyDescent="0.25">
      <c r="A79" t="s">
        <v>455</v>
      </c>
      <c r="D79">
        <v>6</v>
      </c>
      <c r="E79" t="s">
        <v>456</v>
      </c>
    </row>
    <row r="80" spans="1:5" x14ac:dyDescent="0.25">
      <c r="A80" t="s">
        <v>457</v>
      </c>
      <c r="D80">
        <f>D78*D79</f>
        <v>960</v>
      </c>
      <c r="E80" t="s">
        <v>40</v>
      </c>
    </row>
    <row r="82" spans="1:7" x14ac:dyDescent="0.25">
      <c r="A82" t="s">
        <v>78</v>
      </c>
      <c r="D82">
        <f>D55*(D64+D66+D71+D74+D80)</f>
        <v>4243</v>
      </c>
      <c r="E82" t="s">
        <v>40</v>
      </c>
    </row>
    <row r="83" spans="1:7" x14ac:dyDescent="0.25">
      <c r="D83" s="2">
        <f>ROUNDUP(D82/9,0)</f>
        <v>472</v>
      </c>
      <c r="E83" s="2" t="s">
        <v>24</v>
      </c>
    </row>
    <row r="85" spans="1:7" x14ac:dyDescent="0.25">
      <c r="A85" s="3" t="s">
        <v>80</v>
      </c>
      <c r="B85" s="3"/>
      <c r="C85" s="3"/>
      <c r="D85" s="3"/>
      <c r="E85" s="3"/>
      <c r="F85" s="3"/>
      <c r="G85" s="3"/>
    </row>
    <row r="87" spans="1:7" x14ac:dyDescent="0.25">
      <c r="A87" t="s">
        <v>81</v>
      </c>
      <c r="D87">
        <v>2</v>
      </c>
      <c r="E87" t="s">
        <v>2</v>
      </c>
    </row>
    <row r="88" spans="1:7" x14ac:dyDescent="0.25">
      <c r="A88" t="s">
        <v>82</v>
      </c>
      <c r="D88">
        <v>83</v>
      </c>
      <c r="E88" t="s">
        <v>2</v>
      </c>
    </row>
    <row r="89" spans="1:7" x14ac:dyDescent="0.25">
      <c r="A89" t="s">
        <v>276</v>
      </c>
      <c r="D89">
        <v>2</v>
      </c>
      <c r="E89" t="s">
        <v>2</v>
      </c>
    </row>
    <row r="90" spans="1:7" x14ac:dyDescent="0.25">
      <c r="A90" t="s">
        <v>88</v>
      </c>
      <c r="D90">
        <v>1.75</v>
      </c>
      <c r="E90" t="s">
        <v>2</v>
      </c>
    </row>
    <row r="91" spans="1:7" x14ac:dyDescent="0.25">
      <c r="A91" t="s">
        <v>275</v>
      </c>
      <c r="D91">
        <v>4</v>
      </c>
      <c r="E91" t="s">
        <v>2</v>
      </c>
    </row>
    <row r="93" spans="1:7" x14ac:dyDescent="0.25">
      <c r="A93" t="s">
        <v>84</v>
      </c>
      <c r="D93">
        <f>D89*D88</f>
        <v>166</v>
      </c>
      <c r="E93" t="s">
        <v>40</v>
      </c>
    </row>
    <row r="94" spans="1:7" x14ac:dyDescent="0.25">
      <c r="A94" t="s">
        <v>85</v>
      </c>
      <c r="D94">
        <f>D88*D87</f>
        <v>166</v>
      </c>
      <c r="E94" t="s">
        <v>40</v>
      </c>
    </row>
    <row r="95" spans="1:7" x14ac:dyDescent="0.25">
      <c r="A95" t="s">
        <v>86</v>
      </c>
      <c r="D95">
        <f>2*(D87*D89)</f>
        <v>8</v>
      </c>
      <c r="E95" t="s">
        <v>40</v>
      </c>
    </row>
    <row r="97" spans="1:7" x14ac:dyDescent="0.25">
      <c r="A97" s="29" t="s">
        <v>300</v>
      </c>
      <c r="B97" s="5"/>
      <c r="D97">
        <f>D91*D88</f>
        <v>332</v>
      </c>
      <c r="E97" t="s">
        <v>40</v>
      </c>
    </row>
    <row r="98" spans="1:7" x14ac:dyDescent="0.25">
      <c r="A98" s="5"/>
      <c r="B98" s="5"/>
    </row>
    <row r="99" spans="1:7" x14ac:dyDescent="0.25">
      <c r="A99" s="4"/>
      <c r="B99" s="4"/>
    </row>
    <row r="100" spans="1:7" x14ac:dyDescent="0.25">
      <c r="A100" s="29" t="s">
        <v>390</v>
      </c>
      <c r="B100" s="55"/>
      <c r="D100">
        <f>0.5*(13*5)</f>
        <v>32.5</v>
      </c>
      <c r="E100" t="s">
        <v>87</v>
      </c>
    </row>
    <row r="101" spans="1:7" x14ac:dyDescent="0.25">
      <c r="A101" s="29" t="s">
        <v>458</v>
      </c>
      <c r="B101" s="55"/>
      <c r="D101" s="1">
        <f>13*((32+18+32)/12)</f>
        <v>88.833333333333329</v>
      </c>
      <c r="E101" t="s">
        <v>40</v>
      </c>
    </row>
    <row r="102" spans="1:7" x14ac:dyDescent="0.25">
      <c r="A102" s="29" t="s">
        <v>391</v>
      </c>
      <c r="B102" s="55"/>
      <c r="D102">
        <f>0.5*(13*5)</f>
        <v>32.5</v>
      </c>
      <c r="E102" t="s">
        <v>87</v>
      </c>
    </row>
    <row r="103" spans="1:7" x14ac:dyDescent="0.25">
      <c r="A103" s="29" t="s">
        <v>458</v>
      </c>
      <c r="B103" s="55"/>
      <c r="D103" s="1">
        <f>13*((32+18+32)/12)</f>
        <v>88.833333333333329</v>
      </c>
      <c r="E103" t="s">
        <v>40</v>
      </c>
    </row>
    <row r="105" spans="1:7" x14ac:dyDescent="0.25">
      <c r="A105" t="s">
        <v>78</v>
      </c>
      <c r="D105">
        <f>D93+D94+D95+D97+D100+D101+D102+D103</f>
        <v>914.66666666666674</v>
      </c>
      <c r="E105" t="s">
        <v>40</v>
      </c>
    </row>
    <row r="106" spans="1:7" x14ac:dyDescent="0.25">
      <c r="D106" s="2">
        <f>ROUNDUP(D105/9,0)</f>
        <v>102</v>
      </c>
      <c r="E106" s="2" t="s">
        <v>24</v>
      </c>
    </row>
    <row r="109" spans="1:7" x14ac:dyDescent="0.25">
      <c r="A109" s="3" t="s">
        <v>89</v>
      </c>
      <c r="B109" s="3"/>
      <c r="C109" s="3"/>
      <c r="D109" s="3"/>
      <c r="E109" s="3"/>
      <c r="F109" s="3"/>
      <c r="G109" s="3"/>
    </row>
    <row r="111" spans="1:7" x14ac:dyDescent="0.25">
      <c r="A111" t="s">
        <v>81</v>
      </c>
      <c r="D111">
        <v>2</v>
      </c>
      <c r="E111" t="s">
        <v>2</v>
      </c>
    </row>
    <row r="112" spans="1:7" x14ac:dyDescent="0.25">
      <c r="A112" t="s">
        <v>82</v>
      </c>
      <c r="D112">
        <v>80</v>
      </c>
      <c r="E112" t="s">
        <v>2</v>
      </c>
    </row>
    <row r="113" spans="1:5" x14ac:dyDescent="0.25">
      <c r="A113" t="s">
        <v>276</v>
      </c>
      <c r="D113">
        <v>2</v>
      </c>
      <c r="E113" t="s">
        <v>2</v>
      </c>
    </row>
    <row r="114" spans="1:5" x14ac:dyDescent="0.25">
      <c r="A114" t="s">
        <v>88</v>
      </c>
      <c r="D114">
        <v>1.75</v>
      </c>
      <c r="E114" t="s">
        <v>2</v>
      </c>
    </row>
    <row r="115" spans="1:5" x14ac:dyDescent="0.25">
      <c r="A115" t="s">
        <v>275</v>
      </c>
      <c r="D115">
        <v>4</v>
      </c>
      <c r="E115" t="s">
        <v>2</v>
      </c>
    </row>
    <row r="117" spans="1:5" x14ac:dyDescent="0.25">
      <c r="A117" t="s">
        <v>84</v>
      </c>
      <c r="D117">
        <f>D112*D113</f>
        <v>160</v>
      </c>
      <c r="E117" t="s">
        <v>40</v>
      </c>
    </row>
    <row r="118" spans="1:5" x14ac:dyDescent="0.25">
      <c r="A118" t="s">
        <v>85</v>
      </c>
      <c r="D118">
        <f>D112*D111</f>
        <v>160</v>
      </c>
      <c r="E118" t="s">
        <v>40</v>
      </c>
    </row>
    <row r="119" spans="1:5" x14ac:dyDescent="0.25">
      <c r="A119" t="s">
        <v>86</v>
      </c>
      <c r="D119">
        <f>2*(D111*D113)</f>
        <v>8</v>
      </c>
      <c r="E119" t="s">
        <v>40</v>
      </c>
    </row>
    <row r="121" spans="1:5" x14ac:dyDescent="0.25">
      <c r="A121" s="29" t="s">
        <v>300</v>
      </c>
      <c r="B121" s="5"/>
      <c r="D121">
        <f>D115*D112</f>
        <v>320</v>
      </c>
      <c r="E121" t="s">
        <v>40</v>
      </c>
    </row>
    <row r="122" spans="1:5" x14ac:dyDescent="0.25">
      <c r="A122" s="5"/>
      <c r="B122" s="5"/>
    </row>
    <row r="123" spans="1:5" x14ac:dyDescent="0.25">
      <c r="A123" s="4"/>
      <c r="B123" s="4"/>
    </row>
    <row r="124" spans="1:5" x14ac:dyDescent="0.25">
      <c r="A124" s="29" t="s">
        <v>390</v>
      </c>
      <c r="B124" s="55"/>
      <c r="D124">
        <f>0.5*(13*5)</f>
        <v>32.5</v>
      </c>
      <c r="E124" t="s">
        <v>87</v>
      </c>
    </row>
    <row r="125" spans="1:5" x14ac:dyDescent="0.25">
      <c r="A125" s="29" t="s">
        <v>392</v>
      </c>
      <c r="B125" s="55"/>
      <c r="D125" s="1">
        <f>13*((32+18+32)/12)</f>
        <v>88.833333333333329</v>
      </c>
      <c r="E125" t="s">
        <v>40</v>
      </c>
    </row>
    <row r="126" spans="1:5" x14ac:dyDescent="0.25">
      <c r="A126" s="29" t="s">
        <v>391</v>
      </c>
      <c r="B126" s="55"/>
      <c r="D126">
        <f>0.5*(13*5)</f>
        <v>32.5</v>
      </c>
      <c r="E126" t="s">
        <v>87</v>
      </c>
    </row>
    <row r="127" spans="1:5" x14ac:dyDescent="0.25">
      <c r="A127" s="29" t="s">
        <v>392</v>
      </c>
      <c r="B127" s="55"/>
      <c r="D127" s="1">
        <f>13*((32+18+32)/12)</f>
        <v>88.833333333333329</v>
      </c>
      <c r="E127" t="s">
        <v>40</v>
      </c>
    </row>
    <row r="129" spans="1:7" x14ac:dyDescent="0.25">
      <c r="A129" t="s">
        <v>78</v>
      </c>
      <c r="D129" s="1">
        <f>D117+D118+D119+D121+D124+D125+D126+D127</f>
        <v>890.66666666666674</v>
      </c>
      <c r="E129" t="s">
        <v>40</v>
      </c>
    </row>
    <row r="130" spans="1:7" x14ac:dyDescent="0.25">
      <c r="D130" s="2">
        <f>ROUNDUP(D129/9,0)</f>
        <v>99</v>
      </c>
      <c r="E130" s="2" t="s">
        <v>24</v>
      </c>
    </row>
    <row r="132" spans="1:7" x14ac:dyDescent="0.25">
      <c r="A132" s="124" t="s">
        <v>90</v>
      </c>
      <c r="B132" s="7"/>
      <c r="C132" s="7"/>
      <c r="D132" s="124">
        <f>ROUNDUP(D52+D83+D106+D130,0)</f>
        <v>941</v>
      </c>
      <c r="E132" s="124" t="s">
        <v>24</v>
      </c>
    </row>
    <row r="134" spans="1:7" x14ac:dyDescent="0.25">
      <c r="A134" s="125" t="s">
        <v>459</v>
      </c>
      <c r="E134" s="124">
        <f>D132</f>
        <v>941</v>
      </c>
      <c r="F134" s="124" t="s">
        <v>24</v>
      </c>
    </row>
    <row r="137" spans="1:7" x14ac:dyDescent="0.25">
      <c r="A137" s="56" t="s">
        <v>274</v>
      </c>
    </row>
    <row r="139" spans="1:7" x14ac:dyDescent="0.25">
      <c r="A139" t="s">
        <v>11</v>
      </c>
      <c r="D139">
        <v>15</v>
      </c>
      <c r="E139" t="s">
        <v>2</v>
      </c>
    </row>
    <row r="140" spans="1:7" x14ac:dyDescent="0.25">
      <c r="A140" t="s">
        <v>10</v>
      </c>
      <c r="D140">
        <f>AVERAGE(82,76)</f>
        <v>79</v>
      </c>
      <c r="E140" t="s">
        <v>2</v>
      </c>
      <c r="F140" t="s">
        <v>21</v>
      </c>
    </row>
    <row r="141" spans="1:7" x14ac:dyDescent="0.25">
      <c r="A141" t="s">
        <v>12</v>
      </c>
      <c r="D141">
        <v>2</v>
      </c>
    </row>
    <row r="142" spans="1:7" x14ac:dyDescent="0.25">
      <c r="A142" t="s">
        <v>22</v>
      </c>
      <c r="D142">
        <f>D139*D140*D141</f>
        <v>2370</v>
      </c>
      <c r="E142" t="s">
        <v>23</v>
      </c>
      <c r="F142">
        <f>D142/9</f>
        <v>263.33333333333331</v>
      </c>
      <c r="G142" t="s">
        <v>24</v>
      </c>
    </row>
    <row r="144" spans="1:7" x14ac:dyDescent="0.25">
      <c r="A144" t="s">
        <v>25</v>
      </c>
      <c r="D144" s="1">
        <f>1.42+43+54+43+1.42</f>
        <v>142.84</v>
      </c>
      <c r="E144" t="s">
        <v>2</v>
      </c>
      <c r="F144" t="s">
        <v>27</v>
      </c>
    </row>
    <row r="145" spans="1:39" x14ac:dyDescent="0.25">
      <c r="A145" t="s">
        <v>26</v>
      </c>
      <c r="D145">
        <v>79</v>
      </c>
      <c r="E145" t="s">
        <v>2</v>
      </c>
      <c r="F145" t="s">
        <v>21</v>
      </c>
    </row>
    <row r="146" spans="1:39" x14ac:dyDescent="0.25">
      <c r="A146" t="s">
        <v>36</v>
      </c>
      <c r="D146" s="1">
        <f>D144*D145</f>
        <v>11284.36</v>
      </c>
      <c r="E146" t="s">
        <v>23</v>
      </c>
      <c r="F146">
        <f>D146/9</f>
        <v>1253.8177777777778</v>
      </c>
      <c r="G146" t="s">
        <v>24</v>
      </c>
    </row>
    <row r="148" spans="1:39" x14ac:dyDescent="0.25">
      <c r="A148" s="124" t="s">
        <v>28</v>
      </c>
      <c r="B148" s="124">
        <f>ROUNDUP(F142+F146,0)</f>
        <v>1518</v>
      </c>
      <c r="C148" s="124" t="s">
        <v>24</v>
      </c>
    </row>
    <row r="151" spans="1:39" x14ac:dyDescent="0.25">
      <c r="A151" s="56" t="s">
        <v>433</v>
      </c>
    </row>
    <row r="153" spans="1:39" x14ac:dyDescent="0.25">
      <c r="A153" t="s">
        <v>434</v>
      </c>
      <c r="D153">
        <f>3*1*(0.5/12)*490</f>
        <v>61.25</v>
      </c>
      <c r="E153" t="s">
        <v>18</v>
      </c>
    </row>
    <row r="154" spans="1:39" x14ac:dyDescent="0.25">
      <c r="A154" s="57"/>
    </row>
    <row r="155" spans="1:39" x14ac:dyDescent="0.25">
      <c r="A155" s="212" t="s">
        <v>309</v>
      </c>
      <c r="B155" s="212"/>
      <c r="C155" s="212"/>
      <c r="D155" s="212"/>
      <c r="E155" s="212"/>
      <c r="F155" s="212"/>
      <c r="G155" s="212"/>
      <c r="H155" s="212"/>
      <c r="I155" s="212"/>
      <c r="J155" s="212"/>
    </row>
    <row r="156" spans="1:39" x14ac:dyDescent="0.25">
      <c r="A156" s="212"/>
      <c r="B156" s="212"/>
      <c r="C156" s="212"/>
      <c r="D156" s="212"/>
      <c r="E156" s="212"/>
      <c r="F156" s="212"/>
      <c r="G156" s="212"/>
      <c r="H156" s="212"/>
      <c r="I156" s="212"/>
      <c r="J156" s="212"/>
    </row>
    <row r="157" spans="1:39" x14ac:dyDescent="0.25">
      <c r="A157" s="212"/>
      <c r="B157" s="212"/>
      <c r="C157" s="212"/>
      <c r="D157" s="212"/>
      <c r="E157" s="212"/>
      <c r="F157" s="212"/>
      <c r="G157" s="212"/>
      <c r="H157" s="212"/>
      <c r="I157" s="212"/>
      <c r="J157" s="212"/>
    </row>
    <row r="158" spans="1:39" ht="15.6" x14ac:dyDescent="0.25">
      <c r="H158" t="s">
        <v>338</v>
      </c>
      <c r="L158" t="s">
        <v>339</v>
      </c>
      <c r="P158" t="s">
        <v>340</v>
      </c>
      <c r="Q158">
        <f>2*(2.5+72+2.5)+(3*18)-(2*0.4375)</f>
        <v>207.125</v>
      </c>
      <c r="T158" t="s">
        <v>341</v>
      </c>
      <c r="AM158" s="8"/>
    </row>
    <row r="159" spans="1:39" ht="29.7" x14ac:dyDescent="0.25">
      <c r="H159" s="9" t="s">
        <v>418</v>
      </c>
      <c r="I159" s="10">
        <f>2*(30.25)+(3*10.5)-(2*0.5)</f>
        <v>91</v>
      </c>
      <c r="J159" s="10" t="s">
        <v>92</v>
      </c>
      <c r="K159" s="9" t="s">
        <v>93</v>
      </c>
      <c r="L159" s="9" t="s">
        <v>91</v>
      </c>
      <c r="M159" s="10">
        <v>0</v>
      </c>
      <c r="N159" s="10" t="s">
        <v>92</v>
      </c>
      <c r="O159" s="9" t="s">
        <v>93</v>
      </c>
      <c r="P159" s="9" t="s">
        <v>91</v>
      </c>
      <c r="Q159" s="10">
        <v>0</v>
      </c>
      <c r="R159" s="10" t="s">
        <v>92</v>
      </c>
      <c r="S159" s="9" t="s">
        <v>93</v>
      </c>
      <c r="T159" s="9" t="s">
        <v>91</v>
      </c>
      <c r="U159" s="10">
        <v>0</v>
      </c>
      <c r="V159" s="10" t="s">
        <v>92</v>
      </c>
      <c r="W159" s="9" t="s">
        <v>93</v>
      </c>
      <c r="X159" s="115"/>
    </row>
    <row r="160" spans="1:39" ht="131.19999999999999" customHeight="1" x14ac:dyDescent="0.25">
      <c r="B160" s="116">
        <v>514</v>
      </c>
      <c r="C160" s="132" t="s">
        <v>94</v>
      </c>
      <c r="D160" s="115" t="s">
        <v>95</v>
      </c>
      <c r="E160" s="116" t="s">
        <v>40</v>
      </c>
      <c r="F160" s="12">
        <f>P178</f>
        <v>19258.155320397233</v>
      </c>
      <c r="H160" s="58" t="s">
        <v>417</v>
      </c>
      <c r="I160" s="10">
        <f>I159/12</f>
        <v>7.583333333333333</v>
      </c>
      <c r="J160" s="10" t="s">
        <v>52</v>
      </c>
      <c r="K160" s="13"/>
      <c r="L160" s="58" t="s">
        <v>337</v>
      </c>
      <c r="M160" s="10">
        <f>M159/12</f>
        <v>0</v>
      </c>
      <c r="N160" s="10" t="s">
        <v>52</v>
      </c>
      <c r="O160" s="13"/>
      <c r="P160" s="58" t="s">
        <v>381</v>
      </c>
      <c r="Q160" s="10">
        <f>Q159/12</f>
        <v>0</v>
      </c>
      <c r="R160" s="10" t="s">
        <v>52</v>
      </c>
      <c r="S160" s="13"/>
      <c r="T160" s="58" t="s">
        <v>382</v>
      </c>
      <c r="U160" s="10">
        <f>U159/12</f>
        <v>0</v>
      </c>
      <c r="V160" s="10" t="s">
        <v>52</v>
      </c>
      <c r="W160" s="13"/>
      <c r="X160" s="116"/>
    </row>
    <row r="161" spans="2:71" ht="92.25" customHeight="1" x14ac:dyDescent="0.25">
      <c r="B161" s="116">
        <v>514</v>
      </c>
      <c r="C161" s="132" t="s">
        <v>96</v>
      </c>
      <c r="D161" s="115" t="s">
        <v>97</v>
      </c>
      <c r="E161" s="116" t="s">
        <v>40</v>
      </c>
      <c r="F161" s="12">
        <f>P178</f>
        <v>19258.155320397233</v>
      </c>
      <c r="AH161" s="129" t="s">
        <v>407</v>
      </c>
      <c r="AI161" s="60"/>
      <c r="AJ161" s="60"/>
      <c r="AK161" s="60"/>
      <c r="AL161" s="60"/>
      <c r="AM161" s="60"/>
      <c r="AN161" s="60"/>
      <c r="AO161" s="60"/>
      <c r="AP161" s="60"/>
      <c r="AQ161" s="61"/>
    </row>
    <row r="162" spans="2:71" ht="118.6" customHeight="1" x14ac:dyDescent="0.25">
      <c r="B162" s="116">
        <v>514</v>
      </c>
      <c r="C162" s="132" t="s">
        <v>98</v>
      </c>
      <c r="D162" s="115" t="s">
        <v>99</v>
      </c>
      <c r="E162" s="116" t="s">
        <v>40</v>
      </c>
      <c r="F162" s="12">
        <f>P178</f>
        <v>19258.155320397233</v>
      </c>
      <c r="H162" s="10" t="s">
        <v>100</v>
      </c>
      <c r="I162" s="10">
        <v>142</v>
      </c>
      <c r="J162" s="10" t="s">
        <v>52</v>
      </c>
      <c r="K162" s="10"/>
      <c r="L162" s="10" t="s">
        <v>100</v>
      </c>
      <c r="M162" s="10">
        <v>0</v>
      </c>
      <c r="N162" s="10" t="s">
        <v>52</v>
      </c>
      <c r="O162" s="10"/>
      <c r="P162" s="10" t="s">
        <v>100</v>
      </c>
      <c r="Q162" s="10">
        <v>0</v>
      </c>
      <c r="R162" s="10" t="s">
        <v>52</v>
      </c>
      <c r="S162" s="10"/>
      <c r="T162" s="10" t="s">
        <v>100</v>
      </c>
      <c r="U162" s="10">
        <v>0</v>
      </c>
      <c r="V162" s="10" t="s">
        <v>52</v>
      </c>
      <c r="W162" s="10"/>
      <c r="AH162" s="62"/>
      <c r="AI162" s="63"/>
      <c r="AJ162" s="63"/>
      <c r="AK162" s="63"/>
      <c r="AL162" s="63"/>
      <c r="AM162" s="63" t="s">
        <v>102</v>
      </c>
      <c r="AN162" s="63"/>
      <c r="AO162" s="64">
        <v>8.1999999999999993</v>
      </c>
      <c r="AP162" s="65" t="s">
        <v>103</v>
      </c>
      <c r="AQ162" s="66"/>
    </row>
    <row r="163" spans="2:71" ht="74.25" x14ac:dyDescent="0.25">
      <c r="B163" s="116">
        <v>514</v>
      </c>
      <c r="C163" s="132" t="s">
        <v>104</v>
      </c>
      <c r="D163" s="115" t="s">
        <v>105</v>
      </c>
      <c r="E163" s="116" t="s">
        <v>40</v>
      </c>
      <c r="F163" s="12">
        <f>P178</f>
        <v>19258.155320397233</v>
      </c>
      <c r="H163" s="22" t="s">
        <v>106</v>
      </c>
      <c r="I163" s="23" t="s">
        <v>107</v>
      </c>
      <c r="J163" s="24"/>
      <c r="K163" s="22"/>
      <c r="L163" s="22" t="s">
        <v>106</v>
      </c>
      <c r="M163" s="23" t="s">
        <v>339</v>
      </c>
      <c r="N163" s="24"/>
      <c r="O163" s="22"/>
      <c r="P163" s="22" t="s">
        <v>106</v>
      </c>
      <c r="Q163" s="23" t="s">
        <v>340</v>
      </c>
      <c r="R163" s="24"/>
      <c r="S163" s="22"/>
      <c r="T163" s="22" t="s">
        <v>106</v>
      </c>
      <c r="U163" s="23" t="s">
        <v>341</v>
      </c>
      <c r="V163" s="24"/>
      <c r="W163" s="22"/>
      <c r="X163" s="117"/>
      <c r="Y163" s="213" t="s">
        <v>352</v>
      </c>
      <c r="Z163" s="214"/>
      <c r="AA163" s="214"/>
      <c r="AB163" s="214"/>
      <c r="AC163" s="214"/>
      <c r="AD163" s="214"/>
      <c r="AE163" s="214"/>
      <c r="AF163" s="215"/>
      <c r="AH163" s="62"/>
      <c r="AI163" s="63"/>
      <c r="AJ163" s="63"/>
      <c r="AK163" s="63"/>
      <c r="AL163" s="65"/>
      <c r="AM163" s="65"/>
      <c r="AN163" s="65"/>
      <c r="AO163" s="63"/>
      <c r="AP163" s="63"/>
      <c r="AQ163" s="66"/>
    </row>
    <row r="164" spans="2:71" ht="74.25" x14ac:dyDescent="0.25">
      <c r="B164" s="116">
        <v>514</v>
      </c>
      <c r="C164" s="132" t="s">
        <v>109</v>
      </c>
      <c r="D164" s="133" t="s">
        <v>110</v>
      </c>
      <c r="E164" s="116" t="s">
        <v>111</v>
      </c>
      <c r="F164" s="134">
        <f>ROUNDUP(J166*J168/60,0)</f>
        <v>31</v>
      </c>
      <c r="H164" s="10" t="s">
        <v>112</v>
      </c>
      <c r="I164" s="10">
        <f>I162*I160</f>
        <v>1076.8333333333333</v>
      </c>
      <c r="J164" s="10" t="s">
        <v>113</v>
      </c>
      <c r="K164" s="10"/>
      <c r="L164" s="10" t="s">
        <v>112</v>
      </c>
      <c r="M164" s="10">
        <f>M162*M160</f>
        <v>0</v>
      </c>
      <c r="N164" s="10" t="s">
        <v>113</v>
      </c>
      <c r="O164" s="10"/>
      <c r="P164" s="10" t="s">
        <v>112</v>
      </c>
      <c r="Q164" s="10">
        <f>Q162*Q160</f>
        <v>0</v>
      </c>
      <c r="R164" s="10" t="s">
        <v>113</v>
      </c>
      <c r="S164" s="10"/>
      <c r="T164" s="10" t="s">
        <v>112</v>
      </c>
      <c r="U164" s="10">
        <f>U162*U160</f>
        <v>0</v>
      </c>
      <c r="V164" s="10" t="s">
        <v>113</v>
      </c>
      <c r="W164" s="10"/>
      <c r="X164" s="19"/>
      <c r="Y164" s="19"/>
      <c r="Z164" t="s">
        <v>114</v>
      </c>
      <c r="AA164" s="27">
        <v>6.96</v>
      </c>
      <c r="AB164" s="27" t="s">
        <v>52</v>
      </c>
      <c r="AC164" s="27"/>
      <c r="AF164" s="21"/>
      <c r="AH164" s="216" t="s">
        <v>352</v>
      </c>
      <c r="AI164" s="217"/>
      <c r="AJ164" s="217"/>
      <c r="AK164" s="217"/>
      <c r="AL164" s="217"/>
      <c r="AM164" s="217"/>
      <c r="AN164" s="217"/>
      <c r="AO164" s="63"/>
      <c r="AP164" s="63"/>
      <c r="AQ164" s="66"/>
      <c r="AW164" t="s">
        <v>387</v>
      </c>
    </row>
    <row r="165" spans="2:71" ht="45.3" thickBot="1" x14ac:dyDescent="0.4">
      <c r="B165" s="116">
        <v>514</v>
      </c>
      <c r="C165" s="36">
        <v>10000</v>
      </c>
      <c r="D165" s="133" t="s">
        <v>115</v>
      </c>
      <c r="E165" s="116" t="s">
        <v>116</v>
      </c>
      <c r="F165" s="30">
        <f>ROUNDUP(MAX(F160/1200,(J166*J168/150)),0)</f>
        <v>17</v>
      </c>
      <c r="H165" s="90" t="s">
        <v>117</v>
      </c>
      <c r="I165" s="91">
        <f>I164*1.1</f>
        <v>1184.5166666666667</v>
      </c>
      <c r="J165" s="90" t="s">
        <v>113</v>
      </c>
      <c r="K165" s="90"/>
      <c r="L165" s="10" t="s">
        <v>117</v>
      </c>
      <c r="M165" s="31">
        <f>M164*1.1</f>
        <v>0</v>
      </c>
      <c r="N165" s="10" t="s">
        <v>113</v>
      </c>
      <c r="O165" s="10"/>
      <c r="P165" s="10" t="s">
        <v>117</v>
      </c>
      <c r="Q165" s="31">
        <f>Q164*1.1</f>
        <v>0</v>
      </c>
      <c r="R165" s="10" t="s">
        <v>113</v>
      </c>
      <c r="S165" s="10"/>
      <c r="T165" s="10" t="s">
        <v>117</v>
      </c>
      <c r="U165" s="31">
        <f>U164*1.1</f>
        <v>0</v>
      </c>
      <c r="V165" s="10" t="s">
        <v>113</v>
      </c>
      <c r="W165" s="10"/>
      <c r="X165" s="19"/>
      <c r="Y165" s="19" t="s">
        <v>419</v>
      </c>
      <c r="Z165" s="28" t="s">
        <v>386</v>
      </c>
      <c r="AA165">
        <f>6.96*12</f>
        <v>83.52</v>
      </c>
      <c r="AB165" t="s">
        <v>92</v>
      </c>
      <c r="AD165" s="25"/>
      <c r="AF165" s="21"/>
      <c r="AH165" s="67"/>
      <c r="AI165" s="65"/>
      <c r="AJ165" s="65" t="s">
        <v>101</v>
      </c>
      <c r="AK165" s="65" t="s">
        <v>119</v>
      </c>
      <c r="AL165" s="65" t="s">
        <v>120</v>
      </c>
      <c r="AM165" s="65"/>
      <c r="AN165" s="65"/>
      <c r="AO165" s="68" t="s">
        <v>118</v>
      </c>
      <c r="AP165" s="63">
        <v>2</v>
      </c>
      <c r="AQ165" s="66" t="s">
        <v>92</v>
      </c>
      <c r="AW165" s="118" t="s">
        <v>357</v>
      </c>
      <c r="AX165" s="118">
        <v>10.25</v>
      </c>
      <c r="AY165" s="118" t="s">
        <v>52</v>
      </c>
      <c r="AZ165" s="118"/>
      <c r="BA165" s="118"/>
      <c r="BB165" s="118"/>
      <c r="BC165" s="118"/>
      <c r="BD165" s="118"/>
      <c r="BE165" s="118"/>
      <c r="BF165" s="118" t="s">
        <v>357</v>
      </c>
      <c r="BG165" s="118">
        <v>13.5</v>
      </c>
      <c r="BH165" s="118" t="s">
        <v>52</v>
      </c>
      <c r="BI165" s="118"/>
    </row>
    <row r="166" spans="2:71" x14ac:dyDescent="0.25">
      <c r="H166" s="92" t="s">
        <v>121</v>
      </c>
      <c r="I166" s="93"/>
      <c r="J166" s="94">
        <f>I162+M162+Q162+U162</f>
        <v>142</v>
      </c>
      <c r="K166" s="95" t="s">
        <v>52</v>
      </c>
      <c r="Y166" s="19"/>
      <c r="Z166" s="28" t="s">
        <v>422</v>
      </c>
      <c r="AA166">
        <f>30-2</f>
        <v>28</v>
      </c>
      <c r="AB166" t="s">
        <v>92</v>
      </c>
      <c r="AD166" s="25"/>
      <c r="AF166" s="21"/>
      <c r="AH166" s="67"/>
      <c r="AI166" s="65" t="s">
        <v>114</v>
      </c>
      <c r="AJ166" s="65">
        <v>9.9600000000000009</v>
      </c>
      <c r="AK166" s="65">
        <f>AJ166/3</f>
        <v>3.3200000000000003</v>
      </c>
      <c r="AL166" s="65">
        <f>AJ166/6</f>
        <v>1.6600000000000001</v>
      </c>
      <c r="AM166" s="65"/>
      <c r="AN166" s="65"/>
      <c r="AO166" s="63" t="s">
        <v>92</v>
      </c>
      <c r="AP166" s="63"/>
      <c r="AQ166" s="66"/>
      <c r="AW166" s="118" t="s">
        <v>114</v>
      </c>
      <c r="AX166" s="118">
        <v>9.83</v>
      </c>
      <c r="AY166" s="118" t="s">
        <v>52</v>
      </c>
      <c r="AZ166" s="118"/>
      <c r="BA166" s="118"/>
      <c r="BB166" s="118"/>
      <c r="BC166" s="118"/>
      <c r="BD166" s="118"/>
      <c r="BE166" s="118"/>
      <c r="BF166" s="118" t="s">
        <v>114</v>
      </c>
      <c r="BG166" s="118">
        <v>9.83</v>
      </c>
      <c r="BH166" s="118" t="s">
        <v>52</v>
      </c>
      <c r="BI166" s="118"/>
    </row>
    <row r="167" spans="2:71" x14ac:dyDescent="0.25">
      <c r="H167" s="102" t="s">
        <v>342</v>
      </c>
      <c r="I167" s="103"/>
      <c r="J167" s="128">
        <f>(I165+M165+Q165+U165)</f>
        <v>1184.5166666666667</v>
      </c>
      <c r="K167" s="104" t="s">
        <v>113</v>
      </c>
      <c r="M167" t="s">
        <v>375</v>
      </c>
      <c r="N167" s="52">
        <f>BO174</f>
        <v>0</v>
      </c>
      <c r="O167" t="s">
        <v>126</v>
      </c>
      <c r="Y167" s="19"/>
      <c r="AF167" s="21"/>
      <c r="AH167" s="67"/>
      <c r="AI167" s="65" t="s">
        <v>321</v>
      </c>
      <c r="AJ167" s="65">
        <v>72</v>
      </c>
      <c r="AK167" s="69" t="s">
        <v>92</v>
      </c>
      <c r="AL167" s="65"/>
      <c r="AM167" s="65"/>
      <c r="AN167" s="65"/>
      <c r="AO167" s="63" t="s">
        <v>92</v>
      </c>
      <c r="AP167" s="63"/>
      <c r="AQ167" s="66"/>
      <c r="AW167" s="118" t="s">
        <v>356</v>
      </c>
      <c r="AX167" s="118">
        <f>2*(SQRT((AX179)^2+(AZ176)^2))</f>
        <v>28.403619487663892</v>
      </c>
      <c r="AY167" s="118" t="s">
        <v>52</v>
      </c>
      <c r="AZ167" s="118"/>
      <c r="BA167" s="118"/>
      <c r="BB167" s="118"/>
      <c r="BC167" s="118"/>
      <c r="BD167" s="118"/>
      <c r="BE167" s="118"/>
      <c r="BF167" s="118" t="s">
        <v>356</v>
      </c>
      <c r="BG167" s="118">
        <f>2*(SQRT((BG179)^2+(BI176)^2))</f>
        <v>33.399335322727609</v>
      </c>
      <c r="BH167" s="118" t="s">
        <v>52</v>
      </c>
      <c r="BI167" s="118"/>
      <c r="BL167" s="14"/>
      <c r="BM167" s="16"/>
      <c r="BN167" s="16"/>
      <c r="BO167" s="16"/>
      <c r="BP167" s="16"/>
      <c r="BQ167" s="16"/>
      <c r="BR167" s="16"/>
      <c r="BS167" s="17"/>
    </row>
    <row r="168" spans="2:71" x14ac:dyDescent="0.25">
      <c r="H168" s="96" t="s">
        <v>123</v>
      </c>
      <c r="I168" s="35"/>
      <c r="J168" s="10">
        <v>13</v>
      </c>
      <c r="K168" s="97"/>
      <c r="M168" t="s">
        <v>374</v>
      </c>
      <c r="N168" s="52">
        <f>BS194</f>
        <v>96.761053730565635</v>
      </c>
      <c r="O168" t="s">
        <v>126</v>
      </c>
      <c r="R168" s="14" t="s">
        <v>363</v>
      </c>
      <c r="S168" s="16" t="s">
        <v>423</v>
      </c>
      <c r="T168" s="16" t="s">
        <v>365</v>
      </c>
      <c r="U168" s="17" t="s">
        <v>424</v>
      </c>
      <c r="Y168" s="19"/>
      <c r="AF168" s="21"/>
      <c r="AH168" s="67"/>
      <c r="AI168" s="65"/>
      <c r="AJ168" s="65">
        <f>AJ167/12</f>
        <v>6</v>
      </c>
      <c r="AK168" s="69" t="s">
        <v>52</v>
      </c>
      <c r="AL168" s="65">
        <f>AI172^2+AI175^2</f>
        <v>40.136400000000002</v>
      </c>
      <c r="AM168" s="65"/>
      <c r="AN168" s="70">
        <f>AI172^2+AJ175^2</f>
        <v>34.809372250000003</v>
      </c>
      <c r="AO168" s="63" t="s">
        <v>92</v>
      </c>
      <c r="AP168" s="63"/>
      <c r="AQ168" s="66"/>
      <c r="AW168" s="119" t="s">
        <v>343</v>
      </c>
      <c r="AX168" s="118">
        <f>0.33*4*AX167</f>
        <v>37.492777723716337</v>
      </c>
      <c r="AY168" s="118" t="s">
        <v>113</v>
      </c>
      <c r="AZ168" s="118"/>
      <c r="BA168" s="118"/>
      <c r="BB168" s="118"/>
      <c r="BC168" s="118"/>
      <c r="BD168" s="118"/>
      <c r="BE168" s="118"/>
      <c r="BF168" s="119" t="s">
        <v>343</v>
      </c>
      <c r="BG168" s="118">
        <f>0.33*4*BG167</f>
        <v>44.087122626000443</v>
      </c>
      <c r="BH168" s="118" t="s">
        <v>113</v>
      </c>
      <c r="BI168" s="118"/>
      <c r="BL168" s="19"/>
      <c r="BN168" t="s">
        <v>368</v>
      </c>
      <c r="BS168" s="21"/>
    </row>
    <row r="169" spans="2:71" ht="45.3" thickBot="1" x14ac:dyDescent="0.3">
      <c r="H169" s="98" t="s">
        <v>360</v>
      </c>
      <c r="I169" s="99"/>
      <c r="J169" s="100">
        <f>J167*J168</f>
        <v>15398.716666666667</v>
      </c>
      <c r="K169" s="101" t="s">
        <v>113</v>
      </c>
      <c r="R169" s="19" t="s">
        <v>366</v>
      </c>
      <c r="S169">
        <v>1.76</v>
      </c>
      <c r="T169">
        <v>1.76</v>
      </c>
      <c r="U169" s="21">
        <v>7.84</v>
      </c>
      <c r="Y169" s="19"/>
      <c r="AF169" s="21"/>
      <c r="AH169" s="67"/>
      <c r="AI169" s="65"/>
      <c r="AJ169" s="65"/>
      <c r="AK169" s="69"/>
      <c r="AL169" s="65"/>
      <c r="AM169" s="65"/>
      <c r="AN169" s="65"/>
      <c r="AO169" s="63"/>
      <c r="AP169" s="63"/>
      <c r="AQ169" s="66"/>
      <c r="AW169" s="120" t="s">
        <v>132</v>
      </c>
      <c r="AX169" s="118">
        <f>AX168*1.1</f>
        <v>41.242055496087971</v>
      </c>
      <c r="AY169" s="118" t="s">
        <v>113</v>
      </c>
      <c r="AZ169" s="118"/>
      <c r="BA169" s="118"/>
      <c r="BB169" s="118"/>
      <c r="BC169" s="118"/>
      <c r="BD169" s="118"/>
      <c r="BE169" s="118"/>
      <c r="BF169" s="120" t="s">
        <v>132</v>
      </c>
      <c r="BG169" s="118">
        <f>BG168*1.1</f>
        <v>48.495834888600491</v>
      </c>
      <c r="BH169" s="118" t="s">
        <v>113</v>
      </c>
      <c r="BI169" s="118"/>
      <c r="BL169" s="19"/>
      <c r="BM169" t="s">
        <v>370</v>
      </c>
      <c r="BN169" t="s">
        <v>364</v>
      </c>
      <c r="BO169">
        <f>(BM176*BL178)+(BS178*BP175)+(2*(BL178-BS178)*BP175/2)</f>
        <v>798</v>
      </c>
      <c r="BP169" t="s">
        <v>369</v>
      </c>
      <c r="BS169" s="21"/>
    </row>
    <row r="170" spans="2:71" x14ac:dyDescent="0.25">
      <c r="H170" s="4"/>
      <c r="R170" s="19" t="s">
        <v>358</v>
      </c>
      <c r="S170">
        <v>13</v>
      </c>
      <c r="T170">
        <v>13</v>
      </c>
      <c r="U170" s="21">
        <v>26</v>
      </c>
      <c r="Y170" s="19"/>
      <c r="Z170">
        <f>(Z171)/12</f>
        <v>2.3333333333333335</v>
      </c>
      <c r="AA170" t="s">
        <v>2</v>
      </c>
      <c r="AF170" s="21"/>
      <c r="AH170" s="67"/>
      <c r="AI170" s="65"/>
      <c r="AJ170" s="65"/>
      <c r="AK170" s="65"/>
      <c r="AL170" s="65"/>
      <c r="AM170" s="65"/>
      <c r="AN170" s="65"/>
      <c r="AO170" s="63"/>
      <c r="AP170" s="63">
        <v>1.333</v>
      </c>
      <c r="AQ170" s="66" t="s">
        <v>125</v>
      </c>
      <c r="AW170" s="118" t="s">
        <v>358</v>
      </c>
      <c r="AX170" s="118">
        <v>0</v>
      </c>
      <c r="AY170" s="118"/>
      <c r="AZ170" s="118"/>
      <c r="BA170" s="118"/>
      <c r="BB170" s="118"/>
      <c r="BC170" s="118"/>
      <c r="BD170" s="118"/>
      <c r="BE170" s="118"/>
      <c r="BF170" s="118" t="s">
        <v>358</v>
      </c>
      <c r="BG170" s="118">
        <v>0</v>
      </c>
      <c r="BH170" s="118"/>
      <c r="BI170" s="118"/>
      <c r="BL170" s="19"/>
      <c r="BM170" t="s">
        <v>371</v>
      </c>
      <c r="BN170" t="s">
        <v>364</v>
      </c>
      <c r="BO170">
        <f>0</f>
        <v>0</v>
      </c>
      <c r="BP170" t="s">
        <v>369</v>
      </c>
      <c r="BS170" s="21"/>
    </row>
    <row r="171" spans="2:71" x14ac:dyDescent="0.25">
      <c r="H171" s="14" t="s">
        <v>325</v>
      </c>
      <c r="I171" s="16"/>
      <c r="J171" s="16">
        <f>2*(6*72)/144</f>
        <v>6</v>
      </c>
      <c r="K171" s="17" t="s">
        <v>126</v>
      </c>
      <c r="R171" s="19" t="s">
        <v>361</v>
      </c>
      <c r="S171">
        <f>S169*S170</f>
        <v>22.88</v>
      </c>
      <c r="T171">
        <f>T169*T170</f>
        <v>22.88</v>
      </c>
      <c r="U171" s="21">
        <f>U169*U170</f>
        <v>203.84</v>
      </c>
      <c r="Y171" s="19"/>
      <c r="Z171">
        <f>AA166</f>
        <v>28</v>
      </c>
      <c r="AD171">
        <f>(SQRT((AB174/2)^2+(Z170)^2))</f>
        <v>4.189850169689179</v>
      </c>
      <c r="AE171" t="s">
        <v>2</v>
      </c>
      <c r="AF171" s="21"/>
      <c r="AH171" s="67"/>
      <c r="AI171" s="65"/>
      <c r="AJ171" s="70">
        <f>SQRT(AN168)</f>
        <v>5.8999468006076121</v>
      </c>
      <c r="AK171" s="70"/>
      <c r="AL171" s="65"/>
      <c r="AM171" s="70">
        <f>AH172</f>
        <v>6.335</v>
      </c>
      <c r="AN171" s="65"/>
      <c r="AO171" s="63"/>
      <c r="AP171" s="71">
        <f>0.33*AP170*2</f>
        <v>0.87978000000000001</v>
      </c>
      <c r="AQ171" s="66" t="s">
        <v>126</v>
      </c>
      <c r="AW171" s="118" t="s">
        <v>359</v>
      </c>
      <c r="AX171" s="118">
        <f>AX170*AX169*2</f>
        <v>0</v>
      </c>
      <c r="AY171" s="118"/>
      <c r="AZ171" s="118"/>
      <c r="BA171" s="118"/>
      <c r="BB171" s="118"/>
      <c r="BC171" s="118"/>
      <c r="BD171" s="118"/>
      <c r="BE171" s="118"/>
      <c r="BF171" s="118" t="s">
        <v>359</v>
      </c>
      <c r="BG171" s="118">
        <f>BG170*BG169*2</f>
        <v>0</v>
      </c>
      <c r="BH171" s="118"/>
      <c r="BI171" s="118"/>
      <c r="BL171" s="19"/>
      <c r="BM171" t="s">
        <v>372</v>
      </c>
      <c r="BN171" t="s">
        <v>364</v>
      </c>
      <c r="BO171">
        <f>(BO169+BO170)/144*2</f>
        <v>11.083333333333334</v>
      </c>
      <c r="BP171" t="s">
        <v>113</v>
      </c>
      <c r="BS171" s="21"/>
    </row>
    <row r="172" spans="2:71" x14ac:dyDescent="0.25">
      <c r="H172" s="19" t="s">
        <v>187</v>
      </c>
      <c r="J172">
        <v>0</v>
      </c>
      <c r="K172" s="21" t="s">
        <v>329</v>
      </c>
      <c r="R172" s="19"/>
      <c r="U172" s="21"/>
      <c r="Y172" s="19"/>
      <c r="AF172" s="21"/>
      <c r="AH172" s="72">
        <v>6.335</v>
      </c>
      <c r="AI172" s="73">
        <v>5.58</v>
      </c>
      <c r="AJ172" s="65"/>
      <c r="AK172" s="65"/>
      <c r="AL172" s="65"/>
      <c r="AM172" s="65"/>
      <c r="AN172" s="65"/>
      <c r="AO172" s="63"/>
      <c r="AP172" s="63">
        <v>7</v>
      </c>
      <c r="AQ172" s="66" t="s">
        <v>125</v>
      </c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L172" s="19"/>
      <c r="BM172" t="s">
        <v>358</v>
      </c>
      <c r="BO172">
        <v>0</v>
      </c>
      <c r="BS172" s="21"/>
    </row>
    <row r="173" spans="2:71" x14ac:dyDescent="0.25">
      <c r="H173" s="19" t="s">
        <v>188</v>
      </c>
      <c r="J173" s="7">
        <f>J171*J172</f>
        <v>0</v>
      </c>
      <c r="K173" s="21" t="s">
        <v>126</v>
      </c>
      <c r="R173" s="19"/>
      <c r="S173" t="s">
        <v>351</v>
      </c>
      <c r="T173">
        <f>S171+T171+U171</f>
        <v>249.6</v>
      </c>
      <c r="U173" s="21"/>
      <c r="Y173" s="19"/>
      <c r="AF173" s="21"/>
      <c r="AH173" s="67"/>
      <c r="AI173" s="65"/>
      <c r="AJ173" s="65"/>
      <c r="AK173" s="65"/>
      <c r="AL173" s="65"/>
      <c r="AM173" s="65"/>
      <c r="AN173" s="65"/>
      <c r="AO173" s="63"/>
      <c r="AP173" s="71">
        <f>0.33*AP172*2</f>
        <v>4.62</v>
      </c>
      <c r="AQ173" s="66" t="s">
        <v>126</v>
      </c>
      <c r="AW173" s="118"/>
      <c r="AX173" s="118"/>
      <c r="AY173" s="118"/>
      <c r="AZ173" s="121"/>
      <c r="BA173" s="118"/>
      <c r="BB173" s="118"/>
      <c r="BC173" s="118"/>
      <c r="BD173" s="118"/>
      <c r="BE173" s="118"/>
      <c r="BF173" s="118"/>
      <c r="BG173" s="118"/>
      <c r="BH173" s="118"/>
      <c r="BI173" s="121"/>
      <c r="BL173" s="19"/>
      <c r="BM173" t="s">
        <v>373</v>
      </c>
      <c r="BO173">
        <f>BO171*BO172</f>
        <v>0</v>
      </c>
      <c r="BS173" s="21"/>
    </row>
    <row r="174" spans="2:71" x14ac:dyDescent="0.25">
      <c r="H174" s="49" t="s">
        <v>189</v>
      </c>
      <c r="I174" s="3"/>
      <c r="J174" s="3"/>
      <c r="K174" s="44"/>
      <c r="R174" s="49"/>
      <c r="S174" s="112" t="s">
        <v>367</v>
      </c>
      <c r="T174" s="59">
        <f>T173*1.1</f>
        <v>274.56</v>
      </c>
      <c r="U174" s="44"/>
      <c r="Y174" s="19"/>
      <c r="AB174" s="27">
        <f>AA164</f>
        <v>6.96</v>
      </c>
      <c r="AF174" s="21"/>
      <c r="AH174" s="67"/>
      <c r="AI174" s="65"/>
      <c r="AJ174" s="65"/>
      <c r="AK174" s="65"/>
      <c r="AL174" s="65"/>
      <c r="AM174" s="65"/>
      <c r="AN174" s="65"/>
      <c r="AO174" s="63"/>
      <c r="AP174" s="63"/>
      <c r="AQ174" s="66"/>
      <c r="AW174" s="118"/>
      <c r="AX174" s="118">
        <f>SQRT((AX179)^2+(AZ176)^2)</f>
        <v>14.201809743831946</v>
      </c>
      <c r="AY174" s="118"/>
      <c r="AZ174" s="121"/>
      <c r="BA174" s="118"/>
      <c r="BB174" s="118"/>
      <c r="BC174" s="118"/>
      <c r="BD174" s="118"/>
      <c r="BE174" s="118"/>
      <c r="BF174" s="118"/>
      <c r="BG174" s="118">
        <f>SQRT((BG179)^2+(BI176)^2)</f>
        <v>16.699667661363804</v>
      </c>
      <c r="BH174" s="118"/>
      <c r="BI174" s="121"/>
      <c r="BL174" s="19"/>
      <c r="BM174" t="s">
        <v>367</v>
      </c>
      <c r="BO174" s="7">
        <f>BO173*1.1</f>
        <v>0</v>
      </c>
      <c r="BS174" s="21"/>
    </row>
    <row r="175" spans="2:71" x14ac:dyDescent="0.25">
      <c r="Y175" s="19"/>
      <c r="AF175" s="21"/>
      <c r="AH175" s="67"/>
      <c r="AI175" s="70">
        <v>3</v>
      </c>
      <c r="AJ175" s="70">
        <v>1.9165000000000001</v>
      </c>
      <c r="AK175" s="65"/>
      <c r="AL175" s="65"/>
      <c r="AM175" s="65"/>
      <c r="AN175" s="65"/>
      <c r="AO175" s="63"/>
      <c r="AP175" s="63"/>
      <c r="AQ175" s="66"/>
      <c r="AW175" s="118"/>
      <c r="AX175" s="118"/>
      <c r="AY175" s="118"/>
      <c r="AZ175" s="121"/>
      <c r="BA175" s="118"/>
      <c r="BB175" s="118"/>
      <c r="BC175" s="118"/>
      <c r="BD175" s="118"/>
      <c r="BE175" s="118"/>
      <c r="BF175" s="118"/>
      <c r="BG175" s="118"/>
      <c r="BH175" s="118"/>
      <c r="BI175" s="121"/>
      <c r="BL175" s="19"/>
      <c r="BP175">
        <v>39</v>
      </c>
      <c r="BS175" s="21"/>
    </row>
    <row r="176" spans="2:71" ht="15.6" thickBot="1" x14ac:dyDescent="0.3">
      <c r="H176" s="14" t="s">
        <v>383</v>
      </c>
      <c r="I176" s="16"/>
      <c r="J176" s="16">
        <f>2*(8*72)/144</f>
        <v>8</v>
      </c>
      <c r="K176" s="17" t="s">
        <v>126</v>
      </c>
      <c r="Y176" s="19" t="s">
        <v>420</v>
      </c>
      <c r="AB176" s="27">
        <f>(2*AD171)+AB174</f>
        <v>15.339700339378357</v>
      </c>
      <c r="AC176" t="s">
        <v>125</v>
      </c>
      <c r="AF176" s="21"/>
      <c r="AH176" s="74"/>
      <c r="AI176" s="75"/>
      <c r="AJ176" s="75"/>
      <c r="AK176" s="75"/>
      <c r="AL176" s="75"/>
      <c r="AM176" s="75"/>
      <c r="AN176" s="75"/>
      <c r="AO176" s="76"/>
      <c r="AP176" s="76"/>
      <c r="AQ176" s="77"/>
      <c r="AW176" s="118"/>
      <c r="AX176" s="118"/>
      <c r="AY176" s="118"/>
      <c r="AZ176" s="121">
        <f>AX166</f>
        <v>9.83</v>
      </c>
      <c r="BA176" s="118"/>
      <c r="BB176" s="118"/>
      <c r="BC176" s="118"/>
      <c r="BD176" s="118"/>
      <c r="BE176" s="118"/>
      <c r="BF176" s="118"/>
      <c r="BG176" s="118"/>
      <c r="BH176" s="118"/>
      <c r="BI176" s="121">
        <f>BG166</f>
        <v>9.83</v>
      </c>
      <c r="BL176" s="19"/>
      <c r="BM176">
        <v>18</v>
      </c>
      <c r="BS176" s="21"/>
    </row>
    <row r="177" spans="8:72" x14ac:dyDescent="0.25">
      <c r="H177" s="19" t="s">
        <v>187</v>
      </c>
      <c r="J177">
        <v>0</v>
      </c>
      <c r="K177" s="21" t="s">
        <v>329</v>
      </c>
      <c r="O177" s="108" t="s">
        <v>362</v>
      </c>
      <c r="P177" s="109"/>
      <c r="Y177" s="19"/>
      <c r="AF177" s="21"/>
      <c r="AH177" s="78"/>
      <c r="AI177" s="79"/>
      <c r="AJ177" s="79" t="s">
        <v>130</v>
      </c>
      <c r="AK177" s="80" t="s">
        <v>353</v>
      </c>
      <c r="AL177" s="79"/>
      <c r="AM177" s="79"/>
      <c r="AN177" s="79"/>
      <c r="AO177" s="60"/>
      <c r="AP177" s="60"/>
      <c r="AQ177" s="61"/>
      <c r="AW177" s="118"/>
      <c r="AX177" s="118"/>
      <c r="AY177" s="118"/>
      <c r="AZ177" s="121"/>
      <c r="BA177" s="118"/>
      <c r="BB177" s="118"/>
      <c r="BC177" s="118"/>
      <c r="BD177" s="118"/>
      <c r="BE177" s="118"/>
      <c r="BF177" s="118"/>
      <c r="BG177" s="118"/>
      <c r="BH177" s="118"/>
      <c r="BI177" s="121"/>
      <c r="BL177" s="19"/>
      <c r="BS177" s="21"/>
    </row>
    <row r="178" spans="8:72" ht="15.6" thickBot="1" x14ac:dyDescent="0.3">
      <c r="H178" s="19" t="s">
        <v>188</v>
      </c>
      <c r="J178" s="7">
        <f>J176*J177</f>
        <v>0</v>
      </c>
      <c r="K178" s="21" t="s">
        <v>126</v>
      </c>
      <c r="O178" s="110" t="s">
        <v>351</v>
      </c>
      <c r="P178" s="111">
        <f>J169+J173+J178+I187+I197+I206+T174+N167+N168</f>
        <v>19258.155320397233</v>
      </c>
      <c r="Y178" s="48" t="s">
        <v>421</v>
      </c>
      <c r="AB178" s="1">
        <f>0.25*4*AB176</f>
        <v>15.339700339378357</v>
      </c>
      <c r="AC178" t="s">
        <v>126</v>
      </c>
      <c r="AF178" s="21"/>
      <c r="AH178" s="74"/>
      <c r="AI178" s="75"/>
      <c r="AJ178" s="75"/>
      <c r="AK178" s="75">
        <f>AJ166+(2*AH172)+(2*AJ171)</f>
        <v>34.429893601215227</v>
      </c>
      <c r="AL178" s="75" t="s">
        <v>52</v>
      </c>
      <c r="AM178" s="75"/>
      <c r="AN178" s="75"/>
      <c r="AO178" s="76"/>
      <c r="AP178" s="76"/>
      <c r="AQ178" s="77"/>
      <c r="AW178" s="118"/>
      <c r="AX178" s="118"/>
      <c r="AY178" s="118"/>
      <c r="AZ178" s="121"/>
      <c r="BA178" s="118"/>
      <c r="BB178" s="118"/>
      <c r="BC178" s="118"/>
      <c r="BD178" s="118"/>
      <c r="BE178" s="118"/>
      <c r="BF178" s="118"/>
      <c r="BG178" s="118"/>
      <c r="BH178" s="118"/>
      <c r="BI178" s="121"/>
      <c r="BL178" s="19">
        <v>14</v>
      </c>
      <c r="BS178" s="21">
        <v>6</v>
      </c>
    </row>
    <row r="179" spans="8:72" x14ac:dyDescent="0.25">
      <c r="H179" s="49" t="s">
        <v>189</v>
      </c>
      <c r="I179" s="3"/>
      <c r="J179" s="3"/>
      <c r="K179" s="44"/>
      <c r="Y179" s="19" t="s">
        <v>132</v>
      </c>
      <c r="AA179" t="s">
        <v>133</v>
      </c>
      <c r="AB179" s="27">
        <f>AB178*1.1</f>
        <v>16.873670373316195</v>
      </c>
      <c r="AC179" t="s">
        <v>126</v>
      </c>
      <c r="AF179" s="21"/>
      <c r="AH179" s="78"/>
      <c r="AI179" s="79"/>
      <c r="AJ179" s="79"/>
      <c r="AK179" s="79"/>
      <c r="AL179" s="79"/>
      <c r="AM179" s="79"/>
      <c r="AN179" s="79"/>
      <c r="AO179" s="60"/>
      <c r="AP179" s="60"/>
      <c r="AQ179" s="61"/>
      <c r="AW179" s="122"/>
      <c r="AX179" s="122">
        <f>AX165</f>
        <v>10.25</v>
      </c>
      <c r="AY179" s="122"/>
      <c r="AZ179" s="118"/>
      <c r="BA179" s="118"/>
      <c r="BB179" s="118"/>
      <c r="BC179" s="118"/>
      <c r="BD179" s="118"/>
      <c r="BE179" s="118"/>
      <c r="BF179" s="122"/>
      <c r="BG179" s="122">
        <f>BG165</f>
        <v>13.5</v>
      </c>
      <c r="BH179" s="122"/>
      <c r="BI179" s="118"/>
      <c r="BL179" s="19"/>
      <c r="BS179" s="21"/>
    </row>
    <row r="180" spans="8:72" x14ac:dyDescent="0.25">
      <c r="Y180" s="19"/>
      <c r="AB180" s="27"/>
      <c r="AF180" s="21"/>
      <c r="AH180" s="67"/>
      <c r="AI180" s="65"/>
      <c r="AJ180" s="65"/>
      <c r="AK180" s="65"/>
      <c r="AL180" s="65"/>
      <c r="AM180" s="65"/>
      <c r="AN180" s="65"/>
      <c r="AO180" s="63"/>
      <c r="AP180" s="63"/>
      <c r="AQ180" s="66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L180" s="19"/>
      <c r="BS180" s="21"/>
    </row>
    <row r="181" spans="8:72" x14ac:dyDescent="0.25">
      <c r="H181" t="s">
        <v>435</v>
      </c>
      <c r="Y181" s="49"/>
      <c r="Z181" s="3"/>
      <c r="AA181" s="3"/>
      <c r="AB181" s="3"/>
      <c r="AC181" s="3"/>
      <c r="AD181" s="3"/>
      <c r="AE181" s="3"/>
      <c r="AF181" s="44"/>
      <c r="AH181" s="67"/>
      <c r="AI181" s="65" t="s">
        <v>134</v>
      </c>
      <c r="AJ181" s="65"/>
      <c r="AK181" s="65">
        <f>AK178*(0.3333*4)</f>
        <v>45.901934149140139</v>
      </c>
      <c r="AL181" s="65" t="s">
        <v>126</v>
      </c>
      <c r="AM181" s="65"/>
      <c r="AN181" s="65"/>
      <c r="AO181" s="63"/>
      <c r="AP181" s="63"/>
      <c r="AQ181" s="66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L181" s="19"/>
      <c r="BS181" s="21"/>
    </row>
    <row r="182" spans="8:72" x14ac:dyDescent="0.25">
      <c r="H182" s="10" t="s">
        <v>91</v>
      </c>
      <c r="I182" s="10">
        <v>1</v>
      </c>
      <c r="J182" s="10" t="s">
        <v>52</v>
      </c>
      <c r="K182" s="10"/>
      <c r="AH182" s="74"/>
      <c r="AI182" s="75" t="s">
        <v>135</v>
      </c>
      <c r="AJ182" s="75"/>
      <c r="AK182" s="75"/>
      <c r="AL182" s="75"/>
      <c r="AM182" s="75"/>
      <c r="AN182" s="75"/>
      <c r="AO182" s="76"/>
      <c r="AP182" s="76"/>
      <c r="AQ182" s="77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  <c r="BH182" s="118"/>
      <c r="BI182" s="118"/>
      <c r="BL182" s="19"/>
      <c r="BS182" s="21"/>
    </row>
    <row r="183" spans="8:72" x14ac:dyDescent="0.25">
      <c r="H183" s="10" t="s">
        <v>100</v>
      </c>
      <c r="I183" s="41">
        <v>15.34</v>
      </c>
      <c r="J183" s="10" t="s">
        <v>52</v>
      </c>
      <c r="K183" s="10"/>
      <c r="AH183" s="81"/>
      <c r="AI183" s="60"/>
      <c r="AJ183" s="60"/>
      <c r="AK183" s="60"/>
      <c r="AL183" s="60"/>
      <c r="AM183" s="60"/>
      <c r="AN183" s="60"/>
      <c r="AO183" s="60"/>
      <c r="AP183" s="60"/>
      <c r="AQ183" s="61"/>
      <c r="AW183" s="118" t="s">
        <v>357</v>
      </c>
      <c r="AX183" s="118">
        <v>10.792</v>
      </c>
      <c r="AY183" s="118" t="s">
        <v>52</v>
      </c>
      <c r="AZ183" s="118"/>
      <c r="BA183" s="118"/>
      <c r="BB183" s="118"/>
      <c r="BC183" s="118"/>
      <c r="BD183" s="118"/>
      <c r="BE183" s="118"/>
      <c r="BF183" s="118" t="s">
        <v>357</v>
      </c>
      <c r="BG183" s="118">
        <v>10.916700000000001</v>
      </c>
      <c r="BH183" s="118" t="s">
        <v>52</v>
      </c>
      <c r="BI183" s="118"/>
      <c r="BL183" s="19">
        <v>1.375</v>
      </c>
      <c r="BS183" s="21"/>
    </row>
    <row r="184" spans="8:72" x14ac:dyDescent="0.25">
      <c r="H184" s="10" t="s">
        <v>106</v>
      </c>
      <c r="I184" t="s">
        <v>355</v>
      </c>
      <c r="K184" s="10"/>
      <c r="Y184" s="14"/>
      <c r="Z184" s="15" t="s">
        <v>384</v>
      </c>
      <c r="AA184" s="16"/>
      <c r="AB184" s="16"/>
      <c r="AC184" s="16"/>
      <c r="AD184" s="16"/>
      <c r="AE184" s="16"/>
      <c r="AF184" s="17"/>
      <c r="AH184" s="62"/>
      <c r="AI184" s="211" t="s">
        <v>136</v>
      </c>
      <c r="AJ184" s="63"/>
      <c r="AK184" s="63"/>
      <c r="AL184" s="63"/>
      <c r="AM184" s="63"/>
      <c r="AN184" s="63"/>
      <c r="AO184" s="63"/>
      <c r="AP184" s="63"/>
      <c r="AQ184" s="66"/>
      <c r="AW184" s="118" t="s">
        <v>114</v>
      </c>
      <c r="AX184" s="118">
        <v>9.83</v>
      </c>
      <c r="AY184" s="118" t="s">
        <v>52</v>
      </c>
      <c r="AZ184" s="118"/>
      <c r="BA184" s="118"/>
      <c r="BB184" s="118"/>
      <c r="BC184" s="118"/>
      <c r="BD184" s="118"/>
      <c r="BE184" s="118"/>
      <c r="BF184" s="118" t="s">
        <v>114</v>
      </c>
      <c r="BG184" s="118">
        <v>9.83</v>
      </c>
      <c r="BH184" s="118" t="s">
        <v>52</v>
      </c>
      <c r="BI184" s="118"/>
      <c r="BL184" s="19"/>
      <c r="BS184" s="21"/>
    </row>
    <row r="185" spans="8:72" x14ac:dyDescent="0.25">
      <c r="H185" s="10" t="s">
        <v>128</v>
      </c>
      <c r="I185" s="33">
        <v>22</v>
      </c>
      <c r="J185" s="35"/>
      <c r="K185" s="10"/>
      <c r="Y185" s="19"/>
      <c r="AA185" t="s">
        <v>101</v>
      </c>
      <c r="AH185" s="62"/>
      <c r="AI185" s="211"/>
      <c r="AJ185" s="63"/>
      <c r="AK185" s="63">
        <f>AO162*AK178</f>
        <v>282.32512752996485</v>
      </c>
      <c r="AL185" s="63" t="s">
        <v>137</v>
      </c>
      <c r="AM185" s="63"/>
      <c r="AN185" s="63"/>
      <c r="AO185" s="63"/>
      <c r="AP185" s="63"/>
      <c r="AQ185" s="66"/>
      <c r="AW185" s="118" t="s">
        <v>356</v>
      </c>
      <c r="AX185" s="118">
        <f>2*(SQRT((AX197)^2+(AZ194)^2))</f>
        <v>29.195627343833529</v>
      </c>
      <c r="AY185" s="118" t="s">
        <v>52</v>
      </c>
      <c r="AZ185" s="118"/>
      <c r="BA185" s="118"/>
      <c r="BB185" s="118"/>
      <c r="BC185" s="118"/>
      <c r="BD185" s="118"/>
      <c r="BE185" s="118"/>
      <c r="BF185" s="118" t="s">
        <v>356</v>
      </c>
      <c r="BG185" s="118">
        <f>2*(SQRT((BG197)^2+(BI194)^2))</f>
        <v>29.380485965347816</v>
      </c>
      <c r="BH185" s="118" t="s">
        <v>52</v>
      </c>
      <c r="BI185" s="118"/>
      <c r="BL185" s="19"/>
      <c r="BO185">
        <f>BM176+BP175</f>
        <v>57</v>
      </c>
      <c r="BS185" s="21"/>
    </row>
    <row r="186" spans="8:72" x14ac:dyDescent="0.25">
      <c r="H186" s="10" t="s">
        <v>112</v>
      </c>
      <c r="I186" s="10">
        <f>I183*I182*I185</f>
        <v>337.48</v>
      </c>
      <c r="J186" s="10" t="s">
        <v>113</v>
      </c>
      <c r="K186" s="10"/>
      <c r="Y186" s="19"/>
      <c r="AD186" s="25"/>
      <c r="AF186" s="21"/>
      <c r="AH186" s="82"/>
      <c r="AI186" s="218"/>
      <c r="AJ186" s="76"/>
      <c r="AK186" s="76"/>
      <c r="AL186" s="76"/>
      <c r="AM186" s="76"/>
      <c r="AN186" s="76"/>
      <c r="AO186" s="76"/>
      <c r="AP186" s="76"/>
      <c r="AQ186" s="77"/>
      <c r="AW186" s="119" t="s">
        <v>343</v>
      </c>
      <c r="AX186" s="118">
        <f>0.33*4*AX185</f>
        <v>38.538228093860262</v>
      </c>
      <c r="AY186" s="118" t="s">
        <v>113</v>
      </c>
      <c r="AZ186" s="118"/>
      <c r="BA186" s="118"/>
      <c r="BB186" s="118"/>
      <c r="BC186" s="118"/>
      <c r="BD186" s="118"/>
      <c r="BE186" s="118"/>
      <c r="BF186" s="119" t="s">
        <v>343</v>
      </c>
      <c r="BG186" s="118">
        <f>0.33*4*BG185</f>
        <v>38.782241474259116</v>
      </c>
      <c r="BH186" s="118" t="s">
        <v>113</v>
      </c>
      <c r="BI186" s="118"/>
      <c r="BL186" s="49"/>
      <c r="BM186" s="3"/>
      <c r="BN186" s="3"/>
      <c r="BO186" s="3"/>
      <c r="BP186" s="3"/>
      <c r="BQ186" s="3"/>
      <c r="BR186" s="3"/>
      <c r="BS186" s="44"/>
    </row>
    <row r="187" spans="8:72" ht="44.55" x14ac:dyDescent="0.25">
      <c r="H187" s="106" t="s">
        <v>354</v>
      </c>
      <c r="I187" s="31">
        <f>I186*1.1</f>
        <v>371.22800000000007</v>
      </c>
      <c r="J187" s="10" t="s">
        <v>113</v>
      </c>
      <c r="K187" s="10"/>
      <c r="Y187" s="19"/>
      <c r="Z187" t="s">
        <v>114</v>
      </c>
      <c r="AA187" s="27">
        <v>6.5833000000000004</v>
      </c>
      <c r="AB187" s="27" t="s">
        <v>52</v>
      </c>
      <c r="AC187" s="27"/>
      <c r="AF187" s="21"/>
      <c r="AH187" s="81"/>
      <c r="AI187" s="60"/>
      <c r="AJ187" s="60"/>
      <c r="AK187" s="60"/>
      <c r="AL187" s="60"/>
      <c r="AM187" s="60"/>
      <c r="AN187" s="60"/>
      <c r="AO187" s="60"/>
      <c r="AP187" s="60"/>
      <c r="AQ187" s="61"/>
      <c r="AW187" s="120" t="s">
        <v>132</v>
      </c>
      <c r="AX187" s="118">
        <f>AX186*1.1</f>
        <v>42.392050903246293</v>
      </c>
      <c r="AY187" s="118" t="s">
        <v>113</v>
      </c>
      <c r="AZ187" s="118"/>
      <c r="BA187" s="118"/>
      <c r="BB187" s="118"/>
      <c r="BC187" s="118"/>
      <c r="BD187" s="118"/>
      <c r="BE187" s="118"/>
      <c r="BF187" s="120" t="s">
        <v>132</v>
      </c>
      <c r="BG187" s="118">
        <f>BG186*1.1</f>
        <v>42.660465621685034</v>
      </c>
      <c r="BH187" s="118" t="s">
        <v>113</v>
      </c>
      <c r="BI187" s="118"/>
    </row>
    <row r="188" spans="8:72" x14ac:dyDescent="0.25">
      <c r="I188" s="105"/>
      <c r="Y188" s="19"/>
      <c r="AA188" s="27"/>
      <c r="AB188" s="27"/>
      <c r="AC188" s="27"/>
      <c r="AF188" s="21"/>
      <c r="AH188" s="62"/>
      <c r="AI188" s="63"/>
      <c r="AJ188" s="63"/>
      <c r="AK188" s="63"/>
      <c r="AL188" s="63"/>
      <c r="AM188" s="63"/>
      <c r="AN188" s="63"/>
      <c r="AO188" s="63"/>
      <c r="AP188" s="63"/>
      <c r="AQ188" s="66"/>
      <c r="AW188" s="118" t="s">
        <v>358</v>
      </c>
      <c r="AX188" s="118">
        <v>0</v>
      </c>
      <c r="AY188" s="118"/>
      <c r="AZ188" s="118"/>
      <c r="BA188" s="118"/>
      <c r="BB188" s="118"/>
      <c r="BC188" s="118">
        <f>AX171+BG171+AX189+BG189+AX208+BG208+AX243+BG243</f>
        <v>0</v>
      </c>
      <c r="BD188" s="118"/>
      <c r="BE188" s="118"/>
      <c r="BF188" s="118" t="s">
        <v>358</v>
      </c>
      <c r="BG188" s="118">
        <v>0</v>
      </c>
      <c r="BH188" s="118"/>
      <c r="BI188" s="118"/>
    </row>
    <row r="189" spans="8:72" x14ac:dyDescent="0.25">
      <c r="H189" t="s">
        <v>384</v>
      </c>
      <c r="Y189" s="19" t="s">
        <v>419</v>
      </c>
      <c r="Z189" s="28" t="s">
        <v>422</v>
      </c>
      <c r="AA189">
        <f>30-2</f>
        <v>28</v>
      </c>
      <c r="AB189" t="s">
        <v>92</v>
      </c>
      <c r="AD189" s="25"/>
      <c r="AF189" s="21"/>
      <c r="AH189" s="62"/>
      <c r="AI189" s="211" t="s">
        <v>138</v>
      </c>
      <c r="AJ189" s="63"/>
      <c r="AK189" s="63">
        <f>1.1*AK185</f>
        <v>310.55764028296136</v>
      </c>
      <c r="AL189" s="63" t="s">
        <v>137</v>
      </c>
      <c r="AM189" s="63"/>
      <c r="AN189" s="63"/>
      <c r="AO189" s="63"/>
      <c r="AP189" s="63"/>
      <c r="AQ189" s="66"/>
      <c r="AW189" s="118" t="s">
        <v>359</v>
      </c>
      <c r="AX189" s="118">
        <f>AX188*AX187*2</f>
        <v>0</v>
      </c>
      <c r="AY189" s="118"/>
      <c r="AZ189" s="118"/>
      <c r="BA189" s="118"/>
      <c r="BB189" s="118"/>
      <c r="BC189" s="118"/>
      <c r="BD189" s="118"/>
      <c r="BE189" s="118"/>
      <c r="BF189" s="118" t="s">
        <v>359</v>
      </c>
      <c r="BG189" s="118">
        <f>BG188*BG187*2</f>
        <v>0</v>
      </c>
      <c r="BH189" s="118"/>
      <c r="BI189" s="118"/>
    </row>
    <row r="190" spans="8:72" x14ac:dyDescent="0.25">
      <c r="H190" s="10" t="s">
        <v>344</v>
      </c>
      <c r="I190" s="10">
        <v>1</v>
      </c>
      <c r="J190" s="10" t="s">
        <v>52</v>
      </c>
      <c r="K190" s="10"/>
      <c r="Y190" s="107"/>
      <c r="AA190">
        <f>AA189/12</f>
        <v>2.3333333333333335</v>
      </c>
      <c r="AB190" t="s">
        <v>52</v>
      </c>
      <c r="AD190" s="25"/>
      <c r="AF190" s="21"/>
      <c r="AH190" s="82"/>
      <c r="AI190" s="218"/>
      <c r="AJ190" s="76"/>
      <c r="AK190" s="76"/>
      <c r="AL190" s="76"/>
      <c r="AM190" s="76"/>
      <c r="AN190" s="76"/>
      <c r="AO190" s="76"/>
      <c r="AP190" s="76"/>
      <c r="AQ190" s="77"/>
      <c r="AW190" s="118"/>
      <c r="AX190" s="118"/>
      <c r="AY190" s="118"/>
      <c r="AZ190" s="118"/>
      <c r="BA190" s="118"/>
      <c r="BB190" s="118"/>
      <c r="BC190" s="118"/>
      <c r="BD190" s="118"/>
      <c r="BE190" s="118"/>
      <c r="BF190" s="118"/>
      <c r="BG190" s="118"/>
      <c r="BH190" s="118"/>
      <c r="BI190" s="118"/>
      <c r="BM190" t="s">
        <v>374</v>
      </c>
    </row>
    <row r="191" spans="8:72" x14ac:dyDescent="0.25">
      <c r="H191" s="10" t="s">
        <v>345</v>
      </c>
      <c r="I191">
        <v>1</v>
      </c>
      <c r="J191" s="10" t="s">
        <v>52</v>
      </c>
      <c r="K191" s="10"/>
      <c r="Y191" s="19"/>
      <c r="AF191" s="21"/>
      <c r="AH191" s="81"/>
      <c r="AI191" s="60"/>
      <c r="AJ191" s="60"/>
      <c r="AK191" s="60"/>
      <c r="AL191" s="60"/>
      <c r="AM191" s="60"/>
      <c r="AN191" s="60"/>
      <c r="AO191" s="60"/>
      <c r="AP191" s="60"/>
      <c r="AQ191" s="61"/>
      <c r="AW191" s="118"/>
      <c r="AX191" s="118"/>
      <c r="AY191" s="118"/>
      <c r="AZ191" s="121"/>
      <c r="BA191" s="118"/>
      <c r="BB191" s="118"/>
      <c r="BC191" s="118"/>
      <c r="BD191" s="118"/>
      <c r="BE191" s="118"/>
      <c r="BF191" s="118"/>
      <c r="BG191" s="118"/>
      <c r="BH191" s="118"/>
      <c r="BI191" s="121"/>
      <c r="BO191">
        <v>8</v>
      </c>
      <c r="BP191" t="s">
        <v>92</v>
      </c>
      <c r="BR191" t="s">
        <v>364</v>
      </c>
      <c r="BS191">
        <f>PI()*BO191/12*BQ198</f>
        <v>43.982297150257104</v>
      </c>
    </row>
    <row r="192" spans="8:72" x14ac:dyDescent="0.25">
      <c r="H192" s="10" t="s">
        <v>346</v>
      </c>
      <c r="I192" s="41">
        <v>6.93</v>
      </c>
      <c r="J192" s="10" t="s">
        <v>52</v>
      </c>
      <c r="K192" s="10"/>
      <c r="Y192" s="19"/>
      <c r="AF192" s="21"/>
      <c r="AH192" s="62"/>
      <c r="AI192" s="211" t="s">
        <v>139</v>
      </c>
      <c r="AJ192" s="63"/>
      <c r="AK192" s="63">
        <v>18</v>
      </c>
      <c r="AL192" s="63"/>
      <c r="AM192" s="63"/>
      <c r="AN192" s="63"/>
      <c r="AO192" s="63"/>
      <c r="AP192" s="63"/>
      <c r="AQ192" s="66"/>
      <c r="AW192" s="118"/>
      <c r="AX192" s="118">
        <f>SQRT((AX197)^2+(AZ194)^2)</f>
        <v>14.597813671916764</v>
      </c>
      <c r="AY192" s="118"/>
      <c r="AZ192" s="121"/>
      <c r="BA192" s="118"/>
      <c r="BB192" s="118"/>
      <c r="BC192" s="118"/>
      <c r="BD192" s="118"/>
      <c r="BE192" s="118"/>
      <c r="BF192" s="118"/>
      <c r="BG192" s="118">
        <f>SQRT((BG197)^2+(BI194)^2)</f>
        <v>14.690242982673908</v>
      </c>
      <c r="BH192" s="118"/>
      <c r="BI192" s="121"/>
      <c r="BR192" t="s">
        <v>358</v>
      </c>
      <c r="BS192">
        <v>2</v>
      </c>
      <c r="BT192" t="s">
        <v>116</v>
      </c>
    </row>
    <row r="193" spans="1:72" x14ac:dyDescent="0.25">
      <c r="H193" s="10" t="s">
        <v>347</v>
      </c>
      <c r="I193">
        <v>6.5830000000000002</v>
      </c>
      <c r="J193" s="10" t="s">
        <v>52</v>
      </c>
      <c r="K193" s="10"/>
      <c r="Y193" s="19"/>
      <c r="AF193" s="21"/>
      <c r="AH193" s="62"/>
      <c r="AI193" s="211"/>
      <c r="AJ193" s="63"/>
      <c r="AK193" s="63"/>
      <c r="AL193" s="63"/>
      <c r="AM193" s="63"/>
      <c r="AN193" s="63"/>
      <c r="AO193" s="63"/>
      <c r="AP193" s="63"/>
      <c r="AQ193" s="66"/>
      <c r="AW193" s="118"/>
      <c r="AX193" s="118"/>
      <c r="AY193" s="118"/>
      <c r="AZ193" s="121"/>
      <c r="BA193" s="118"/>
      <c r="BB193" s="118"/>
      <c r="BC193" s="118"/>
      <c r="BD193" s="118"/>
      <c r="BE193" s="118"/>
      <c r="BF193" s="118"/>
      <c r="BG193" s="118"/>
      <c r="BH193" s="118"/>
      <c r="BI193" s="121"/>
      <c r="BR193" t="s">
        <v>361</v>
      </c>
      <c r="BS193">
        <f>BS191*BS192</f>
        <v>87.964594300514207</v>
      </c>
    </row>
    <row r="194" spans="1:72" x14ac:dyDescent="0.25">
      <c r="H194" s="10" t="s">
        <v>106</v>
      </c>
      <c r="I194" s="33" t="s">
        <v>193</v>
      </c>
      <c r="J194" s="35"/>
      <c r="K194" s="10"/>
      <c r="Y194" s="19"/>
      <c r="Z194">
        <f>(AA189-2)/12</f>
        <v>2.1666666666666665</v>
      </c>
      <c r="AA194" t="s">
        <v>2</v>
      </c>
      <c r="AC194">
        <f>SQRT((AB198)^2+(Z194)^2)</f>
        <v>6.9306769751911279</v>
      </c>
      <c r="AD194" t="s">
        <v>2</v>
      </c>
      <c r="AF194" s="21"/>
      <c r="AH194" s="82"/>
      <c r="AI194" s="76"/>
      <c r="AJ194" s="76"/>
      <c r="AK194" s="76"/>
      <c r="AL194" s="76"/>
      <c r="AM194" s="76"/>
      <c r="AN194" s="76"/>
      <c r="AO194" s="76"/>
      <c r="AP194" s="76"/>
      <c r="AQ194" s="77"/>
      <c r="AW194" s="118"/>
      <c r="AX194" s="118"/>
      <c r="AY194" s="118"/>
      <c r="AZ194" s="121">
        <f>AX184</f>
        <v>9.83</v>
      </c>
      <c r="BA194" s="118"/>
      <c r="BB194" s="118"/>
      <c r="BC194" s="118"/>
      <c r="BD194" s="118"/>
      <c r="BE194" s="118"/>
      <c r="BF194" s="118"/>
      <c r="BG194" s="118"/>
      <c r="BH194" s="118"/>
      <c r="BI194" s="121">
        <f>BG184</f>
        <v>9.83</v>
      </c>
      <c r="BR194" t="s">
        <v>367</v>
      </c>
      <c r="BS194" s="7">
        <f>BS193*1.1</f>
        <v>96.761053730565635</v>
      </c>
      <c r="BT194" t="s">
        <v>40</v>
      </c>
    </row>
    <row r="195" spans="1:72" ht="103.95" x14ac:dyDescent="0.25">
      <c r="H195" s="10" t="s">
        <v>128</v>
      </c>
      <c r="I195" s="33">
        <v>141</v>
      </c>
      <c r="J195" s="35"/>
      <c r="K195" s="10"/>
      <c r="Y195" s="19"/>
      <c r="Z195">
        <f>Z194*12</f>
        <v>26</v>
      </c>
      <c r="AF195" s="21"/>
      <c r="AH195" s="83"/>
      <c r="AI195" s="84" t="s">
        <v>140</v>
      </c>
      <c r="AJ195" s="85"/>
      <c r="AK195" s="85">
        <f>AK189*AK192</f>
        <v>5590.0375250933048</v>
      </c>
      <c r="AL195" s="85" t="s">
        <v>137</v>
      </c>
      <c r="AM195" s="85"/>
      <c r="AN195" s="85"/>
      <c r="AO195" s="85"/>
      <c r="AP195" s="85"/>
      <c r="AQ195" s="86"/>
      <c r="AW195" s="118"/>
      <c r="AX195" s="118"/>
      <c r="AY195" s="118"/>
      <c r="AZ195" s="121"/>
      <c r="BA195" s="118"/>
      <c r="BB195" s="118"/>
      <c r="BC195" s="118"/>
      <c r="BD195" s="118"/>
      <c r="BE195" s="118"/>
      <c r="BF195" s="118"/>
      <c r="BG195" s="118"/>
      <c r="BH195" s="118"/>
      <c r="BI195" s="121"/>
    </row>
    <row r="196" spans="1:72" x14ac:dyDescent="0.25">
      <c r="H196" s="10" t="s">
        <v>112</v>
      </c>
      <c r="I196" s="10">
        <f>((I192*I190)+(I191*I193)*2)*I195</f>
        <v>2833.5360000000001</v>
      </c>
      <c r="J196" s="10" t="s">
        <v>113</v>
      </c>
      <c r="K196" s="10"/>
      <c r="Y196" s="19"/>
      <c r="AF196" s="21"/>
      <c r="AW196" s="118"/>
      <c r="AX196" s="118"/>
      <c r="AY196" s="118"/>
      <c r="AZ196" s="121"/>
      <c r="BA196" s="118"/>
      <c r="BB196" s="118"/>
      <c r="BC196" s="118"/>
      <c r="BD196" s="118"/>
      <c r="BE196" s="118"/>
      <c r="BF196" s="118"/>
      <c r="BG196" s="118"/>
      <c r="BH196" s="118"/>
      <c r="BI196" s="121"/>
    </row>
    <row r="197" spans="1:72" ht="29.7" x14ac:dyDescent="0.25">
      <c r="H197" s="106" t="s">
        <v>354</v>
      </c>
      <c r="I197" s="31">
        <f>I196*1.1</f>
        <v>3116.8896000000004</v>
      </c>
      <c r="J197" s="10" t="s">
        <v>113</v>
      </c>
      <c r="K197" s="10"/>
      <c r="Y197" s="19"/>
      <c r="AF197" s="21"/>
      <c r="AW197" s="122"/>
      <c r="AX197" s="122">
        <f>AX183</f>
        <v>10.792</v>
      </c>
      <c r="AY197" s="122"/>
      <c r="AZ197" s="118"/>
      <c r="BA197" s="118"/>
      <c r="BB197" s="118"/>
      <c r="BC197" s="118"/>
      <c r="BD197" s="118"/>
      <c r="BE197" s="118"/>
      <c r="BF197" s="122"/>
      <c r="BG197" s="122">
        <f>BG183</f>
        <v>10.916700000000001</v>
      </c>
      <c r="BH197" s="122"/>
      <c r="BI197" s="118"/>
    </row>
    <row r="198" spans="1:72" x14ac:dyDescent="0.25">
      <c r="Y198" s="19"/>
      <c r="AB198" s="27">
        <f>AA187</f>
        <v>6.5833000000000004</v>
      </c>
      <c r="AF198" s="21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  <c r="BH198" s="118"/>
      <c r="BI198" s="118"/>
      <c r="BQ198">
        <v>21</v>
      </c>
      <c r="BR198" t="s">
        <v>52</v>
      </c>
    </row>
    <row r="199" spans="1:72" x14ac:dyDescent="0.25">
      <c r="Y199" s="19"/>
      <c r="AF199" s="21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8"/>
      <c r="BH199" s="118"/>
      <c r="BI199" s="118"/>
    </row>
    <row r="200" spans="1:72" x14ac:dyDescent="0.25">
      <c r="H200" t="s">
        <v>385</v>
      </c>
      <c r="Y200" s="19" t="s">
        <v>348</v>
      </c>
      <c r="AB200" s="27">
        <f>(1*AB198)</f>
        <v>6.5833000000000004</v>
      </c>
      <c r="AC200" t="s">
        <v>125</v>
      </c>
      <c r="AF200" s="21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  <c r="BH200" s="118"/>
      <c r="BI200" s="118"/>
    </row>
    <row r="201" spans="1:72" x14ac:dyDescent="0.25">
      <c r="H201" s="10" t="s">
        <v>91</v>
      </c>
      <c r="I201" s="10">
        <f>0</f>
        <v>0</v>
      </c>
      <c r="J201" s="10" t="s">
        <v>52</v>
      </c>
      <c r="K201" s="10"/>
      <c r="Y201" s="19" t="s">
        <v>349</v>
      </c>
      <c r="AB201">
        <f>AC194*2</f>
        <v>13.861353950382256</v>
      </c>
      <c r="AC201" t="s">
        <v>125</v>
      </c>
      <c r="AF201" s="21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8"/>
      <c r="BH201" s="118"/>
      <c r="BI201" s="118"/>
    </row>
    <row r="202" spans="1:72" x14ac:dyDescent="0.25">
      <c r="H202" s="10" t="s">
        <v>100</v>
      </c>
      <c r="I202" s="41">
        <f>0</f>
        <v>0</v>
      </c>
      <c r="J202" s="10" t="s">
        <v>52</v>
      </c>
      <c r="K202" s="10"/>
      <c r="Y202" s="48" t="s">
        <v>350</v>
      </c>
      <c r="AB202" s="1">
        <f>(0.25*4*AB201)+(20/12*AB200)</f>
        <v>24.833520617048926</v>
      </c>
      <c r="AC202" t="s">
        <v>126</v>
      </c>
      <c r="AF202" s="21"/>
      <c r="AW202" s="118" t="s">
        <v>357</v>
      </c>
      <c r="AX202" s="118">
        <v>14.25</v>
      </c>
      <c r="AY202" s="118" t="s">
        <v>52</v>
      </c>
      <c r="AZ202" s="118"/>
      <c r="BA202" s="118"/>
      <c r="BB202" s="118"/>
      <c r="BC202" s="118"/>
      <c r="BD202" s="118"/>
      <c r="BE202" s="118"/>
      <c r="BF202" s="118" t="s">
        <v>357</v>
      </c>
      <c r="BG202" s="118">
        <v>10.75</v>
      </c>
      <c r="BH202" s="118" t="s">
        <v>52</v>
      </c>
      <c r="BI202" s="118"/>
    </row>
    <row r="203" spans="1:72" x14ac:dyDescent="0.25">
      <c r="H203" s="10" t="s">
        <v>106</v>
      </c>
      <c r="I203" t="s">
        <v>385</v>
      </c>
      <c r="K203" s="10"/>
      <c r="Y203" s="19" t="s">
        <v>132</v>
      </c>
      <c r="AA203" t="s">
        <v>133</v>
      </c>
      <c r="AB203" s="27">
        <f>AB202*1.1</f>
        <v>27.316872678753821</v>
      </c>
      <c r="AC203" t="s">
        <v>126</v>
      </c>
      <c r="AF203" s="21"/>
      <c r="AW203" s="118" t="s">
        <v>114</v>
      </c>
      <c r="AX203" s="118">
        <v>9.83</v>
      </c>
      <c r="AY203" s="118" t="s">
        <v>52</v>
      </c>
      <c r="AZ203" s="118"/>
      <c r="BA203" s="118"/>
      <c r="BB203" s="118"/>
      <c r="BC203" s="118"/>
      <c r="BD203" s="118"/>
      <c r="BE203" s="118"/>
      <c r="BF203" s="118" t="s">
        <v>114</v>
      </c>
      <c r="BG203" s="118">
        <v>9.83</v>
      </c>
      <c r="BH203" s="118" t="s">
        <v>52</v>
      </c>
      <c r="BI203" s="118"/>
    </row>
    <row r="204" spans="1:72" x14ac:dyDescent="0.25">
      <c r="H204" s="10" t="s">
        <v>128</v>
      </c>
      <c r="I204" s="33">
        <v>0</v>
      </c>
      <c r="J204" s="35"/>
      <c r="K204" s="10"/>
      <c r="Y204" s="49" t="s">
        <v>438</v>
      </c>
      <c r="Z204" s="3"/>
      <c r="AA204" s="3"/>
      <c r="AB204" s="135">
        <f>AB200+AB201</f>
        <v>20.444653950382257</v>
      </c>
      <c r="AC204" s="3"/>
      <c r="AD204" s="3"/>
      <c r="AE204" s="3"/>
      <c r="AF204" s="44"/>
      <c r="AW204" s="118" t="s">
        <v>356</v>
      </c>
      <c r="AX204" s="118">
        <f>2*(SQRT((AX216)^2+(AZ213)^2))</f>
        <v>34.623194537766153</v>
      </c>
      <c r="AY204" s="118" t="s">
        <v>52</v>
      </c>
      <c r="AZ204" s="118"/>
      <c r="BA204" s="118"/>
      <c r="BB204" s="118"/>
      <c r="BC204" s="118"/>
      <c r="BD204" s="118"/>
      <c r="BE204" s="118"/>
      <c r="BF204" s="118" t="s">
        <v>356</v>
      </c>
      <c r="BG204" s="118">
        <f>2*(SQRT((BG216)^2+(BI213)^2))</f>
        <v>29.133581997413224</v>
      </c>
      <c r="BH204" s="118" t="s">
        <v>52</v>
      </c>
      <c r="BI204" s="118"/>
    </row>
    <row r="205" spans="1:72" x14ac:dyDescent="0.25">
      <c r="H205" s="10" t="s">
        <v>112</v>
      </c>
      <c r="I205" s="10">
        <f>I202*I201*I204</f>
        <v>0</v>
      </c>
      <c r="J205" s="10" t="s">
        <v>113</v>
      </c>
      <c r="K205" s="10"/>
      <c r="AW205" s="119" t="s">
        <v>343</v>
      </c>
      <c r="AX205" s="118">
        <f>0.33*4*AX204</f>
        <v>45.702616789851326</v>
      </c>
      <c r="AY205" s="118" t="s">
        <v>113</v>
      </c>
      <c r="AZ205" s="118"/>
      <c r="BA205" s="118"/>
      <c r="BB205" s="118"/>
      <c r="BC205" s="118"/>
      <c r="BD205" s="118"/>
      <c r="BE205" s="118"/>
      <c r="BF205" s="119" t="s">
        <v>343</v>
      </c>
      <c r="BG205" s="118">
        <f>0.33*4*BG204</f>
        <v>38.456328236585456</v>
      </c>
      <c r="BH205" s="118" t="s">
        <v>113</v>
      </c>
      <c r="BI205" s="118"/>
    </row>
    <row r="206" spans="1:72" ht="44.55" x14ac:dyDescent="0.25">
      <c r="H206" s="106" t="s">
        <v>354</v>
      </c>
      <c r="I206" s="31">
        <f>I205*1.1</f>
        <v>0</v>
      </c>
      <c r="J206" s="10" t="s">
        <v>113</v>
      </c>
      <c r="K206" s="10"/>
      <c r="AW206" s="120" t="s">
        <v>132</v>
      </c>
      <c r="AX206" s="118">
        <f>AX205*1.1</f>
        <v>50.27287846883646</v>
      </c>
      <c r="AY206" s="118" t="s">
        <v>113</v>
      </c>
      <c r="AZ206" s="118"/>
      <c r="BA206" s="118"/>
      <c r="BB206" s="118"/>
      <c r="BC206" s="118"/>
      <c r="BD206" s="118"/>
      <c r="BE206" s="118"/>
      <c r="BF206" s="120" t="s">
        <v>132</v>
      </c>
      <c r="BG206" s="118">
        <f>BG205*1.1</f>
        <v>42.301961060244004</v>
      </c>
      <c r="BH206" s="118" t="s">
        <v>113</v>
      </c>
      <c r="BI206" s="118"/>
    </row>
    <row r="207" spans="1:72" x14ac:dyDescent="0.25">
      <c r="AW207" s="118" t="s">
        <v>358</v>
      </c>
      <c r="AX207" s="118">
        <v>0</v>
      </c>
      <c r="AY207" s="118"/>
      <c r="AZ207" s="118"/>
      <c r="BA207" s="118"/>
      <c r="BB207" s="118"/>
      <c r="BC207" s="118"/>
      <c r="BD207" s="118"/>
      <c r="BE207" s="118"/>
      <c r="BF207" s="118" t="s">
        <v>358</v>
      </c>
      <c r="BG207" s="118">
        <v>0</v>
      </c>
      <c r="BH207" s="118"/>
      <c r="BI207" s="118"/>
    </row>
    <row r="208" spans="1:72" x14ac:dyDescent="0.25">
      <c r="A208" s="56" t="s">
        <v>416</v>
      </c>
      <c r="AW208" s="118" t="s">
        <v>359</v>
      </c>
      <c r="AX208" s="118">
        <f>AX207*AX206*2</f>
        <v>0</v>
      </c>
      <c r="AY208" s="118"/>
      <c r="AZ208" s="118"/>
      <c r="BA208" s="118"/>
      <c r="BB208" s="118"/>
      <c r="BC208" s="118"/>
      <c r="BD208" s="118"/>
      <c r="BE208" s="118"/>
      <c r="BF208" s="118" t="s">
        <v>359</v>
      </c>
      <c r="BG208" s="118">
        <f>BG207*BG206*2</f>
        <v>0</v>
      </c>
      <c r="BH208" s="118"/>
      <c r="BI208" s="118"/>
    </row>
    <row r="209" spans="1:61" x14ac:dyDescent="0.25">
      <c r="A209" s="7" t="s">
        <v>57</v>
      </c>
      <c r="B209" s="7"/>
      <c r="C209" s="7">
        <v>0</v>
      </c>
      <c r="D209" s="7" t="s">
        <v>116</v>
      </c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  <c r="BH209" s="118"/>
      <c r="BI209" s="118"/>
    </row>
    <row r="210" spans="1:61" x14ac:dyDescent="0.25">
      <c r="AW210" s="118"/>
      <c r="AX210" s="118"/>
      <c r="AY210" s="118"/>
      <c r="AZ210" s="121"/>
      <c r="BA210" s="118"/>
      <c r="BB210" s="118"/>
      <c r="BC210" s="118"/>
      <c r="BD210" s="118"/>
      <c r="BE210" s="118"/>
      <c r="BF210" s="118"/>
      <c r="BG210" s="118"/>
      <c r="BH210" s="118"/>
      <c r="BI210" s="121"/>
    </row>
    <row r="211" spans="1:61" x14ac:dyDescent="0.25">
      <c r="A211" s="56" t="s">
        <v>415</v>
      </c>
      <c r="B211" s="6"/>
      <c r="C211" s="6"/>
      <c r="AW211" s="118"/>
      <c r="AX211" s="118">
        <f>SQRT((AX216)^2+(AZ213)^2)</f>
        <v>17.311597268883077</v>
      </c>
      <c r="AY211" s="118"/>
      <c r="AZ211" s="121"/>
      <c r="BA211" s="118"/>
      <c r="BB211" s="118"/>
      <c r="BC211" s="118"/>
      <c r="BD211" s="118"/>
      <c r="BE211" s="118"/>
      <c r="BF211" s="118"/>
      <c r="BG211" s="118">
        <f>SQRT((BG216)^2+(BI213)^2)</f>
        <v>14.566790998706612</v>
      </c>
      <c r="BH211" s="118"/>
      <c r="BI211" s="121"/>
    </row>
    <row r="212" spans="1:61" x14ac:dyDescent="0.25">
      <c r="A212" s="7" t="s">
        <v>409</v>
      </c>
      <c r="B212" s="7"/>
      <c r="C212" s="127">
        <f>0</f>
        <v>0</v>
      </c>
      <c r="D212" s="7" t="s">
        <v>137</v>
      </c>
      <c r="E212" s="7"/>
      <c r="AW212" s="118"/>
      <c r="AX212" s="118"/>
      <c r="AY212" s="118"/>
      <c r="AZ212" s="121"/>
      <c r="BA212" s="118"/>
      <c r="BB212" s="118"/>
      <c r="BC212" s="118"/>
      <c r="BD212" s="118"/>
      <c r="BE212" s="118"/>
      <c r="BF212" s="118"/>
      <c r="BG212" s="118"/>
      <c r="BH212" s="118"/>
      <c r="BI212" s="121"/>
    </row>
    <row r="213" spans="1:61" x14ac:dyDescent="0.25">
      <c r="AW213" s="118"/>
      <c r="AX213" s="118"/>
      <c r="AY213" s="118"/>
      <c r="AZ213" s="121">
        <f>AX203</f>
        <v>9.83</v>
      </c>
      <c r="BA213" s="118"/>
      <c r="BB213" s="118"/>
      <c r="BC213" s="118"/>
      <c r="BD213" s="118"/>
      <c r="BE213" s="118"/>
      <c r="BF213" s="118"/>
      <c r="BG213" s="118"/>
      <c r="BH213" s="118"/>
      <c r="BI213" s="121">
        <f>BG203</f>
        <v>9.83</v>
      </c>
    </row>
    <row r="214" spans="1:61" x14ac:dyDescent="0.25">
      <c r="AW214" s="118"/>
      <c r="AX214" s="118"/>
      <c r="AY214" s="118"/>
      <c r="AZ214" s="121"/>
      <c r="BA214" s="118"/>
      <c r="BB214" s="118"/>
      <c r="BC214" s="118"/>
      <c r="BD214" s="118"/>
      <c r="BE214" s="118"/>
      <c r="BF214" s="118"/>
      <c r="BG214" s="118"/>
      <c r="BH214" s="118"/>
      <c r="BI214" s="121"/>
    </row>
    <row r="215" spans="1:61" x14ac:dyDescent="0.25">
      <c r="AW215" s="118"/>
      <c r="AX215" s="118"/>
      <c r="AY215" s="118"/>
      <c r="AZ215" s="121"/>
      <c r="BA215" s="118"/>
      <c r="BB215" s="118"/>
      <c r="BC215" s="118"/>
      <c r="BD215" s="118"/>
      <c r="BE215" s="118"/>
      <c r="BF215" s="118"/>
      <c r="BG215" s="118"/>
      <c r="BH215" s="118"/>
      <c r="BI215" s="121"/>
    </row>
    <row r="216" spans="1:61" x14ac:dyDescent="0.25">
      <c r="A216" s="56" t="s">
        <v>426</v>
      </c>
      <c r="AW216" s="122"/>
      <c r="AX216" s="122">
        <f>AX202</f>
        <v>14.25</v>
      </c>
      <c r="AY216" s="122"/>
      <c r="AZ216" s="118"/>
      <c r="BA216" s="118"/>
      <c r="BB216" s="118"/>
      <c r="BC216" s="118"/>
      <c r="BD216" s="118"/>
      <c r="BE216" s="118"/>
      <c r="BF216" s="122"/>
      <c r="BG216" s="122">
        <f>BG202</f>
        <v>10.75</v>
      </c>
      <c r="BH216" s="122"/>
      <c r="BI216" s="118"/>
    </row>
    <row r="217" spans="1:61" x14ac:dyDescent="0.25"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  <c r="BH217" s="118"/>
      <c r="BI217" s="118"/>
    </row>
    <row r="218" spans="1:61" x14ac:dyDescent="0.25">
      <c r="A218" t="s">
        <v>143</v>
      </c>
      <c r="D218" s="25">
        <f>AVERAGE(82,76)</f>
        <v>79</v>
      </c>
      <c r="E218" t="s">
        <v>2</v>
      </c>
      <c r="F218" t="s">
        <v>432</v>
      </c>
      <c r="AW218" s="118"/>
      <c r="AX218" s="118"/>
      <c r="AY218" s="118"/>
      <c r="AZ218" s="118"/>
      <c r="BA218" s="118"/>
      <c r="BB218" s="118"/>
      <c r="BC218" s="118"/>
      <c r="BD218" s="118"/>
      <c r="BE218" s="118"/>
      <c r="BF218" s="118"/>
      <c r="BG218" s="118"/>
      <c r="BH218" s="118"/>
      <c r="BI218" s="118"/>
    </row>
    <row r="219" spans="1:61" x14ac:dyDescent="0.25">
      <c r="A219" t="s">
        <v>146</v>
      </c>
      <c r="D219">
        <v>0</v>
      </c>
      <c r="E219" t="s">
        <v>72</v>
      </c>
      <c r="AW219" s="118" t="s">
        <v>357</v>
      </c>
      <c r="AX219" s="118">
        <v>13.583</v>
      </c>
      <c r="AY219" s="118" t="s">
        <v>52</v>
      </c>
      <c r="AZ219" s="118"/>
      <c r="BA219" s="118"/>
      <c r="BB219" s="118"/>
      <c r="BC219" s="118"/>
      <c r="BD219" s="118"/>
      <c r="BE219" s="118"/>
      <c r="BF219" s="118" t="s">
        <v>357</v>
      </c>
      <c r="BG219" s="118">
        <v>11.25</v>
      </c>
      <c r="BH219" s="118" t="s">
        <v>52</v>
      </c>
      <c r="BI219" s="118"/>
    </row>
    <row r="220" spans="1:61" x14ac:dyDescent="0.25">
      <c r="AW220" s="118" t="s">
        <v>114</v>
      </c>
      <c r="AX220" s="118">
        <v>9.83</v>
      </c>
      <c r="AY220" s="118" t="s">
        <v>52</v>
      </c>
      <c r="AZ220" s="118"/>
      <c r="BA220" s="118"/>
      <c r="BB220" s="118"/>
      <c r="BC220" s="118"/>
      <c r="BD220" s="118"/>
      <c r="BE220" s="118"/>
      <c r="BF220" s="118" t="s">
        <v>114</v>
      </c>
      <c r="BG220" s="118">
        <v>9.83</v>
      </c>
      <c r="BH220" s="118" t="s">
        <v>52</v>
      </c>
      <c r="BI220" s="118"/>
    </row>
    <row r="221" spans="1:61" x14ac:dyDescent="0.25">
      <c r="A221" t="s">
        <v>194</v>
      </c>
      <c r="D221" s="1">
        <v>84</v>
      </c>
      <c r="E221" t="s">
        <v>2</v>
      </c>
      <c r="AW221" s="118" t="s">
        <v>356</v>
      </c>
      <c r="AX221" s="118" t="e">
        <f>2*(SQRT((#REF!)^2+(AZ232)^2))</f>
        <v>#REF!</v>
      </c>
      <c r="AY221" s="118" t="s">
        <v>52</v>
      </c>
      <c r="AZ221" s="118"/>
      <c r="BA221" s="118"/>
      <c r="BB221" s="118"/>
      <c r="BC221" s="118"/>
      <c r="BD221" s="118"/>
      <c r="BE221" s="118"/>
      <c r="BF221" s="118" t="s">
        <v>356</v>
      </c>
      <c r="BG221" s="118" t="e">
        <f>2*(SQRT((#REF!)^2+(BI232)^2))</f>
        <v>#REF!</v>
      </c>
      <c r="BH221" s="118" t="s">
        <v>52</v>
      </c>
      <c r="BI221" s="118"/>
    </row>
    <row r="222" spans="1:61" x14ac:dyDescent="0.25">
      <c r="A222" t="s">
        <v>195</v>
      </c>
      <c r="D222" s="3">
        <v>81</v>
      </c>
      <c r="E222" s="3" t="s">
        <v>2</v>
      </c>
      <c r="AW222" s="119" t="s">
        <v>343</v>
      </c>
      <c r="AX222" s="118" t="e">
        <f>0.33*4*AX221</f>
        <v>#REF!</v>
      </c>
      <c r="AY222" s="118" t="s">
        <v>113</v>
      </c>
      <c r="AZ222" s="118"/>
      <c r="BA222" s="118"/>
      <c r="BB222" s="118"/>
      <c r="BC222" s="118"/>
      <c r="BD222" s="118"/>
      <c r="BE222" s="118"/>
      <c r="BF222" s="119" t="s">
        <v>343</v>
      </c>
      <c r="BG222" s="118" t="e">
        <f>0.33*4*BG221</f>
        <v>#REF!</v>
      </c>
      <c r="BH222" s="118" t="s">
        <v>113</v>
      </c>
      <c r="BI222" s="118"/>
    </row>
    <row r="223" spans="1:61" ht="44.55" x14ac:dyDescent="0.25">
      <c r="A223" t="s">
        <v>147</v>
      </c>
      <c r="D223" s="52">
        <f>SUM(D221:D222)</f>
        <v>165</v>
      </c>
      <c r="E223" s="7" t="s">
        <v>2</v>
      </c>
      <c r="AW223" s="120" t="s">
        <v>132</v>
      </c>
      <c r="AX223" s="118" t="e">
        <f>AX222*1.1</f>
        <v>#REF!</v>
      </c>
      <c r="AY223" s="118" t="s">
        <v>113</v>
      </c>
      <c r="AZ223" s="118"/>
      <c r="BA223" s="118"/>
      <c r="BB223" s="118"/>
      <c r="BC223" s="118"/>
      <c r="BD223" s="118"/>
      <c r="BE223" s="118"/>
      <c r="BF223" s="120" t="s">
        <v>132</v>
      </c>
      <c r="BG223" s="118" t="e">
        <f>BG222*1.1</f>
        <v>#REF!</v>
      </c>
      <c r="BH223" s="118" t="s">
        <v>113</v>
      </c>
      <c r="BI223" s="118"/>
    </row>
    <row r="224" spans="1:61" x14ac:dyDescent="0.25">
      <c r="AW224" s="118" t="s">
        <v>358</v>
      </c>
      <c r="AX224" s="118">
        <v>0</v>
      </c>
      <c r="AY224" s="118"/>
      <c r="AZ224" s="118"/>
      <c r="BA224" s="118"/>
      <c r="BB224" s="118"/>
      <c r="BC224" s="118"/>
      <c r="BD224" s="118"/>
      <c r="BE224" s="118"/>
      <c r="BF224" s="118" t="s">
        <v>358</v>
      </c>
      <c r="BG224" s="118">
        <v>0</v>
      </c>
      <c r="BH224" s="118"/>
      <c r="BI224" s="118"/>
    </row>
    <row r="225" spans="1:61" x14ac:dyDescent="0.25">
      <c r="AW225" s="118" t="s">
        <v>359</v>
      </c>
      <c r="AX225" s="118" t="e">
        <f>AX224*AX223*2</f>
        <v>#REF!</v>
      </c>
      <c r="AY225" s="118"/>
      <c r="AZ225" s="118"/>
      <c r="BA225" s="118"/>
      <c r="BB225" s="118"/>
      <c r="BC225" s="118"/>
      <c r="BD225" s="118"/>
      <c r="BE225" s="118"/>
      <c r="BF225" s="118" t="s">
        <v>359</v>
      </c>
      <c r="BG225" s="118" t="e">
        <f>BG224*BG223*2</f>
        <v>#REF!</v>
      </c>
      <c r="BH225" s="118"/>
      <c r="BI225" s="118"/>
    </row>
    <row r="226" spans="1:61" x14ac:dyDescent="0.25">
      <c r="AW226" s="118"/>
      <c r="AX226" s="118"/>
      <c r="AY226" s="118"/>
      <c r="AZ226" s="118"/>
      <c r="BA226" s="118"/>
      <c r="BB226" s="118"/>
      <c r="BC226" s="118"/>
      <c r="BD226" s="118"/>
      <c r="BE226" s="118"/>
      <c r="BF226" s="118"/>
      <c r="BG226" s="118"/>
      <c r="BH226" s="118"/>
      <c r="BI226" s="118"/>
    </row>
    <row r="227" spans="1:61" x14ac:dyDescent="0.25">
      <c r="A227" s="137" t="s">
        <v>203</v>
      </c>
      <c r="B227" s="136"/>
      <c r="C227" s="63"/>
      <c r="D227" s="63"/>
      <c r="E227" s="63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  <c r="BH227" s="118"/>
      <c r="BI227" s="118"/>
    </row>
    <row r="228" spans="1:61" x14ac:dyDescent="0.25">
      <c r="A228" s="63" t="s">
        <v>148</v>
      </c>
      <c r="B228" s="63"/>
      <c r="C228" s="63">
        <f>2*(0.5*1.333)</f>
        <v>1.333</v>
      </c>
      <c r="D228" s="63" t="s">
        <v>278</v>
      </c>
      <c r="E228" s="63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  <c r="BH228" s="118"/>
      <c r="BI228" s="118"/>
    </row>
    <row r="229" spans="1:61" x14ac:dyDescent="0.25">
      <c r="A229" s="63"/>
      <c r="B229" s="63"/>
      <c r="C229" s="63"/>
      <c r="D229" s="63"/>
      <c r="E229" s="63"/>
      <c r="AW229" s="118"/>
      <c r="AX229" s="118"/>
      <c r="AY229" s="118"/>
      <c r="AZ229" s="118"/>
      <c r="BA229" s="118"/>
      <c r="BB229" s="118"/>
      <c r="BC229" s="118"/>
      <c r="BD229" s="118"/>
      <c r="BE229" s="118"/>
      <c r="BF229" s="118"/>
      <c r="BG229" s="118"/>
      <c r="BH229" s="118"/>
      <c r="BI229" s="118"/>
    </row>
    <row r="230" spans="1:61" x14ac:dyDescent="0.25">
      <c r="A230" s="63" t="s">
        <v>149</v>
      </c>
      <c r="B230" s="63"/>
      <c r="C230" s="76">
        <f>2*(0.5*1.333)</f>
        <v>1.333</v>
      </c>
      <c r="D230" s="76" t="s">
        <v>278</v>
      </c>
      <c r="E230" s="63"/>
      <c r="AW230" s="118"/>
      <c r="AX230" s="118"/>
      <c r="AY230" s="118"/>
      <c r="AZ230" s="118"/>
      <c r="BA230" s="118"/>
      <c r="BB230" s="118"/>
      <c r="BC230" s="118"/>
      <c r="BD230" s="118"/>
      <c r="BE230" s="118"/>
      <c r="BF230" s="118"/>
      <c r="BG230" s="118"/>
      <c r="BH230" s="118"/>
      <c r="BI230" s="118"/>
    </row>
    <row r="231" spans="1:61" x14ac:dyDescent="0.25">
      <c r="A231" s="63"/>
      <c r="B231" s="63"/>
      <c r="C231" s="63">
        <f>SUM(C228:C230)</f>
        <v>2.6659999999999999</v>
      </c>
      <c r="D231" s="63" t="s">
        <v>278</v>
      </c>
      <c r="E231" s="63"/>
      <c r="AW231" s="118"/>
      <c r="AX231" s="118"/>
      <c r="AY231" s="118"/>
      <c r="AZ231" s="118"/>
      <c r="BA231" s="118"/>
      <c r="BB231" s="118"/>
      <c r="BC231" s="118"/>
      <c r="BD231" s="118"/>
      <c r="BE231" s="118"/>
      <c r="BF231" s="118"/>
      <c r="BG231" s="118"/>
      <c r="BH231" s="118"/>
      <c r="BI231" s="118"/>
    </row>
    <row r="232" spans="1:61" x14ac:dyDescent="0.25">
      <c r="AW232" s="118"/>
      <c r="AX232" s="118"/>
      <c r="AY232" s="118"/>
      <c r="AZ232" s="121">
        <f>AX220</f>
        <v>9.83</v>
      </c>
      <c r="BA232" s="118"/>
      <c r="BB232" s="118"/>
      <c r="BC232" s="118"/>
      <c r="BD232" s="118"/>
      <c r="BE232" s="118"/>
      <c r="BF232" s="118"/>
      <c r="BG232" s="118"/>
      <c r="BH232" s="118"/>
      <c r="BI232" s="121">
        <f>BG220</f>
        <v>9.83</v>
      </c>
    </row>
    <row r="233" spans="1:61" x14ac:dyDescent="0.25">
      <c r="AW233" s="118"/>
      <c r="AX233" s="118"/>
      <c r="AY233" s="118"/>
      <c r="AZ233" s="121"/>
      <c r="BA233" s="118"/>
      <c r="BB233" s="118"/>
      <c r="BC233" s="118"/>
      <c r="BD233" s="118"/>
      <c r="BE233" s="118"/>
      <c r="BF233" s="118"/>
      <c r="BG233" s="118"/>
      <c r="BH233" s="118"/>
      <c r="BI233" s="121"/>
    </row>
    <row r="234" spans="1:61" x14ac:dyDescent="0.25">
      <c r="A234" s="56" t="s">
        <v>380</v>
      </c>
      <c r="AW234" s="118"/>
      <c r="AX234" s="118"/>
      <c r="AY234" s="118"/>
      <c r="AZ234" s="121"/>
      <c r="BA234" s="118"/>
      <c r="BB234" s="118"/>
      <c r="BC234" s="118"/>
      <c r="BD234" s="118"/>
      <c r="BE234" s="118"/>
      <c r="BF234" s="118"/>
      <c r="BG234" s="118"/>
      <c r="BH234" s="118"/>
      <c r="BI234" s="121"/>
    </row>
    <row r="235" spans="1:61" x14ac:dyDescent="0.25">
      <c r="A235" t="s">
        <v>148</v>
      </c>
      <c r="C235">
        <v>13</v>
      </c>
      <c r="D235" t="s">
        <v>116</v>
      </c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18"/>
      <c r="BH235" s="118"/>
      <c r="BI235" s="118"/>
    </row>
    <row r="236" spans="1:61" x14ac:dyDescent="0.25"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/>
      <c r="BH236" s="118"/>
      <c r="BI236" s="118"/>
    </row>
    <row r="237" spans="1:61" x14ac:dyDescent="0.25">
      <c r="A237" t="s">
        <v>149</v>
      </c>
      <c r="C237" s="3">
        <v>13</v>
      </c>
      <c r="D237" s="3" t="s">
        <v>116</v>
      </c>
      <c r="AW237" s="118" t="s">
        <v>357</v>
      </c>
      <c r="AX237" s="118">
        <v>15.229200000000001</v>
      </c>
      <c r="AY237" s="118" t="s">
        <v>52</v>
      </c>
      <c r="AZ237" s="118"/>
      <c r="BA237" s="118"/>
      <c r="BB237" s="118"/>
      <c r="BC237" s="118"/>
      <c r="BD237" s="118"/>
      <c r="BE237" s="118"/>
      <c r="BF237" s="118" t="s">
        <v>357</v>
      </c>
      <c r="BG237" s="118">
        <v>14.771000000000001</v>
      </c>
      <c r="BH237" s="118" t="s">
        <v>52</v>
      </c>
      <c r="BI237" s="118"/>
    </row>
    <row r="238" spans="1:61" x14ac:dyDescent="0.25">
      <c r="C238" s="7">
        <f>SUM(C235:C237)</f>
        <v>26</v>
      </c>
      <c r="D238" s="7" t="s">
        <v>116</v>
      </c>
      <c r="AW238" s="118" t="s">
        <v>114</v>
      </c>
      <c r="AX238" s="118">
        <v>9.83</v>
      </c>
      <c r="AY238" s="118" t="s">
        <v>52</v>
      </c>
      <c r="AZ238" s="118"/>
      <c r="BA238" s="118"/>
      <c r="BB238" s="118"/>
      <c r="BC238" s="118"/>
      <c r="BD238" s="118"/>
      <c r="BE238" s="118"/>
      <c r="BF238" s="118" t="s">
        <v>114</v>
      </c>
      <c r="BG238" s="118">
        <v>9.83</v>
      </c>
      <c r="BH238" s="118" t="s">
        <v>52</v>
      </c>
      <c r="BI238" s="118"/>
    </row>
    <row r="239" spans="1:61" x14ac:dyDescent="0.25">
      <c r="AW239" s="118" t="s">
        <v>356</v>
      </c>
      <c r="AX239" s="118">
        <f>2*(SQRT((AX251)^2+(AZ248)^2))</f>
        <v>36.25230655503178</v>
      </c>
      <c r="AY239" s="118" t="s">
        <v>52</v>
      </c>
      <c r="AZ239" s="118"/>
      <c r="BA239" s="118"/>
      <c r="BB239" s="118"/>
      <c r="BC239" s="118"/>
      <c r="BD239" s="118"/>
      <c r="BE239" s="118"/>
      <c r="BF239" s="118" t="s">
        <v>356</v>
      </c>
      <c r="BG239" s="118">
        <f>2*(SQRT((BG251)^2+(BI248)^2))</f>
        <v>35.48584737610193</v>
      </c>
      <c r="BH239" s="118" t="s">
        <v>52</v>
      </c>
      <c r="BI239" s="118"/>
    </row>
    <row r="240" spans="1:61" x14ac:dyDescent="0.25">
      <c r="A240" s="56" t="s">
        <v>447</v>
      </c>
      <c r="H240" s="7" t="s">
        <v>441</v>
      </c>
      <c r="AW240" s="119" t="s">
        <v>343</v>
      </c>
      <c r="AX240" s="118">
        <f>0.33*4*AX239</f>
        <v>47.853044652641948</v>
      </c>
      <c r="AY240" s="118" t="s">
        <v>113</v>
      </c>
      <c r="AZ240" s="118"/>
      <c r="BA240" s="118"/>
      <c r="BB240" s="118"/>
      <c r="BC240" s="118"/>
      <c r="BD240" s="118"/>
      <c r="BE240" s="118"/>
      <c r="BF240" s="119" t="s">
        <v>343</v>
      </c>
      <c r="BG240" s="118">
        <f>0.33*4*BG239</f>
        <v>46.841318536454551</v>
      </c>
      <c r="BH240" s="118" t="s">
        <v>113</v>
      </c>
      <c r="BI240" s="118"/>
    </row>
    <row r="241" spans="1:72" ht="44.55" x14ac:dyDescent="0.25">
      <c r="AW241" s="120" t="s">
        <v>132</v>
      </c>
      <c r="AX241" s="118">
        <f>AX240*1.1</f>
        <v>52.638349117906145</v>
      </c>
      <c r="AY241" s="118" t="s">
        <v>113</v>
      </c>
      <c r="AZ241" s="118"/>
      <c r="BA241" s="118"/>
      <c r="BB241" s="118"/>
      <c r="BC241" s="118"/>
      <c r="BD241" s="118"/>
      <c r="BE241" s="118"/>
      <c r="BF241" s="120" t="s">
        <v>132</v>
      </c>
      <c r="BG241" s="118">
        <f>BG240*1.1</f>
        <v>51.525450390100012</v>
      </c>
      <c r="BH241" s="118" t="s">
        <v>113</v>
      </c>
      <c r="BI241" s="118"/>
    </row>
    <row r="242" spans="1:72" x14ac:dyDescent="0.25">
      <c r="A242" s="57" t="s">
        <v>41</v>
      </c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23" t="s">
        <v>358</v>
      </c>
      <c r="AX242" s="123">
        <v>0</v>
      </c>
      <c r="AY242" s="123"/>
      <c r="AZ242" s="123"/>
      <c r="BA242" s="123"/>
      <c r="BB242" s="123"/>
      <c r="BC242" s="123"/>
      <c r="BD242" s="123"/>
      <c r="BE242" s="123"/>
      <c r="BF242" s="123" t="s">
        <v>358</v>
      </c>
      <c r="BG242" s="123">
        <v>0</v>
      </c>
      <c r="BH242" s="123"/>
      <c r="BI242" s="123"/>
      <c r="BJ242" s="114"/>
      <c r="BK242" s="114"/>
      <c r="BL242" s="114"/>
      <c r="BM242" s="114"/>
      <c r="BN242" s="114"/>
      <c r="BO242" s="114"/>
      <c r="BP242" s="114"/>
      <c r="BQ242" s="114"/>
      <c r="BR242" s="114"/>
      <c r="BS242" s="114"/>
      <c r="BT242" s="114"/>
    </row>
    <row r="243" spans="1:72" x14ac:dyDescent="0.25">
      <c r="A243" s="2"/>
      <c r="AW243" s="118" t="s">
        <v>359</v>
      </c>
      <c r="AX243" s="118">
        <f>AX242*AX241*2</f>
        <v>0</v>
      </c>
      <c r="AY243" s="118"/>
      <c r="AZ243" s="118"/>
      <c r="BA243" s="118"/>
      <c r="BB243" s="118"/>
      <c r="BC243" s="118"/>
      <c r="BD243" s="118"/>
      <c r="BE243" s="118"/>
      <c r="BF243" s="118" t="s">
        <v>359</v>
      </c>
      <c r="BG243" s="118">
        <f>BG242*BG241*2</f>
        <v>0</v>
      </c>
      <c r="BH243" s="118"/>
      <c r="BI243" s="118"/>
    </row>
    <row r="244" spans="1:72" x14ac:dyDescent="0.25">
      <c r="A244" t="s">
        <v>305</v>
      </c>
      <c r="C244">
        <v>0</v>
      </c>
      <c r="D244" t="s">
        <v>278</v>
      </c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  <c r="BH244" s="118"/>
      <c r="BI244" s="118"/>
    </row>
    <row r="245" spans="1:72" x14ac:dyDescent="0.25">
      <c r="A245" s="2"/>
      <c r="AW245" s="118"/>
      <c r="AX245" s="118"/>
      <c r="AY245" s="118"/>
      <c r="AZ245" s="121"/>
      <c r="BA245" s="118"/>
      <c r="BB245" s="118"/>
      <c r="BC245" s="118"/>
      <c r="BD245" s="118"/>
      <c r="BE245" s="118"/>
      <c r="BF245" s="118"/>
      <c r="BG245" s="118"/>
      <c r="BH245" s="118"/>
      <c r="BI245" s="121"/>
    </row>
    <row r="246" spans="1:72" x14ac:dyDescent="0.25">
      <c r="A246" t="s">
        <v>175</v>
      </c>
      <c r="AW246" s="118"/>
      <c r="AX246" s="118">
        <f>SQRT((AX251)^2+(AZ248)^2)</f>
        <v>18.12615327751589</v>
      </c>
      <c r="AY246" s="118"/>
      <c r="AZ246" s="121"/>
      <c r="BA246" s="118"/>
      <c r="BB246" s="118"/>
      <c r="BC246" s="118"/>
      <c r="BD246" s="118"/>
      <c r="BE246" s="118"/>
      <c r="BF246" s="118"/>
      <c r="BG246" s="118">
        <f>SQRT((BG251)^2+(BI248)^2)</f>
        <v>17.742923688050965</v>
      </c>
      <c r="BH246" s="118"/>
      <c r="BI246" s="121"/>
    </row>
    <row r="247" spans="1:72" x14ac:dyDescent="0.25">
      <c r="A247" t="s">
        <v>37</v>
      </c>
      <c r="D247">
        <v>0</v>
      </c>
      <c r="E247" t="s">
        <v>2</v>
      </c>
      <c r="AW247" s="118"/>
      <c r="AX247" s="118"/>
      <c r="AY247" s="118"/>
      <c r="AZ247" s="121"/>
      <c r="BA247" s="118"/>
      <c r="BB247" s="118"/>
      <c r="BC247" s="118"/>
      <c r="BD247" s="118"/>
      <c r="BE247" s="118"/>
      <c r="BF247" s="118"/>
      <c r="BG247" s="118"/>
      <c r="BH247" s="118"/>
      <c r="BI247" s="121"/>
    </row>
    <row r="248" spans="1:72" x14ac:dyDescent="0.25">
      <c r="A248" t="s">
        <v>38</v>
      </c>
      <c r="D248">
        <v>0</v>
      </c>
      <c r="E248" t="s">
        <v>2</v>
      </c>
      <c r="AW248" s="118"/>
      <c r="AX248" s="118"/>
      <c r="AY248" s="118"/>
      <c r="AZ248" s="121">
        <f>AX238</f>
        <v>9.83</v>
      </c>
      <c r="BA248" s="118"/>
      <c r="BB248" s="118"/>
      <c r="BC248" s="118"/>
      <c r="BD248" s="118"/>
      <c r="BE248" s="118"/>
      <c r="BF248" s="118"/>
      <c r="BG248" s="118"/>
      <c r="BH248" s="118"/>
      <c r="BI248" s="121">
        <f>BG238</f>
        <v>9.83</v>
      </c>
    </row>
    <row r="249" spans="1:72" x14ac:dyDescent="0.25">
      <c r="A249" t="s">
        <v>43</v>
      </c>
      <c r="D249">
        <v>1</v>
      </c>
      <c r="AW249" s="118"/>
      <c r="AX249" s="118"/>
      <c r="AY249" s="118"/>
      <c r="AZ249" s="121"/>
      <c r="BA249" s="118"/>
      <c r="BB249" s="118"/>
      <c r="BC249" s="118"/>
      <c r="BD249" s="118"/>
      <c r="BE249" s="118"/>
      <c r="BF249" s="118"/>
      <c r="BG249" s="118"/>
      <c r="BH249" s="118"/>
      <c r="BI249" s="121"/>
    </row>
    <row r="250" spans="1:72" x14ac:dyDescent="0.25">
      <c r="A250" t="s">
        <v>42</v>
      </c>
      <c r="C250">
        <f>D247*D248*D249</f>
        <v>0</v>
      </c>
      <c r="D250" t="s">
        <v>40</v>
      </c>
      <c r="AW250" s="118"/>
      <c r="AX250" s="118"/>
      <c r="AY250" s="118"/>
      <c r="AZ250" s="121"/>
      <c r="BA250" s="118"/>
      <c r="BB250" s="118"/>
      <c r="BC250" s="118"/>
      <c r="BD250" s="118"/>
      <c r="BE250" s="118"/>
      <c r="BF250" s="118"/>
      <c r="BG250" s="118"/>
      <c r="BH250" s="118"/>
      <c r="BI250" s="121"/>
    </row>
    <row r="251" spans="1:72" x14ac:dyDescent="0.25">
      <c r="AW251" s="122"/>
      <c r="AX251" s="122">
        <f>AX237</f>
        <v>15.229200000000001</v>
      </c>
      <c r="AY251" s="122"/>
      <c r="AZ251" s="118"/>
      <c r="BA251" s="118"/>
      <c r="BB251" s="118"/>
      <c r="BC251" s="118"/>
      <c r="BD251" s="118"/>
      <c r="BE251" s="118"/>
      <c r="BF251" s="122"/>
      <c r="BG251" s="122">
        <f>BG237</f>
        <v>14.771000000000001</v>
      </c>
      <c r="BH251" s="122"/>
      <c r="BI251" s="118"/>
    </row>
    <row r="252" spans="1:72" x14ac:dyDescent="0.25">
      <c r="A252" t="s">
        <v>179</v>
      </c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  <c r="BH252" s="118"/>
      <c r="BI252" s="118"/>
    </row>
    <row r="253" spans="1:72" x14ac:dyDescent="0.25">
      <c r="A253" t="s">
        <v>37</v>
      </c>
      <c r="D253">
        <v>0</v>
      </c>
      <c r="E253" t="s">
        <v>2</v>
      </c>
      <c r="AW253" s="118"/>
      <c r="AX253" s="118"/>
      <c r="AY253" s="118"/>
      <c r="AZ253" s="118"/>
      <c r="BA253" s="118"/>
      <c r="BB253" s="118"/>
      <c r="BC253" s="118"/>
      <c r="BD253" s="118"/>
      <c r="BE253" s="118"/>
      <c r="BF253" s="118"/>
      <c r="BG253" s="118"/>
      <c r="BH253" s="118"/>
      <c r="BI253" s="118"/>
    </row>
    <row r="254" spans="1:72" x14ac:dyDescent="0.25">
      <c r="A254" t="s">
        <v>38</v>
      </c>
      <c r="D254">
        <v>0</v>
      </c>
      <c r="E254" t="s">
        <v>2</v>
      </c>
    </row>
    <row r="255" spans="1:72" x14ac:dyDescent="0.25">
      <c r="A255" t="s">
        <v>43</v>
      </c>
      <c r="D255">
        <v>1</v>
      </c>
    </row>
    <row r="256" spans="1:72" x14ac:dyDescent="0.25">
      <c r="A256" t="s">
        <v>42</v>
      </c>
      <c r="C256">
        <f>D253*D254*D255</f>
        <v>0</v>
      </c>
      <c r="D256" t="s">
        <v>40</v>
      </c>
    </row>
    <row r="258" spans="1:5" x14ac:dyDescent="0.25">
      <c r="A258" t="s">
        <v>412</v>
      </c>
    </row>
    <row r="259" spans="1:5" x14ac:dyDescent="0.25">
      <c r="A259" t="s">
        <v>37</v>
      </c>
      <c r="D259">
        <v>3</v>
      </c>
      <c r="E259" t="s">
        <v>2</v>
      </c>
    </row>
    <row r="260" spans="1:5" x14ac:dyDescent="0.25">
      <c r="A260" t="s">
        <v>38</v>
      </c>
      <c r="D260">
        <v>1.5</v>
      </c>
      <c r="E260" t="s">
        <v>2</v>
      </c>
    </row>
    <row r="261" spans="1:5" x14ac:dyDescent="0.25">
      <c r="A261" t="s">
        <v>43</v>
      </c>
      <c r="D261">
        <v>1</v>
      </c>
    </row>
    <row r="262" spans="1:5" x14ac:dyDescent="0.25">
      <c r="A262" t="s">
        <v>42</v>
      </c>
      <c r="C262">
        <f>D259*D260*D261</f>
        <v>4.5</v>
      </c>
      <c r="D262" t="s">
        <v>40</v>
      </c>
    </row>
    <row r="264" spans="1:5" x14ac:dyDescent="0.25">
      <c r="A264" t="s">
        <v>413</v>
      </c>
    </row>
    <row r="265" spans="1:5" x14ac:dyDescent="0.25">
      <c r="A265" t="s">
        <v>37</v>
      </c>
      <c r="D265">
        <v>0</v>
      </c>
      <c r="E265" t="s">
        <v>2</v>
      </c>
    </row>
    <row r="266" spans="1:5" x14ac:dyDescent="0.25">
      <c r="A266" t="s">
        <v>38</v>
      </c>
      <c r="D266">
        <v>0</v>
      </c>
      <c r="E266" t="s">
        <v>2</v>
      </c>
    </row>
    <row r="267" spans="1:5" x14ac:dyDescent="0.25">
      <c r="A267" t="s">
        <v>43</v>
      </c>
      <c r="D267">
        <v>1</v>
      </c>
    </row>
    <row r="268" spans="1:5" x14ac:dyDescent="0.25">
      <c r="A268" t="s">
        <v>42</v>
      </c>
      <c r="C268">
        <f>D265*D266*D267</f>
        <v>0</v>
      </c>
      <c r="D268" t="s">
        <v>40</v>
      </c>
    </row>
    <row r="270" spans="1:5" x14ac:dyDescent="0.25">
      <c r="A270" s="7" t="s">
        <v>180</v>
      </c>
      <c r="B270" s="7"/>
      <c r="C270" s="52">
        <f>ROUND(C244+C250+C256+C262+C268,1)</f>
        <v>4.5</v>
      </c>
      <c r="D270" s="7" t="s">
        <v>40</v>
      </c>
    </row>
    <row r="273" spans="1:7" x14ac:dyDescent="0.25">
      <c r="A273" s="56" t="s">
        <v>335</v>
      </c>
      <c r="B273" s="6"/>
      <c r="C273" s="6"/>
      <c r="F273" s="7">
        <v>2</v>
      </c>
      <c r="G273" s="7" t="s">
        <v>116</v>
      </c>
    </row>
    <row r="274" spans="1:7" x14ac:dyDescent="0.25">
      <c r="A274" s="56"/>
      <c r="B274" s="6"/>
      <c r="C274" s="6"/>
      <c r="F274" s="7"/>
      <c r="G274" s="7"/>
    </row>
    <row r="275" spans="1:7" x14ac:dyDescent="0.25">
      <c r="A275" s="56" t="s">
        <v>439</v>
      </c>
      <c r="B275" s="6"/>
      <c r="F275" s="7">
        <v>1</v>
      </c>
      <c r="G275" s="7" t="s">
        <v>116</v>
      </c>
    </row>
    <row r="276" spans="1:7" x14ac:dyDescent="0.25">
      <c r="A276" s="2"/>
      <c r="F276" s="7"/>
      <c r="G276" s="7"/>
    </row>
    <row r="277" spans="1:7" x14ac:dyDescent="0.25">
      <c r="A277" s="56" t="s">
        <v>446</v>
      </c>
      <c r="B277" s="6"/>
      <c r="C277" s="6"/>
      <c r="D277" s="6"/>
      <c r="F277" s="7">
        <v>20</v>
      </c>
      <c r="G277" s="7" t="s">
        <v>2</v>
      </c>
    </row>
    <row r="279" spans="1:7" x14ac:dyDescent="0.25">
      <c r="A279" s="130" t="s">
        <v>414</v>
      </c>
      <c r="B279" s="114"/>
      <c r="C279" s="114"/>
      <c r="D279" s="114"/>
      <c r="E279" s="114"/>
    </row>
    <row r="280" spans="1:7" x14ac:dyDescent="0.25">
      <c r="A280" s="130" t="s">
        <v>399</v>
      </c>
      <c r="B280" s="114"/>
      <c r="C280" s="114"/>
      <c r="D280" s="114"/>
      <c r="E280" s="114"/>
    </row>
    <row r="281" spans="1:7" x14ac:dyDescent="0.25">
      <c r="A281" s="130" t="s">
        <v>406</v>
      </c>
      <c r="B281" s="114"/>
      <c r="C281" s="114"/>
      <c r="D281" s="114"/>
      <c r="E281" s="114"/>
    </row>
    <row r="283" spans="1:7" x14ac:dyDescent="0.25">
      <c r="A283" t="s">
        <v>398</v>
      </c>
    </row>
    <row r="284" spans="1:7" x14ac:dyDescent="0.25">
      <c r="A284" t="s">
        <v>394</v>
      </c>
      <c r="C284">
        <f>1026.83</f>
        <v>1026.83</v>
      </c>
      <c r="D284" t="s">
        <v>2</v>
      </c>
    </row>
    <row r="285" spans="1:7" x14ac:dyDescent="0.25">
      <c r="A285" t="s">
        <v>395</v>
      </c>
      <c r="C285" s="25">
        <v>33.5</v>
      </c>
      <c r="D285" t="s">
        <v>396</v>
      </c>
    </row>
    <row r="287" spans="1:7" x14ac:dyDescent="0.25">
      <c r="A287" t="s">
        <v>202</v>
      </c>
      <c r="C287">
        <f>C284*C285</f>
        <v>34398.805</v>
      </c>
      <c r="D287" t="s">
        <v>40</v>
      </c>
    </row>
    <row r="288" spans="1:7" x14ac:dyDescent="0.25">
      <c r="C288" s="1">
        <f>C287/9</f>
        <v>3822.0894444444443</v>
      </c>
      <c r="D288" t="s">
        <v>24</v>
      </c>
    </row>
    <row r="292" spans="1:7" x14ac:dyDescent="0.25">
      <c r="A292" s="2" t="s">
        <v>440</v>
      </c>
      <c r="B292" s="2"/>
      <c r="C292" s="2"/>
      <c r="D292" s="2"/>
      <c r="F292" s="7" t="s">
        <v>441</v>
      </c>
      <c r="G292" s="7"/>
    </row>
    <row r="293" spans="1:7" x14ac:dyDescent="0.25">
      <c r="A293" s="2" t="s">
        <v>442</v>
      </c>
      <c r="B293" s="2"/>
      <c r="C293" s="2"/>
      <c r="D293" s="2"/>
      <c r="F293" s="7" t="s">
        <v>441</v>
      </c>
      <c r="G293" s="7"/>
    </row>
    <row r="294" spans="1:7" x14ac:dyDescent="0.25">
      <c r="A294" s="2" t="s">
        <v>443</v>
      </c>
      <c r="B294" s="2"/>
      <c r="C294" s="2"/>
      <c r="D294" s="2"/>
      <c r="F294" s="7" t="s">
        <v>441</v>
      </c>
      <c r="G294" s="7"/>
    </row>
    <row r="295" spans="1:7" x14ac:dyDescent="0.25">
      <c r="A295" s="2" t="s">
        <v>444</v>
      </c>
      <c r="B295" s="2"/>
      <c r="C295" s="2"/>
      <c r="D295" s="2"/>
      <c r="F295" s="7">
        <v>2</v>
      </c>
      <c r="G295" s="7" t="s">
        <v>116</v>
      </c>
    </row>
    <row r="296" spans="1:7" x14ac:dyDescent="0.25">
      <c r="A296" s="2" t="s">
        <v>445</v>
      </c>
      <c r="B296" s="2"/>
      <c r="C296" s="2"/>
      <c r="D296" s="2"/>
      <c r="F296" s="7">
        <v>2</v>
      </c>
      <c r="G296" s="7" t="s">
        <v>116</v>
      </c>
    </row>
    <row r="297" spans="1:7" x14ac:dyDescent="0.25">
      <c r="A297" s="2"/>
      <c r="B297" s="2"/>
      <c r="C297" s="2"/>
      <c r="D297" s="2"/>
    </row>
  </sheetData>
  <mergeCells count="6">
    <mergeCell ref="AI192:AI193"/>
    <mergeCell ref="A155:J157"/>
    <mergeCell ref="Y163:AF163"/>
    <mergeCell ref="AH164:AN164"/>
    <mergeCell ref="AI184:AI186"/>
    <mergeCell ref="AI189:AI190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49"/>
  <sheetViews>
    <sheetView topLeftCell="A81" zoomScale="96" zoomScaleNormal="96" workbookViewId="0">
      <selection activeCell="C20" sqref="C20"/>
    </sheetView>
  </sheetViews>
  <sheetFormatPr defaultRowHeight="14.85" x14ac:dyDescent="0.25"/>
  <cols>
    <col min="2" max="2" width="17.7109375" customWidth="1"/>
    <col min="3" max="3" width="19.140625" customWidth="1"/>
    <col min="4" max="4" width="22" customWidth="1"/>
    <col min="5" max="5" width="10.7109375" customWidth="1"/>
    <col min="8" max="8" width="18.7109375" customWidth="1"/>
    <col min="9" max="9" width="10.42578125" customWidth="1"/>
    <col min="11" max="11" width="12.85546875" customWidth="1"/>
    <col min="12" max="12" width="13" bestFit="1" customWidth="1"/>
    <col min="13" max="13" width="16.7109375" bestFit="1" customWidth="1"/>
    <col min="14" max="22" width="12.85546875" customWidth="1"/>
    <col min="23" max="24" width="14.140625" customWidth="1"/>
    <col min="25" max="25" width="13.42578125" customWidth="1"/>
    <col min="26" max="26" width="15.85546875" customWidth="1"/>
    <col min="27" max="27" width="11" customWidth="1"/>
    <col min="35" max="35" width="14.42578125" customWidth="1"/>
    <col min="46" max="46" width="17.28515625" customWidth="1"/>
    <col min="49" max="49" width="23.140625" customWidth="1"/>
    <col min="57" max="57" width="16.5703125" customWidth="1"/>
    <col min="58" max="58" width="22.85546875" bestFit="1" customWidth="1"/>
    <col min="65" max="65" width="12.28515625" bestFit="1" customWidth="1"/>
  </cols>
  <sheetData>
    <row r="1" spans="1:11" x14ac:dyDescent="0.25">
      <c r="A1" s="56" t="s">
        <v>410</v>
      </c>
    </row>
    <row r="3" spans="1:11" x14ac:dyDescent="0.25">
      <c r="A3" t="s">
        <v>45</v>
      </c>
      <c r="C3">
        <f>2*(4.5*2.5*2/27)</f>
        <v>1.6666666666666667</v>
      </c>
      <c r="D3" t="s">
        <v>8</v>
      </c>
    </row>
    <row r="4" spans="1:11" x14ac:dyDescent="0.25">
      <c r="A4" t="s">
        <v>46</v>
      </c>
      <c r="C4">
        <f>2*(4.5*2.5*2/27)</f>
        <v>1.6666666666666667</v>
      </c>
      <c r="D4" t="s">
        <v>8</v>
      </c>
    </row>
    <row r="5" spans="1:11" x14ac:dyDescent="0.25">
      <c r="A5" s="124" t="s">
        <v>378</v>
      </c>
      <c r="B5" s="7"/>
      <c r="C5" s="124">
        <f>ROUNDUP(SUM(C2:C4),0)</f>
        <v>4</v>
      </c>
      <c r="D5" s="124" t="s">
        <v>8</v>
      </c>
    </row>
    <row r="7" spans="1:11" x14ac:dyDescent="0.25">
      <c r="A7" s="56" t="s">
        <v>44</v>
      </c>
    </row>
    <row r="9" spans="1:11" x14ac:dyDescent="0.25">
      <c r="A9" t="s">
        <v>303</v>
      </c>
      <c r="C9">
        <f>2*(2*(8+331+329+331+8))</f>
        <v>4028</v>
      </c>
    </row>
    <row r="10" spans="1:11" x14ac:dyDescent="0.25">
      <c r="A10" t="s">
        <v>45</v>
      </c>
      <c r="C10">
        <f>38*2+6</f>
        <v>82</v>
      </c>
    </row>
    <row r="11" spans="1:11" x14ac:dyDescent="0.25">
      <c r="A11" t="s">
        <v>46</v>
      </c>
      <c r="C11">
        <f>38*2+6</f>
        <v>82</v>
      </c>
    </row>
    <row r="12" spans="1:11" x14ac:dyDescent="0.25">
      <c r="A12" s="124" t="s">
        <v>378</v>
      </c>
      <c r="B12" s="7"/>
      <c r="C12" s="124">
        <f>SUM(C9:C11)</f>
        <v>4192</v>
      </c>
      <c r="D12" s="124" t="s">
        <v>116</v>
      </c>
    </row>
    <row r="15" spans="1:11" x14ac:dyDescent="0.25">
      <c r="A15" s="56" t="s">
        <v>284</v>
      </c>
      <c r="K15" t="s">
        <v>277</v>
      </c>
    </row>
    <row r="16" spans="1:11" x14ac:dyDescent="0.25">
      <c r="A16" s="2"/>
    </row>
    <row r="17" spans="1:5" x14ac:dyDescent="0.25">
      <c r="A17" s="6" t="s">
        <v>376</v>
      </c>
    </row>
    <row r="18" spans="1:5" x14ac:dyDescent="0.25">
      <c r="A18" t="s">
        <v>292</v>
      </c>
      <c r="D18">
        <v>4.08</v>
      </c>
      <c r="E18" t="s">
        <v>278</v>
      </c>
    </row>
    <row r="19" spans="1:5" x14ac:dyDescent="0.25">
      <c r="A19" t="s">
        <v>293</v>
      </c>
      <c r="D19" s="1">
        <f>(1+1025.5+1 - (4*0.4166))-(2*11.333)</f>
        <v>1003.1675999999999</v>
      </c>
      <c r="E19" t="s">
        <v>2</v>
      </c>
    </row>
    <row r="20" spans="1:5" x14ac:dyDescent="0.25">
      <c r="A20" t="s">
        <v>294</v>
      </c>
      <c r="D20">
        <v>2</v>
      </c>
      <c r="E20" t="s">
        <v>116</v>
      </c>
    </row>
    <row r="21" spans="1:5" x14ac:dyDescent="0.25">
      <c r="A21" t="s">
        <v>56</v>
      </c>
      <c r="D21" s="1">
        <f>D18*D19*D20</f>
        <v>8185.8476159999991</v>
      </c>
      <c r="E21" t="s">
        <v>295</v>
      </c>
    </row>
    <row r="22" spans="1:5" x14ac:dyDescent="0.25">
      <c r="D22">
        <f>ROUNDUP(D21/27,0)</f>
        <v>304</v>
      </c>
      <c r="E22" t="s">
        <v>8</v>
      </c>
    </row>
    <row r="24" spans="1:5" x14ac:dyDescent="0.25">
      <c r="A24" t="s">
        <v>377</v>
      </c>
      <c r="D24" s="1">
        <f>(4*(11.33/14)*1.82)</f>
        <v>5.8916000000000004</v>
      </c>
      <c r="E24" t="s">
        <v>8</v>
      </c>
    </row>
    <row r="25" spans="1:5" x14ac:dyDescent="0.25">
      <c r="A25" t="s">
        <v>378</v>
      </c>
      <c r="D25" s="1">
        <f>D22+D24</f>
        <v>309.89159999999998</v>
      </c>
      <c r="E25" t="s">
        <v>8</v>
      </c>
    </row>
    <row r="27" spans="1:5" x14ac:dyDescent="0.25">
      <c r="A27" s="6" t="s">
        <v>289</v>
      </c>
    </row>
    <row r="29" spans="1:5" x14ac:dyDescent="0.25">
      <c r="A29" t="s">
        <v>142</v>
      </c>
      <c r="D29">
        <v>3</v>
      </c>
      <c r="E29" t="s">
        <v>2</v>
      </c>
    </row>
    <row r="30" spans="1:5" x14ac:dyDescent="0.25">
      <c r="A30" t="s">
        <v>143</v>
      </c>
      <c r="D30">
        <v>36.5</v>
      </c>
      <c r="E30" t="s">
        <v>2</v>
      </c>
    </row>
    <row r="31" spans="1:5" x14ac:dyDescent="0.25">
      <c r="A31" t="s">
        <v>283</v>
      </c>
      <c r="D31">
        <v>9</v>
      </c>
      <c r="E31" t="s">
        <v>49</v>
      </c>
    </row>
    <row r="32" spans="1:5" x14ac:dyDescent="0.25">
      <c r="A32" t="s">
        <v>287</v>
      </c>
      <c r="D32">
        <v>2.5</v>
      </c>
      <c r="E32" t="s">
        <v>49</v>
      </c>
    </row>
    <row r="33" spans="1:5" x14ac:dyDescent="0.25">
      <c r="A33" t="s">
        <v>144</v>
      </c>
      <c r="D33">
        <v>9</v>
      </c>
      <c r="E33" t="s">
        <v>49</v>
      </c>
    </row>
    <row r="34" spans="1:5" x14ac:dyDescent="0.25">
      <c r="A34" s="222" t="s">
        <v>50</v>
      </c>
      <c r="B34" s="222"/>
    </row>
    <row r="35" spans="1:5" x14ac:dyDescent="0.25">
      <c r="A35" s="222"/>
      <c r="B35" s="222"/>
      <c r="D35">
        <v>2.5</v>
      </c>
      <c r="E35" t="s">
        <v>49</v>
      </c>
    </row>
    <row r="36" spans="1:5" x14ac:dyDescent="0.25">
      <c r="A36" t="s">
        <v>145</v>
      </c>
      <c r="D36">
        <v>3.5</v>
      </c>
      <c r="E36" t="s">
        <v>2</v>
      </c>
    </row>
    <row r="37" spans="1:5" x14ac:dyDescent="0.25">
      <c r="A37" t="s">
        <v>286</v>
      </c>
      <c r="D37">
        <v>1.5</v>
      </c>
      <c r="E37" t="s">
        <v>2</v>
      </c>
    </row>
    <row r="39" spans="1:5" x14ac:dyDescent="0.25">
      <c r="A39" t="s">
        <v>51</v>
      </c>
      <c r="D39" s="1">
        <f>(D29*D30*(D33+D35)/12)</f>
        <v>104.9375</v>
      </c>
      <c r="E39" t="s">
        <v>13</v>
      </c>
    </row>
    <row r="40" spans="1:5" x14ac:dyDescent="0.25">
      <c r="D40" s="1">
        <f>D39/27</f>
        <v>3.886574074074074</v>
      </c>
      <c r="E40" t="s">
        <v>8</v>
      </c>
    </row>
    <row r="43" spans="1:5" x14ac:dyDescent="0.25">
      <c r="A43" s="6" t="s">
        <v>388</v>
      </c>
    </row>
    <row r="45" spans="1:5" x14ac:dyDescent="0.25">
      <c r="A45" t="s">
        <v>142</v>
      </c>
      <c r="D45">
        <v>3</v>
      </c>
      <c r="E45" t="s">
        <v>2</v>
      </c>
    </row>
    <row r="46" spans="1:5" x14ac:dyDescent="0.25">
      <c r="A46" t="s">
        <v>143</v>
      </c>
      <c r="D46">
        <v>36.5</v>
      </c>
      <c r="E46" t="s">
        <v>2</v>
      </c>
    </row>
    <row r="47" spans="1:5" x14ac:dyDescent="0.25">
      <c r="A47" t="s">
        <v>283</v>
      </c>
      <c r="D47">
        <v>9</v>
      </c>
      <c r="E47" t="s">
        <v>49</v>
      </c>
    </row>
    <row r="48" spans="1:5" ht="15.05" customHeight="1" x14ac:dyDescent="0.25">
      <c r="A48" t="s">
        <v>287</v>
      </c>
      <c r="D48">
        <v>2.5</v>
      </c>
      <c r="E48" t="s">
        <v>49</v>
      </c>
    </row>
    <row r="49" spans="1:5" x14ac:dyDescent="0.25">
      <c r="A49" t="s">
        <v>144</v>
      </c>
      <c r="D49">
        <v>9</v>
      </c>
      <c r="E49" t="s">
        <v>49</v>
      </c>
    </row>
    <row r="50" spans="1:5" x14ac:dyDescent="0.25">
      <c r="A50" s="222" t="s">
        <v>50</v>
      </c>
      <c r="B50" s="222"/>
    </row>
    <row r="51" spans="1:5" x14ac:dyDescent="0.25">
      <c r="A51" s="222"/>
      <c r="B51" s="222"/>
      <c r="D51">
        <v>2.5</v>
      </c>
      <c r="E51" t="s">
        <v>49</v>
      </c>
    </row>
    <row r="52" spans="1:5" x14ac:dyDescent="0.25">
      <c r="A52" t="s">
        <v>145</v>
      </c>
      <c r="D52">
        <v>3.5</v>
      </c>
      <c r="E52" t="s">
        <v>2</v>
      </c>
    </row>
    <row r="53" spans="1:5" x14ac:dyDescent="0.25">
      <c r="A53" t="s">
        <v>286</v>
      </c>
      <c r="D53">
        <v>1.5</v>
      </c>
      <c r="E53" t="s">
        <v>2</v>
      </c>
    </row>
    <row r="55" spans="1:5" x14ac:dyDescent="0.25">
      <c r="A55" t="s">
        <v>51</v>
      </c>
      <c r="D55" s="1">
        <f>(D45*D46*(D49+D51)/12)</f>
        <v>104.9375</v>
      </c>
      <c r="E55" t="s">
        <v>13</v>
      </c>
    </row>
    <row r="56" spans="1:5" x14ac:dyDescent="0.25">
      <c r="D56" s="1">
        <f>D55/27</f>
        <v>3.886574074074074</v>
      </c>
      <c r="E56" t="s">
        <v>8</v>
      </c>
    </row>
    <row r="57" spans="1:5" x14ac:dyDescent="0.25">
      <c r="D57" s="1"/>
    </row>
    <row r="58" spans="1:5" x14ac:dyDescent="0.25">
      <c r="D58" s="1"/>
    </row>
    <row r="59" spans="1:5" x14ac:dyDescent="0.25">
      <c r="A59" s="6" t="s">
        <v>389</v>
      </c>
    </row>
    <row r="61" spans="1:5" x14ac:dyDescent="0.25">
      <c r="A61" t="s">
        <v>142</v>
      </c>
      <c r="D61">
        <v>3</v>
      </c>
      <c r="E61" t="s">
        <v>2</v>
      </c>
    </row>
    <row r="62" spans="1:5" x14ac:dyDescent="0.25">
      <c r="A62" t="s">
        <v>143</v>
      </c>
      <c r="D62">
        <v>36.5</v>
      </c>
      <c r="E62" t="s">
        <v>2</v>
      </c>
    </row>
    <row r="63" spans="1:5" x14ac:dyDescent="0.25">
      <c r="A63" t="s">
        <v>283</v>
      </c>
      <c r="D63">
        <v>9</v>
      </c>
      <c r="E63" t="s">
        <v>49</v>
      </c>
    </row>
    <row r="64" spans="1:5" ht="15.05" customHeight="1" x14ac:dyDescent="0.25">
      <c r="A64" t="s">
        <v>287</v>
      </c>
      <c r="D64">
        <v>2.5</v>
      </c>
      <c r="E64" t="s">
        <v>49</v>
      </c>
    </row>
    <row r="65" spans="1:5" x14ac:dyDescent="0.25">
      <c r="A65" t="s">
        <v>144</v>
      </c>
      <c r="D65">
        <v>9</v>
      </c>
      <c r="E65" t="s">
        <v>49</v>
      </c>
    </row>
    <row r="66" spans="1:5" x14ac:dyDescent="0.25">
      <c r="A66" s="222" t="s">
        <v>50</v>
      </c>
      <c r="B66" s="222"/>
    </row>
    <row r="67" spans="1:5" x14ac:dyDescent="0.25">
      <c r="A67" s="222"/>
      <c r="B67" s="222"/>
      <c r="D67">
        <v>2.5</v>
      </c>
      <c r="E67" t="s">
        <v>49</v>
      </c>
    </row>
    <row r="68" spans="1:5" x14ac:dyDescent="0.25">
      <c r="A68" t="s">
        <v>145</v>
      </c>
      <c r="D68">
        <v>3.5</v>
      </c>
      <c r="E68" t="s">
        <v>2</v>
      </c>
    </row>
    <row r="69" spans="1:5" x14ac:dyDescent="0.25">
      <c r="A69" t="s">
        <v>286</v>
      </c>
      <c r="D69">
        <v>1.5</v>
      </c>
      <c r="E69" t="s">
        <v>2</v>
      </c>
    </row>
    <row r="71" spans="1:5" x14ac:dyDescent="0.25">
      <c r="A71" t="s">
        <v>51</v>
      </c>
      <c r="D71" s="1">
        <f>(D61*D62*(D65+D67)/12)</f>
        <v>104.9375</v>
      </c>
      <c r="E71" t="s">
        <v>13</v>
      </c>
    </row>
    <row r="72" spans="1:5" x14ac:dyDescent="0.25">
      <c r="D72" s="1">
        <f>D71/27</f>
        <v>3.886574074074074</v>
      </c>
      <c r="E72" t="s">
        <v>8</v>
      </c>
    </row>
    <row r="73" spans="1:5" x14ac:dyDescent="0.25">
      <c r="D73" s="1"/>
    </row>
    <row r="74" spans="1:5" x14ac:dyDescent="0.25">
      <c r="D74" s="1"/>
    </row>
    <row r="75" spans="1:5" x14ac:dyDescent="0.25">
      <c r="A75" s="6" t="s">
        <v>290</v>
      </c>
    </row>
    <row r="77" spans="1:5" x14ac:dyDescent="0.25">
      <c r="A77" t="s">
        <v>142</v>
      </c>
      <c r="D77">
        <v>3</v>
      </c>
      <c r="E77" t="s">
        <v>2</v>
      </c>
    </row>
    <row r="78" spans="1:5" x14ac:dyDescent="0.25">
      <c r="A78" t="s">
        <v>143</v>
      </c>
      <c r="D78">
        <v>36.5</v>
      </c>
      <c r="E78" t="s">
        <v>2</v>
      </c>
    </row>
    <row r="79" spans="1:5" x14ac:dyDescent="0.25">
      <c r="A79" t="s">
        <v>283</v>
      </c>
      <c r="D79">
        <v>9</v>
      </c>
      <c r="E79" t="s">
        <v>49</v>
      </c>
    </row>
    <row r="80" spans="1:5" ht="15.05" customHeight="1" x14ac:dyDescent="0.25">
      <c r="A80" t="s">
        <v>287</v>
      </c>
      <c r="D80">
        <v>2.5</v>
      </c>
      <c r="E80" t="s">
        <v>49</v>
      </c>
    </row>
    <row r="81" spans="1:5" x14ac:dyDescent="0.25">
      <c r="A81" t="s">
        <v>144</v>
      </c>
      <c r="D81">
        <v>9</v>
      </c>
      <c r="E81" t="s">
        <v>49</v>
      </c>
    </row>
    <row r="82" spans="1:5" x14ac:dyDescent="0.25">
      <c r="A82" s="222" t="s">
        <v>50</v>
      </c>
      <c r="B82" s="222"/>
    </row>
    <row r="83" spans="1:5" x14ac:dyDescent="0.25">
      <c r="A83" s="222"/>
      <c r="B83" s="222"/>
      <c r="D83">
        <v>2.5</v>
      </c>
      <c r="E83" t="s">
        <v>49</v>
      </c>
    </row>
    <row r="84" spans="1:5" x14ac:dyDescent="0.25">
      <c r="A84" t="s">
        <v>145</v>
      </c>
      <c r="D84">
        <v>3.5</v>
      </c>
      <c r="E84" t="s">
        <v>2</v>
      </c>
    </row>
    <row r="85" spans="1:5" x14ac:dyDescent="0.25">
      <c r="A85" t="s">
        <v>286</v>
      </c>
      <c r="D85">
        <v>1.5</v>
      </c>
      <c r="E85" t="s">
        <v>2</v>
      </c>
    </row>
    <row r="87" spans="1:5" x14ac:dyDescent="0.25">
      <c r="A87" t="s">
        <v>51</v>
      </c>
      <c r="D87" s="1">
        <f>(D77*D78*(D81+D83)/12)</f>
        <v>104.9375</v>
      </c>
      <c r="E87" t="s">
        <v>13</v>
      </c>
    </row>
    <row r="88" spans="1:5" x14ac:dyDescent="0.25">
      <c r="D88" s="1">
        <f>D87/27</f>
        <v>3.886574074074074</v>
      </c>
      <c r="E88" t="s">
        <v>8</v>
      </c>
    </row>
    <row r="89" spans="1:5" x14ac:dyDescent="0.25">
      <c r="D89" s="1"/>
    </row>
    <row r="90" spans="1:5" x14ac:dyDescent="0.25">
      <c r="D90" s="1"/>
    </row>
    <row r="92" spans="1:5" x14ac:dyDescent="0.25">
      <c r="A92" s="124" t="s">
        <v>28</v>
      </c>
      <c r="B92" s="7"/>
      <c r="C92" s="7"/>
      <c r="D92" s="126">
        <f>ROUNDUP(D25+D40+D56+D72+D88,0)</f>
        <v>326</v>
      </c>
      <c r="E92" s="124" t="s">
        <v>8</v>
      </c>
    </row>
    <row r="94" spans="1:5" x14ac:dyDescent="0.25">
      <c r="A94" s="56" t="s">
        <v>285</v>
      </c>
    </row>
    <row r="96" spans="1:5" x14ac:dyDescent="0.25">
      <c r="A96" s="6" t="s">
        <v>291</v>
      </c>
    </row>
    <row r="97" spans="1:5" x14ac:dyDescent="0.25">
      <c r="A97" t="s">
        <v>292</v>
      </c>
      <c r="D97">
        <v>0</v>
      </c>
      <c r="E97" t="s">
        <v>278</v>
      </c>
    </row>
    <row r="98" spans="1:5" x14ac:dyDescent="0.25">
      <c r="A98" t="s">
        <v>293</v>
      </c>
      <c r="D98">
        <v>2.6659999999999999</v>
      </c>
      <c r="E98" t="s">
        <v>2</v>
      </c>
    </row>
    <row r="99" spans="1:5" x14ac:dyDescent="0.25">
      <c r="A99" t="s">
        <v>294</v>
      </c>
      <c r="D99">
        <v>4</v>
      </c>
      <c r="E99" t="s">
        <v>116</v>
      </c>
    </row>
    <row r="100" spans="1:5" x14ac:dyDescent="0.25">
      <c r="A100" t="s">
        <v>296</v>
      </c>
      <c r="D100">
        <f>(2.67/14)*1.82</f>
        <v>0.34709999999999996</v>
      </c>
      <c r="E100" t="s">
        <v>297</v>
      </c>
    </row>
    <row r="101" spans="1:5" x14ac:dyDescent="0.25">
      <c r="A101" t="s">
        <v>298</v>
      </c>
      <c r="D101">
        <v>4</v>
      </c>
      <c r="E101" t="s">
        <v>116</v>
      </c>
    </row>
    <row r="103" spans="1:5" x14ac:dyDescent="0.25">
      <c r="A103" t="s">
        <v>56</v>
      </c>
      <c r="D103" s="1">
        <f>(D97*D98*D99/27)+(D100*D101)</f>
        <v>1.3883999999999999</v>
      </c>
      <c r="E103" t="s">
        <v>8</v>
      </c>
    </row>
    <row r="106" spans="1:5" x14ac:dyDescent="0.25">
      <c r="A106" s="6" t="s">
        <v>48</v>
      </c>
    </row>
    <row r="108" spans="1:5" x14ac:dyDescent="0.25">
      <c r="A108" t="s">
        <v>379</v>
      </c>
      <c r="D108" s="1">
        <v>64.900000000000006</v>
      </c>
      <c r="E108" t="s">
        <v>2</v>
      </c>
    </row>
    <row r="109" spans="1:5" x14ac:dyDescent="0.25">
      <c r="A109" t="s">
        <v>288</v>
      </c>
      <c r="D109" s="1">
        <f>AVERAGE(1.333,1.62)</f>
        <v>1.4765000000000001</v>
      </c>
      <c r="E109" t="s">
        <v>2</v>
      </c>
    </row>
    <row r="110" spans="1:5" x14ac:dyDescent="0.25">
      <c r="D110" s="1"/>
    </row>
    <row r="111" spans="1:5" x14ac:dyDescent="0.25">
      <c r="A111" t="s">
        <v>56</v>
      </c>
      <c r="D111" s="1">
        <f>D108*D109</f>
        <v>95.824850000000012</v>
      </c>
      <c r="E111" t="s">
        <v>13</v>
      </c>
    </row>
    <row r="112" spans="1:5" x14ac:dyDescent="0.25">
      <c r="D112" s="1">
        <f>D111/27</f>
        <v>3.5490685185185189</v>
      </c>
      <c r="E112" t="s">
        <v>8</v>
      </c>
    </row>
    <row r="114" spans="1:5" x14ac:dyDescent="0.25">
      <c r="A114" s="6" t="s">
        <v>53</v>
      </c>
    </row>
    <row r="116" spans="1:5" x14ac:dyDescent="0.25">
      <c r="A116" t="s">
        <v>379</v>
      </c>
      <c r="D116" s="1">
        <v>47.4</v>
      </c>
      <c r="E116" t="s">
        <v>40</v>
      </c>
    </row>
    <row r="117" spans="1:5" x14ac:dyDescent="0.25">
      <c r="A117" t="s">
        <v>288</v>
      </c>
      <c r="D117" s="1">
        <f>AVERAGE(1.333,1.62)</f>
        <v>1.4765000000000001</v>
      </c>
      <c r="E117" t="s">
        <v>2</v>
      </c>
    </row>
    <row r="118" spans="1:5" x14ac:dyDescent="0.25">
      <c r="D118" s="1"/>
    </row>
    <row r="119" spans="1:5" x14ac:dyDescent="0.25">
      <c r="A119" t="s">
        <v>56</v>
      </c>
      <c r="D119" s="1">
        <f>D116*D117</f>
        <v>69.986100000000008</v>
      </c>
      <c r="E119" t="s">
        <v>13</v>
      </c>
    </row>
    <row r="120" spans="1:5" x14ac:dyDescent="0.25">
      <c r="D120" s="1">
        <f>D119/27</f>
        <v>2.5920777777777779</v>
      </c>
      <c r="E120" t="s">
        <v>8</v>
      </c>
    </row>
    <row r="122" spans="1:5" x14ac:dyDescent="0.25">
      <c r="A122" s="124" t="s">
        <v>57</v>
      </c>
      <c r="B122" s="7"/>
      <c r="C122" s="7"/>
      <c r="D122" s="126">
        <f>ROUNDUP((D103+D112+D120),0)</f>
        <v>8</v>
      </c>
      <c r="E122" s="124" t="s">
        <v>8</v>
      </c>
    </row>
    <row r="126" spans="1:5" x14ac:dyDescent="0.25">
      <c r="B126" s="6"/>
      <c r="C126" s="6"/>
      <c r="D126" s="6"/>
      <c r="E126" s="6"/>
    </row>
    <row r="127" spans="1:5" s="114" customFormat="1" x14ac:dyDescent="0.25">
      <c r="A127" s="125" t="s">
        <v>58</v>
      </c>
      <c r="B127" s="113"/>
      <c r="C127" s="113"/>
      <c r="D127" s="113"/>
      <c r="E127" s="113"/>
    </row>
    <row r="128" spans="1:5" x14ac:dyDescent="0.25">
      <c r="A128" s="2"/>
    </row>
    <row r="129" spans="1:5" x14ac:dyDescent="0.25">
      <c r="A129" s="3" t="s">
        <v>299</v>
      </c>
      <c r="B129" s="3"/>
    </row>
    <row r="130" spans="1:5" x14ac:dyDescent="0.25">
      <c r="A130" t="s">
        <v>60</v>
      </c>
      <c r="D130">
        <f>1+1025.5+1</f>
        <v>1027.5</v>
      </c>
      <c r="E130" t="s">
        <v>2</v>
      </c>
    </row>
    <row r="131" spans="1:5" x14ac:dyDescent="0.25">
      <c r="A131" t="s">
        <v>248</v>
      </c>
      <c r="D131">
        <v>11.25</v>
      </c>
      <c r="E131" t="s">
        <v>2</v>
      </c>
    </row>
    <row r="132" spans="1:5" x14ac:dyDescent="0.25">
      <c r="A132" t="s">
        <v>61</v>
      </c>
      <c r="D132">
        <v>2</v>
      </c>
    </row>
    <row r="133" spans="1:5" x14ac:dyDescent="0.25">
      <c r="A133" t="s">
        <v>62</v>
      </c>
      <c r="D133">
        <f>D130*D131*D132</f>
        <v>23118.75</v>
      </c>
      <c r="E133" t="s">
        <v>40</v>
      </c>
    </row>
    <row r="134" spans="1:5" x14ac:dyDescent="0.25">
      <c r="D134" s="2">
        <f>ROUNDUP(D133/9,0)</f>
        <v>2569</v>
      </c>
      <c r="E134" s="2" t="s">
        <v>24</v>
      </c>
    </row>
    <row r="136" spans="1:5" x14ac:dyDescent="0.25">
      <c r="A136" s="6" t="s">
        <v>63</v>
      </c>
    </row>
    <row r="137" spans="1:5" x14ac:dyDescent="0.25">
      <c r="A137" t="s">
        <v>64</v>
      </c>
      <c r="D137">
        <v>7</v>
      </c>
    </row>
    <row r="138" spans="1:5" x14ac:dyDescent="0.25">
      <c r="A138" t="s">
        <v>76</v>
      </c>
      <c r="D138">
        <v>3</v>
      </c>
      <c r="E138" t="s">
        <v>2</v>
      </c>
    </row>
    <row r="139" spans="1:5" x14ac:dyDescent="0.25">
      <c r="A139" t="s">
        <v>65</v>
      </c>
      <c r="D139">
        <f>D138*4</f>
        <v>12</v>
      </c>
      <c r="E139" t="s">
        <v>40</v>
      </c>
    </row>
    <row r="140" spans="1:5" x14ac:dyDescent="0.25">
      <c r="A140" t="s">
        <v>68</v>
      </c>
      <c r="D140">
        <v>2</v>
      </c>
    </row>
    <row r="142" spans="1:5" x14ac:dyDescent="0.25">
      <c r="A142" t="s">
        <v>66</v>
      </c>
      <c r="D142">
        <f>D138*4</f>
        <v>12</v>
      </c>
      <c r="E142" t="s">
        <v>40</v>
      </c>
    </row>
    <row r="143" spans="1:5" x14ac:dyDescent="0.25">
      <c r="A143" t="s">
        <v>69</v>
      </c>
      <c r="D143">
        <v>2</v>
      </c>
    </row>
    <row r="145" spans="1:8" x14ac:dyDescent="0.25">
      <c r="A145" t="s">
        <v>67</v>
      </c>
      <c r="D145">
        <f>4*(4+5.25)/2</f>
        <v>18.5</v>
      </c>
      <c r="E145" t="s">
        <v>40</v>
      </c>
    </row>
    <row r="146" spans="1:8" x14ac:dyDescent="0.25">
      <c r="A146" t="s">
        <v>70</v>
      </c>
      <c r="D146">
        <v>4</v>
      </c>
    </row>
    <row r="148" spans="1:8" x14ac:dyDescent="0.25">
      <c r="A148" t="s">
        <v>71</v>
      </c>
    </row>
    <row r="149" spans="1:8" x14ac:dyDescent="0.25">
      <c r="A149" t="s">
        <v>73</v>
      </c>
      <c r="D149">
        <v>17.100000000000001</v>
      </c>
      <c r="E149" t="s">
        <v>72</v>
      </c>
    </row>
    <row r="150" spans="1:8" x14ac:dyDescent="0.25">
      <c r="A150" t="s">
        <v>74</v>
      </c>
      <c r="D150">
        <f>4/COS(D149*PI()/180)</f>
        <v>4.1850065213585914</v>
      </c>
      <c r="E150" t="s">
        <v>2</v>
      </c>
    </row>
    <row r="151" spans="1:8" x14ac:dyDescent="0.25">
      <c r="A151" t="s">
        <v>75</v>
      </c>
      <c r="D151">
        <f>D138*D150</f>
        <v>12.555019564075774</v>
      </c>
      <c r="E151" t="s">
        <v>40</v>
      </c>
    </row>
    <row r="152" spans="1:8" x14ac:dyDescent="0.25">
      <c r="A152" t="s">
        <v>77</v>
      </c>
      <c r="D152">
        <v>2</v>
      </c>
    </row>
    <row r="154" spans="1:8" x14ac:dyDescent="0.25">
      <c r="A154" t="s">
        <v>78</v>
      </c>
      <c r="D154">
        <f>D137*(D139*D140+D142*D143+D145*D146+D151*D152)</f>
        <v>1029.7702738970609</v>
      </c>
      <c r="E154" t="s">
        <v>40</v>
      </c>
    </row>
    <row r="155" spans="1:8" x14ac:dyDescent="0.25">
      <c r="D155" s="2">
        <f>ROUNDUP(D154/9,0)</f>
        <v>115</v>
      </c>
      <c r="E155" s="2" t="s">
        <v>24</v>
      </c>
    </row>
    <row r="157" spans="1:8" x14ac:dyDescent="0.25">
      <c r="A157" s="3" t="s">
        <v>80</v>
      </c>
      <c r="B157" s="3"/>
      <c r="C157" s="3"/>
      <c r="D157" s="3"/>
      <c r="E157" s="3"/>
      <c r="F157" s="3"/>
      <c r="G157" s="3"/>
      <c r="H157" s="3"/>
    </row>
    <row r="159" spans="1:8" x14ac:dyDescent="0.25">
      <c r="A159" t="s">
        <v>81</v>
      </c>
      <c r="D159">
        <v>2</v>
      </c>
      <c r="E159" t="s">
        <v>2</v>
      </c>
    </row>
    <row r="160" spans="1:8" x14ac:dyDescent="0.25">
      <c r="A160" t="s">
        <v>82</v>
      </c>
      <c r="D160">
        <v>33.5</v>
      </c>
      <c r="E160" t="s">
        <v>2</v>
      </c>
    </row>
    <row r="161" spans="1:8" x14ac:dyDescent="0.25">
      <c r="A161" t="s">
        <v>276</v>
      </c>
      <c r="D161">
        <v>3</v>
      </c>
      <c r="E161" t="s">
        <v>2</v>
      </c>
    </row>
    <row r="162" spans="1:8" x14ac:dyDescent="0.25">
      <c r="A162" t="s">
        <v>88</v>
      </c>
      <c r="D162">
        <v>1.75</v>
      </c>
      <c r="E162" t="s">
        <v>2</v>
      </c>
    </row>
    <row r="163" spans="1:8" x14ac:dyDescent="0.25">
      <c r="A163" t="s">
        <v>275</v>
      </c>
      <c r="D163">
        <v>7.5</v>
      </c>
      <c r="E163" t="s">
        <v>2</v>
      </c>
    </row>
    <row r="165" spans="1:8" x14ac:dyDescent="0.25">
      <c r="A165" t="s">
        <v>84</v>
      </c>
      <c r="D165">
        <f>D160*D161</f>
        <v>100.5</v>
      </c>
      <c r="E165" t="s">
        <v>40</v>
      </c>
    </row>
    <row r="166" spans="1:8" x14ac:dyDescent="0.25">
      <c r="A166" t="s">
        <v>85</v>
      </c>
      <c r="D166">
        <f>D160*D159</f>
        <v>67</v>
      </c>
      <c r="E166" t="s">
        <v>40</v>
      </c>
    </row>
    <row r="167" spans="1:8" x14ac:dyDescent="0.25">
      <c r="A167" t="s">
        <v>86</v>
      </c>
      <c r="D167">
        <f>2*(D159*D161)</f>
        <v>12</v>
      </c>
      <c r="E167" t="s">
        <v>40</v>
      </c>
    </row>
    <row r="169" spans="1:8" ht="15.05" customHeight="1" x14ac:dyDescent="0.25">
      <c r="A169" s="29" t="s">
        <v>300</v>
      </c>
      <c r="B169" s="5"/>
      <c r="D169">
        <f>D163*D160</f>
        <v>251.25</v>
      </c>
      <c r="E169" t="s">
        <v>40</v>
      </c>
    </row>
    <row r="170" spans="1:8" x14ac:dyDescent="0.25">
      <c r="A170" s="5"/>
      <c r="B170" s="5"/>
      <c r="H170" s="54"/>
    </row>
    <row r="171" spans="1:8" x14ac:dyDescent="0.25">
      <c r="A171" s="4"/>
      <c r="B171" s="4"/>
    </row>
    <row r="172" spans="1:8" ht="15.05" customHeight="1" x14ac:dyDescent="0.25">
      <c r="A172" s="29" t="s">
        <v>390</v>
      </c>
      <c r="B172" s="55"/>
      <c r="D172">
        <f>125.6</f>
        <v>125.6</v>
      </c>
      <c r="E172" t="s">
        <v>87</v>
      </c>
    </row>
    <row r="173" spans="1:8" ht="15.05" customHeight="1" x14ac:dyDescent="0.25">
      <c r="A173" s="29" t="s">
        <v>392</v>
      </c>
      <c r="B173" s="55"/>
      <c r="D173">
        <f>21.5*(1.75+0.5)</f>
        <v>48.375</v>
      </c>
      <c r="E173" t="s">
        <v>40</v>
      </c>
    </row>
    <row r="174" spans="1:8" x14ac:dyDescent="0.25">
      <c r="A174" s="29" t="s">
        <v>391</v>
      </c>
      <c r="B174" s="55"/>
      <c r="D174">
        <v>144</v>
      </c>
      <c r="E174" t="s">
        <v>87</v>
      </c>
    </row>
    <row r="175" spans="1:8" x14ac:dyDescent="0.25">
      <c r="A175" s="29" t="s">
        <v>392</v>
      </c>
      <c r="B175" s="55"/>
      <c r="D175">
        <f>23*(1.75+0.5)</f>
        <v>51.75</v>
      </c>
      <c r="E175" t="s">
        <v>40</v>
      </c>
    </row>
    <row r="177" spans="1:8" x14ac:dyDescent="0.25">
      <c r="A177" t="s">
        <v>78</v>
      </c>
      <c r="D177">
        <f>D165+D166+D167+D169+D172+D173+D174+D175</f>
        <v>800.47500000000002</v>
      </c>
      <c r="E177" t="s">
        <v>40</v>
      </c>
    </row>
    <row r="178" spans="1:8" x14ac:dyDescent="0.25">
      <c r="D178" s="2">
        <f>ROUNDUP(D177/9,0)</f>
        <v>89</v>
      </c>
      <c r="E178" s="2" t="s">
        <v>24</v>
      </c>
    </row>
    <row r="181" spans="1:8" x14ac:dyDescent="0.25">
      <c r="A181" s="3" t="s">
        <v>89</v>
      </c>
      <c r="B181" s="3"/>
      <c r="C181" s="3"/>
      <c r="D181" s="3"/>
      <c r="E181" s="3"/>
      <c r="F181" s="3"/>
      <c r="G181" s="3"/>
      <c r="H181" s="3"/>
    </row>
    <row r="183" spans="1:8" x14ac:dyDescent="0.25">
      <c r="A183" t="s">
        <v>81</v>
      </c>
      <c r="D183">
        <v>2</v>
      </c>
      <c r="E183" t="s">
        <v>2</v>
      </c>
    </row>
    <row r="184" spans="1:8" x14ac:dyDescent="0.25">
      <c r="A184" t="s">
        <v>82</v>
      </c>
      <c r="D184">
        <v>33.5</v>
      </c>
      <c r="E184" t="s">
        <v>2</v>
      </c>
    </row>
    <row r="185" spans="1:8" x14ac:dyDescent="0.25">
      <c r="A185" t="s">
        <v>276</v>
      </c>
      <c r="D185">
        <v>3</v>
      </c>
      <c r="E185" t="s">
        <v>2</v>
      </c>
    </row>
    <row r="186" spans="1:8" x14ac:dyDescent="0.25">
      <c r="A186" t="s">
        <v>88</v>
      </c>
      <c r="D186">
        <v>1.75</v>
      </c>
      <c r="E186" t="s">
        <v>2</v>
      </c>
    </row>
    <row r="187" spans="1:8" x14ac:dyDescent="0.25">
      <c r="A187" t="s">
        <v>275</v>
      </c>
      <c r="D187">
        <v>7.5</v>
      </c>
      <c r="E187" t="s">
        <v>2</v>
      </c>
    </row>
    <row r="189" spans="1:8" x14ac:dyDescent="0.25">
      <c r="A189" t="s">
        <v>84</v>
      </c>
      <c r="D189">
        <f>D184*D185</f>
        <v>100.5</v>
      </c>
      <c r="E189" t="s">
        <v>40</v>
      </c>
    </row>
    <row r="190" spans="1:8" x14ac:dyDescent="0.25">
      <c r="A190" t="s">
        <v>85</v>
      </c>
      <c r="D190">
        <f>D184*D183</f>
        <v>67</v>
      </c>
      <c r="E190" t="s">
        <v>40</v>
      </c>
    </row>
    <row r="191" spans="1:8" x14ac:dyDescent="0.25">
      <c r="A191" t="s">
        <v>86</v>
      </c>
      <c r="D191">
        <f>2*(D183*D185)</f>
        <v>12</v>
      </c>
      <c r="E191" t="s">
        <v>40</v>
      </c>
    </row>
    <row r="192" spans="1:8" ht="15.05" customHeight="1" x14ac:dyDescent="0.25"/>
    <row r="193" spans="1:5" x14ac:dyDescent="0.25">
      <c r="A193" s="29" t="s">
        <v>300</v>
      </c>
      <c r="B193" s="5"/>
      <c r="D193">
        <f>D187*D184</f>
        <v>251.25</v>
      </c>
      <c r="E193" t="s">
        <v>40</v>
      </c>
    </row>
    <row r="194" spans="1:5" x14ac:dyDescent="0.25">
      <c r="A194" s="5"/>
      <c r="B194" s="5"/>
    </row>
    <row r="195" spans="1:5" ht="15.05" customHeight="1" x14ac:dyDescent="0.25">
      <c r="A195" s="4"/>
      <c r="B195" s="4"/>
    </row>
    <row r="196" spans="1:5" x14ac:dyDescent="0.25">
      <c r="A196" s="29" t="s">
        <v>390</v>
      </c>
      <c r="B196" s="55"/>
      <c r="D196">
        <f>124.9</f>
        <v>124.9</v>
      </c>
      <c r="E196" t="s">
        <v>87</v>
      </c>
    </row>
    <row r="197" spans="1:5" x14ac:dyDescent="0.25">
      <c r="A197" s="29" t="s">
        <v>392</v>
      </c>
      <c r="B197" s="55"/>
      <c r="D197">
        <f>21.5*(1.75+0.5)</f>
        <v>48.375</v>
      </c>
      <c r="E197" t="s">
        <v>40</v>
      </c>
    </row>
    <row r="198" spans="1:5" x14ac:dyDescent="0.25">
      <c r="A198" s="29" t="s">
        <v>391</v>
      </c>
      <c r="B198" s="55"/>
      <c r="D198">
        <v>124.9</v>
      </c>
      <c r="E198" t="s">
        <v>87</v>
      </c>
    </row>
    <row r="199" spans="1:5" x14ac:dyDescent="0.25">
      <c r="A199" s="29" t="s">
        <v>392</v>
      </c>
      <c r="B199" s="55"/>
      <c r="D199">
        <f>21.5*(1.75+0.5)</f>
        <v>48.375</v>
      </c>
      <c r="E199" t="s">
        <v>40</v>
      </c>
    </row>
    <row r="201" spans="1:5" x14ac:dyDescent="0.25">
      <c r="A201" t="s">
        <v>78</v>
      </c>
      <c r="D201">
        <f>D189+D190+D191+D193+D196+D197+D198+D199</f>
        <v>777.3</v>
      </c>
      <c r="E201" t="s">
        <v>40</v>
      </c>
    </row>
    <row r="202" spans="1:5" x14ac:dyDescent="0.25">
      <c r="D202" s="2">
        <f>ROUNDUP(D201/9,0)</f>
        <v>87</v>
      </c>
      <c r="E202" s="2" t="s">
        <v>24</v>
      </c>
    </row>
    <row r="204" spans="1:5" x14ac:dyDescent="0.25">
      <c r="A204" s="124" t="s">
        <v>90</v>
      </c>
      <c r="B204" s="7"/>
      <c r="C204" s="7"/>
      <c r="D204" s="124">
        <f>ROUNDUP(D134+D155+D178+D202,0)</f>
        <v>2860</v>
      </c>
      <c r="E204" s="124" t="s">
        <v>24</v>
      </c>
    </row>
    <row r="207" spans="1:5" s="114" customFormat="1" x14ac:dyDescent="0.25">
      <c r="A207" s="125" t="s">
        <v>79</v>
      </c>
    </row>
    <row r="209" spans="1:8" x14ac:dyDescent="0.25">
      <c r="A209" s="3" t="s">
        <v>299</v>
      </c>
      <c r="B209" s="3"/>
    </row>
    <row r="210" spans="1:8" x14ac:dyDescent="0.25">
      <c r="A210" t="s">
        <v>60</v>
      </c>
      <c r="D210">
        <v>1027.5</v>
      </c>
      <c r="E210" t="s">
        <v>2</v>
      </c>
    </row>
    <row r="211" spans="1:8" x14ac:dyDescent="0.25">
      <c r="A211" t="s">
        <v>248</v>
      </c>
      <c r="D211">
        <v>1.5</v>
      </c>
      <c r="E211" t="s">
        <v>2</v>
      </c>
    </row>
    <row r="212" spans="1:8" x14ac:dyDescent="0.25">
      <c r="A212" t="s">
        <v>61</v>
      </c>
      <c r="D212">
        <v>2</v>
      </c>
    </row>
    <row r="213" spans="1:8" x14ac:dyDescent="0.25">
      <c r="A213" t="s">
        <v>62</v>
      </c>
      <c r="D213">
        <f>D210*D211*D212</f>
        <v>3082.5</v>
      </c>
      <c r="E213" t="s">
        <v>40</v>
      </c>
    </row>
    <row r="214" spans="1:8" x14ac:dyDescent="0.25">
      <c r="D214">
        <f>D213/9</f>
        <v>342.5</v>
      </c>
      <c r="E214" t="s">
        <v>24</v>
      </c>
    </row>
    <row r="217" spans="1:8" x14ac:dyDescent="0.25">
      <c r="A217" s="3" t="s">
        <v>80</v>
      </c>
      <c r="B217" s="3"/>
      <c r="C217" s="3"/>
      <c r="D217" s="3"/>
      <c r="E217" s="3"/>
      <c r="F217" s="3"/>
      <c r="G217" s="3"/>
      <c r="H217" s="3"/>
    </row>
    <row r="219" spans="1:8" x14ac:dyDescent="0.25">
      <c r="A219" t="s">
        <v>81</v>
      </c>
      <c r="D219">
        <v>2</v>
      </c>
      <c r="E219" t="s">
        <v>2</v>
      </c>
    </row>
    <row r="220" spans="1:8" x14ac:dyDescent="0.25">
      <c r="A220" t="s">
        <v>82</v>
      </c>
      <c r="D220">
        <v>33.5</v>
      </c>
      <c r="E220" t="s">
        <v>2</v>
      </c>
    </row>
    <row r="221" spans="1:8" x14ac:dyDescent="0.25">
      <c r="A221" t="s">
        <v>276</v>
      </c>
      <c r="D221">
        <v>3</v>
      </c>
      <c r="E221" t="s">
        <v>2</v>
      </c>
    </row>
    <row r="222" spans="1:8" x14ac:dyDescent="0.25">
      <c r="A222" t="s">
        <v>88</v>
      </c>
      <c r="D222">
        <v>1.75</v>
      </c>
      <c r="E222" t="s">
        <v>2</v>
      </c>
    </row>
    <row r="223" spans="1:8" x14ac:dyDescent="0.25">
      <c r="A223" t="s">
        <v>275</v>
      </c>
      <c r="D223">
        <v>7.5</v>
      </c>
      <c r="E223" t="s">
        <v>2</v>
      </c>
    </row>
    <row r="225" spans="1:8" x14ac:dyDescent="0.25">
      <c r="A225" t="s">
        <v>84</v>
      </c>
      <c r="D225">
        <f>D220*D221</f>
        <v>100.5</v>
      </c>
      <c r="E225" t="s">
        <v>40</v>
      </c>
    </row>
    <row r="226" spans="1:8" x14ac:dyDescent="0.25">
      <c r="A226" t="s">
        <v>85</v>
      </c>
      <c r="D226">
        <f>D220*D219</f>
        <v>67</v>
      </c>
      <c r="E226" t="s">
        <v>40</v>
      </c>
    </row>
    <row r="227" spans="1:8" x14ac:dyDescent="0.25">
      <c r="A227" t="s">
        <v>86</v>
      </c>
      <c r="D227">
        <f>2*(D219*D221)</f>
        <v>12</v>
      </c>
      <c r="E227" t="s">
        <v>40</v>
      </c>
    </row>
    <row r="229" spans="1:8" x14ac:dyDescent="0.25">
      <c r="A229" s="29" t="s">
        <v>300</v>
      </c>
      <c r="B229" s="5"/>
      <c r="D229">
        <f>D223*D220</f>
        <v>251.25</v>
      </c>
      <c r="E229" t="s">
        <v>40</v>
      </c>
    </row>
    <row r="230" spans="1:8" x14ac:dyDescent="0.25">
      <c r="A230" s="5"/>
      <c r="B230" s="5"/>
      <c r="H230" s="54"/>
    </row>
    <row r="231" spans="1:8" x14ac:dyDescent="0.25">
      <c r="A231" s="4"/>
      <c r="B231" s="4"/>
    </row>
    <row r="232" spans="1:8" x14ac:dyDescent="0.25">
      <c r="A232" s="29" t="s">
        <v>390</v>
      </c>
      <c r="B232" s="55"/>
      <c r="D232">
        <f>125.6</f>
        <v>125.6</v>
      </c>
      <c r="E232" t="s">
        <v>87</v>
      </c>
    </row>
    <row r="233" spans="1:8" x14ac:dyDescent="0.25">
      <c r="A233" s="29" t="s">
        <v>392</v>
      </c>
      <c r="B233" s="55"/>
      <c r="D233">
        <f>21.5*(1.75+0.5)</f>
        <v>48.375</v>
      </c>
      <c r="E233" t="s">
        <v>40</v>
      </c>
    </row>
    <row r="234" spans="1:8" x14ac:dyDescent="0.25">
      <c r="A234" s="29" t="s">
        <v>391</v>
      </c>
      <c r="B234" s="55"/>
      <c r="D234">
        <v>144</v>
      </c>
      <c r="E234" t="s">
        <v>87</v>
      </c>
    </row>
    <row r="235" spans="1:8" x14ac:dyDescent="0.25">
      <c r="A235" s="29" t="s">
        <v>392</v>
      </c>
      <c r="B235" s="55"/>
      <c r="D235">
        <f>23*(1.75+0.5)</f>
        <v>51.75</v>
      </c>
      <c r="E235" t="s">
        <v>40</v>
      </c>
    </row>
    <row r="237" spans="1:8" x14ac:dyDescent="0.25">
      <c r="A237" t="s">
        <v>78</v>
      </c>
      <c r="D237">
        <f>D225+D226+D227+D229+D232+D233+D234+D235</f>
        <v>800.47500000000002</v>
      </c>
      <c r="E237" t="s">
        <v>40</v>
      </c>
    </row>
    <row r="238" spans="1:8" x14ac:dyDescent="0.25">
      <c r="D238" s="2">
        <f>ROUNDUP(D237/9,0)</f>
        <v>89</v>
      </c>
      <c r="E238" s="2" t="s">
        <v>24</v>
      </c>
    </row>
    <row r="241" spans="1:8" x14ac:dyDescent="0.25">
      <c r="A241" s="3" t="s">
        <v>89</v>
      </c>
      <c r="B241" s="3"/>
      <c r="C241" s="3"/>
      <c r="D241" s="3"/>
      <c r="E241" s="3"/>
      <c r="F241" s="3"/>
      <c r="G241" s="3"/>
      <c r="H241" s="3"/>
    </row>
    <row r="243" spans="1:8" x14ac:dyDescent="0.25">
      <c r="A243" t="s">
        <v>81</v>
      </c>
      <c r="D243">
        <v>2</v>
      </c>
      <c r="E243" t="s">
        <v>2</v>
      </c>
    </row>
    <row r="244" spans="1:8" x14ac:dyDescent="0.25">
      <c r="A244" t="s">
        <v>82</v>
      </c>
      <c r="D244">
        <v>33.5</v>
      </c>
      <c r="E244" t="s">
        <v>2</v>
      </c>
    </row>
    <row r="245" spans="1:8" x14ac:dyDescent="0.25">
      <c r="A245" t="s">
        <v>276</v>
      </c>
      <c r="D245">
        <v>3</v>
      </c>
      <c r="E245" t="s">
        <v>2</v>
      </c>
    </row>
    <row r="246" spans="1:8" x14ac:dyDescent="0.25">
      <c r="A246" t="s">
        <v>88</v>
      </c>
      <c r="D246">
        <v>1.75</v>
      </c>
      <c r="E246" t="s">
        <v>2</v>
      </c>
    </row>
    <row r="247" spans="1:8" x14ac:dyDescent="0.25">
      <c r="A247" t="s">
        <v>275</v>
      </c>
      <c r="D247">
        <v>7.5</v>
      </c>
      <c r="E247" t="s">
        <v>2</v>
      </c>
    </row>
    <row r="249" spans="1:8" x14ac:dyDescent="0.25">
      <c r="A249" t="s">
        <v>84</v>
      </c>
      <c r="D249">
        <f>D244*D245</f>
        <v>100.5</v>
      </c>
      <c r="E249" t="s">
        <v>40</v>
      </c>
    </row>
    <row r="250" spans="1:8" x14ac:dyDescent="0.25">
      <c r="A250" t="s">
        <v>85</v>
      </c>
      <c r="D250">
        <f>D244*D243</f>
        <v>67</v>
      </c>
      <c r="E250" t="s">
        <v>40</v>
      </c>
    </row>
    <row r="251" spans="1:8" x14ac:dyDescent="0.25">
      <c r="A251" t="s">
        <v>86</v>
      </c>
      <c r="D251">
        <f>2*(D243*D245)</f>
        <v>12</v>
      </c>
      <c r="E251" t="s">
        <v>40</v>
      </c>
    </row>
    <row r="253" spans="1:8" x14ac:dyDescent="0.25">
      <c r="A253" s="29" t="s">
        <v>300</v>
      </c>
      <c r="B253" s="5"/>
      <c r="D253">
        <f>D247*D244</f>
        <v>251.25</v>
      </c>
      <c r="E253" t="s">
        <v>40</v>
      </c>
    </row>
    <row r="254" spans="1:8" x14ac:dyDescent="0.25">
      <c r="A254" s="5"/>
      <c r="B254" s="5"/>
    </row>
    <row r="255" spans="1:8" x14ac:dyDescent="0.25">
      <c r="A255" s="4"/>
      <c r="B255" s="4"/>
    </row>
    <row r="256" spans="1:8" x14ac:dyDescent="0.25">
      <c r="A256" s="29" t="s">
        <v>390</v>
      </c>
      <c r="B256" s="55"/>
      <c r="D256">
        <f>124.9</f>
        <v>124.9</v>
      </c>
      <c r="E256" t="s">
        <v>87</v>
      </c>
    </row>
    <row r="257" spans="1:6" x14ac:dyDescent="0.25">
      <c r="A257" s="29" t="s">
        <v>392</v>
      </c>
      <c r="B257" s="55"/>
      <c r="D257">
        <f>21.5*(1.75+0.5)</f>
        <v>48.375</v>
      </c>
      <c r="E257" t="s">
        <v>40</v>
      </c>
    </row>
    <row r="258" spans="1:6" x14ac:dyDescent="0.25">
      <c r="A258" s="29" t="s">
        <v>391</v>
      </c>
      <c r="B258" s="55"/>
      <c r="D258">
        <v>124.9</v>
      </c>
      <c r="E258" t="s">
        <v>87</v>
      </c>
    </row>
    <row r="259" spans="1:6" x14ac:dyDescent="0.25">
      <c r="A259" s="29" t="s">
        <v>392</v>
      </c>
      <c r="B259" s="55"/>
      <c r="D259">
        <f>21.5*(1.75+0.5)</f>
        <v>48.375</v>
      </c>
      <c r="E259" t="s">
        <v>40</v>
      </c>
    </row>
    <row r="261" spans="1:6" x14ac:dyDescent="0.25">
      <c r="A261" t="s">
        <v>78</v>
      </c>
      <c r="D261">
        <f>D249+D250+D251+D253+D256+D257+D258+D259</f>
        <v>777.3</v>
      </c>
      <c r="E261" t="s">
        <v>40</v>
      </c>
    </row>
    <row r="262" spans="1:6" x14ac:dyDescent="0.25">
      <c r="D262" s="2">
        <f>ROUNDUP(D261/9,0)</f>
        <v>87</v>
      </c>
      <c r="E262" s="2" t="s">
        <v>24</v>
      </c>
    </row>
    <row r="263" spans="1:6" x14ac:dyDescent="0.25">
      <c r="D263" s="2"/>
      <c r="E263" s="2"/>
    </row>
    <row r="264" spans="1:6" x14ac:dyDescent="0.25">
      <c r="A264" s="124" t="s">
        <v>90</v>
      </c>
      <c r="B264" s="124"/>
      <c r="C264" s="124"/>
      <c r="D264" s="124">
        <f>ROUNDUP(D214+D238+D262,0)</f>
        <v>519</v>
      </c>
      <c r="E264" s="124" t="s">
        <v>24</v>
      </c>
    </row>
    <row r="268" spans="1:6" x14ac:dyDescent="0.25">
      <c r="A268" s="2" t="s">
        <v>274</v>
      </c>
    </row>
    <row r="270" spans="1:6" x14ac:dyDescent="0.25">
      <c r="A270" t="s">
        <v>11</v>
      </c>
      <c r="D270">
        <v>25</v>
      </c>
      <c r="E270" t="s">
        <v>2</v>
      </c>
    </row>
    <row r="271" spans="1:6" x14ac:dyDescent="0.25">
      <c r="A271" t="s">
        <v>10</v>
      </c>
      <c r="D271">
        <v>2</v>
      </c>
      <c r="E271" t="s">
        <v>2</v>
      </c>
      <c r="F271" t="s">
        <v>21</v>
      </c>
    </row>
    <row r="272" spans="1:6" x14ac:dyDescent="0.25">
      <c r="A272" t="s">
        <v>12</v>
      </c>
      <c r="D272">
        <v>0</v>
      </c>
    </row>
    <row r="273" spans="1:10" x14ac:dyDescent="0.25">
      <c r="A273" t="s">
        <v>22</v>
      </c>
      <c r="D273">
        <f>D270*D271*D272</f>
        <v>0</v>
      </c>
      <c r="E273" t="s">
        <v>23</v>
      </c>
      <c r="F273">
        <f>D273/9</f>
        <v>0</v>
      </c>
      <c r="G273" t="s">
        <v>24</v>
      </c>
    </row>
    <row r="275" spans="1:10" x14ac:dyDescent="0.25">
      <c r="A275" t="s">
        <v>25</v>
      </c>
      <c r="D275" s="1">
        <f>0.6666+1025.5+0.6666</f>
        <v>1026.8332</v>
      </c>
      <c r="E275" t="s">
        <v>2</v>
      </c>
      <c r="F275" t="s">
        <v>27</v>
      </c>
    </row>
    <row r="276" spans="1:10" x14ac:dyDescent="0.25">
      <c r="A276" t="s">
        <v>26</v>
      </c>
      <c r="D276">
        <v>0</v>
      </c>
      <c r="E276" t="s">
        <v>2</v>
      </c>
      <c r="F276" t="s">
        <v>21</v>
      </c>
    </row>
    <row r="277" spans="1:10" x14ac:dyDescent="0.25">
      <c r="A277" t="s">
        <v>36</v>
      </c>
      <c r="D277" s="1">
        <f>D275*D276</f>
        <v>0</v>
      </c>
      <c r="E277" t="s">
        <v>23</v>
      </c>
      <c r="F277">
        <f>D277/9</f>
        <v>0</v>
      </c>
      <c r="G277" t="s">
        <v>24</v>
      </c>
    </row>
    <row r="279" spans="1:10" x14ac:dyDescent="0.25">
      <c r="A279" s="124" t="s">
        <v>28</v>
      </c>
      <c r="B279" s="124">
        <f>ROUNDUP(F273+F277,0)</f>
        <v>0</v>
      </c>
      <c r="C279" s="124" t="s">
        <v>24</v>
      </c>
    </row>
    <row r="285" spans="1:10" x14ac:dyDescent="0.25">
      <c r="A285" s="57"/>
    </row>
    <row r="286" spans="1:10" x14ac:dyDescent="0.25">
      <c r="A286" s="232" t="s">
        <v>309</v>
      </c>
      <c r="B286" s="232"/>
      <c r="C286" s="232"/>
      <c r="D286" s="232"/>
      <c r="E286" s="232"/>
      <c r="F286" s="232"/>
      <c r="G286" s="232"/>
      <c r="H286" s="232"/>
      <c r="I286" s="232"/>
      <c r="J286" s="232"/>
    </row>
    <row r="287" spans="1:10" x14ac:dyDescent="0.25">
      <c r="A287" s="232"/>
      <c r="B287" s="232"/>
      <c r="C287" s="232"/>
      <c r="D287" s="232"/>
      <c r="E287" s="232"/>
      <c r="F287" s="232"/>
      <c r="G287" s="232"/>
      <c r="H287" s="232"/>
      <c r="I287" s="232"/>
      <c r="J287" s="232"/>
    </row>
    <row r="288" spans="1:10" x14ac:dyDescent="0.25">
      <c r="A288" s="232"/>
      <c r="B288" s="232"/>
      <c r="C288" s="232"/>
      <c r="D288" s="232"/>
      <c r="E288" s="232"/>
      <c r="F288" s="232"/>
      <c r="G288" s="232"/>
      <c r="H288" s="232"/>
      <c r="I288" s="232"/>
      <c r="J288" s="232"/>
    </row>
    <row r="289" spans="2:71" ht="15.6" x14ac:dyDescent="0.25">
      <c r="H289" t="s">
        <v>338</v>
      </c>
      <c r="L289" t="s">
        <v>339</v>
      </c>
      <c r="P289" t="s">
        <v>340</v>
      </c>
      <c r="Q289">
        <f>2*(2.5+72+2.5)+(3*18)-(2*0.4375)</f>
        <v>207.125</v>
      </c>
      <c r="T289" t="s">
        <v>341</v>
      </c>
      <c r="AM289" s="8"/>
    </row>
    <row r="290" spans="2:71" ht="29.7" x14ac:dyDescent="0.25">
      <c r="H290" s="9" t="s">
        <v>418</v>
      </c>
      <c r="I290" s="10">
        <f>2*(30.25)+(3*10.5)-(2*0.5)</f>
        <v>91</v>
      </c>
      <c r="J290" s="10" t="s">
        <v>92</v>
      </c>
      <c r="K290" s="9" t="s">
        <v>93</v>
      </c>
      <c r="L290" s="9" t="s">
        <v>91</v>
      </c>
      <c r="M290" s="10">
        <v>0</v>
      </c>
      <c r="N290" s="10" t="s">
        <v>92</v>
      </c>
      <c r="O290" s="9" t="s">
        <v>93</v>
      </c>
      <c r="P290" s="9" t="s">
        <v>91</v>
      </c>
      <c r="Q290" s="10">
        <v>0</v>
      </c>
      <c r="R290" s="10" t="s">
        <v>92</v>
      </c>
      <c r="S290" s="9" t="s">
        <v>93</v>
      </c>
      <c r="T290" s="9" t="s">
        <v>91</v>
      </c>
      <c r="U290" s="10">
        <v>0</v>
      </c>
      <c r="V290" s="10" t="s">
        <v>92</v>
      </c>
      <c r="W290" s="9" t="s">
        <v>93</v>
      </c>
      <c r="X290" s="115"/>
    </row>
    <row r="291" spans="2:71" ht="123.8" customHeight="1" x14ac:dyDescent="0.25">
      <c r="B291">
        <v>514</v>
      </c>
      <c r="C291" s="11" t="s">
        <v>94</v>
      </c>
      <c r="D291" s="4" t="s">
        <v>95</v>
      </c>
      <c r="E291" t="s">
        <v>40</v>
      </c>
      <c r="F291" s="12">
        <f>P309</f>
        <v>9404.0115937610735</v>
      </c>
      <c r="H291" s="58" t="s">
        <v>417</v>
      </c>
      <c r="I291" s="10">
        <f>I290/12</f>
        <v>7.583333333333333</v>
      </c>
      <c r="J291" s="10" t="s">
        <v>52</v>
      </c>
      <c r="K291" s="13"/>
      <c r="L291" s="58" t="s">
        <v>337</v>
      </c>
      <c r="M291" s="10">
        <f>M290/12</f>
        <v>0</v>
      </c>
      <c r="N291" s="10" t="s">
        <v>52</v>
      </c>
      <c r="O291" s="13"/>
      <c r="P291" s="58" t="s">
        <v>381</v>
      </c>
      <c r="Q291" s="10">
        <f>Q290/12</f>
        <v>0</v>
      </c>
      <c r="R291" s="10" t="s">
        <v>52</v>
      </c>
      <c r="S291" s="13"/>
      <c r="T291" s="58" t="s">
        <v>382</v>
      </c>
      <c r="U291" s="10">
        <f>U290/12</f>
        <v>0</v>
      </c>
      <c r="V291" s="10" t="s">
        <v>52</v>
      </c>
      <c r="W291" s="13"/>
      <c r="X291" s="116"/>
    </row>
    <row r="292" spans="2:71" ht="44.55" x14ac:dyDescent="0.25">
      <c r="B292">
        <v>514</v>
      </c>
      <c r="C292" s="11" t="s">
        <v>96</v>
      </c>
      <c r="D292" s="4" t="s">
        <v>97</v>
      </c>
      <c r="E292" t="s">
        <v>40</v>
      </c>
      <c r="F292" s="12">
        <f>P309</f>
        <v>9404.0115937610735</v>
      </c>
      <c r="AH292" s="129" t="s">
        <v>407</v>
      </c>
      <c r="AI292" s="60"/>
      <c r="AJ292" s="60"/>
      <c r="AK292" s="60"/>
      <c r="AL292" s="60"/>
      <c r="AM292" s="60"/>
      <c r="AN292" s="60"/>
      <c r="AO292" s="60"/>
      <c r="AP292" s="60"/>
      <c r="AQ292" s="61"/>
    </row>
    <row r="293" spans="2:71" ht="59.4" x14ac:dyDescent="0.25">
      <c r="B293">
        <v>514</v>
      </c>
      <c r="C293" s="11" t="s">
        <v>98</v>
      </c>
      <c r="D293" s="4" t="s">
        <v>99</v>
      </c>
      <c r="E293" t="s">
        <v>40</v>
      </c>
      <c r="F293" s="12">
        <f>P309</f>
        <v>9404.0115937610735</v>
      </c>
      <c r="H293" s="10" t="s">
        <v>100</v>
      </c>
      <c r="I293" s="10">
        <f>(0.75+43+54+43+0.75)</f>
        <v>141.5</v>
      </c>
      <c r="J293" s="10" t="s">
        <v>52</v>
      </c>
      <c r="K293" s="10"/>
      <c r="L293" s="10" t="s">
        <v>100</v>
      </c>
      <c r="M293" s="10">
        <v>0</v>
      </c>
      <c r="N293" s="10" t="s">
        <v>52</v>
      </c>
      <c r="O293" s="10"/>
      <c r="P293" s="10" t="s">
        <v>100</v>
      </c>
      <c r="Q293" s="10">
        <v>0</v>
      </c>
      <c r="R293" s="10" t="s">
        <v>52</v>
      </c>
      <c r="S293" s="10"/>
      <c r="T293" s="10" t="s">
        <v>100</v>
      </c>
      <c r="U293" s="10">
        <v>0</v>
      </c>
      <c r="V293" s="10" t="s">
        <v>52</v>
      </c>
      <c r="W293" s="10"/>
      <c r="AH293" s="62"/>
      <c r="AI293" s="63"/>
      <c r="AJ293" s="63"/>
      <c r="AK293" s="63"/>
      <c r="AL293" s="63"/>
      <c r="AM293" s="63" t="s">
        <v>102</v>
      </c>
      <c r="AN293" s="63"/>
      <c r="AO293" s="64">
        <v>8.1999999999999993</v>
      </c>
      <c r="AP293" s="65" t="s">
        <v>103</v>
      </c>
      <c r="AQ293" s="66"/>
    </row>
    <row r="294" spans="2:71" ht="44.55" x14ac:dyDescent="0.25">
      <c r="B294">
        <v>514</v>
      </c>
      <c r="C294" s="11" t="s">
        <v>104</v>
      </c>
      <c r="D294" s="4" t="s">
        <v>105</v>
      </c>
      <c r="E294" t="s">
        <v>40</v>
      </c>
      <c r="F294" s="12">
        <f>P309</f>
        <v>9404.0115937610735</v>
      </c>
      <c r="H294" s="22" t="s">
        <v>106</v>
      </c>
      <c r="I294" s="23" t="s">
        <v>107</v>
      </c>
      <c r="J294" s="24"/>
      <c r="K294" s="22"/>
      <c r="L294" s="22" t="s">
        <v>106</v>
      </c>
      <c r="M294" s="23" t="s">
        <v>339</v>
      </c>
      <c r="N294" s="24"/>
      <c r="O294" s="22"/>
      <c r="P294" s="22" t="s">
        <v>106</v>
      </c>
      <c r="Q294" s="23" t="s">
        <v>340</v>
      </c>
      <c r="R294" s="24"/>
      <c r="S294" s="22"/>
      <c r="T294" s="22" t="s">
        <v>106</v>
      </c>
      <c r="U294" s="23" t="s">
        <v>341</v>
      </c>
      <c r="V294" s="24"/>
      <c r="W294" s="22"/>
      <c r="X294" s="117"/>
      <c r="Y294" s="213" t="s">
        <v>352</v>
      </c>
      <c r="Z294" s="214"/>
      <c r="AA294" s="214"/>
      <c r="AB294" s="214"/>
      <c r="AC294" s="214"/>
      <c r="AD294" s="214"/>
      <c r="AE294" s="214"/>
      <c r="AF294" s="215"/>
      <c r="AH294" s="62"/>
      <c r="AI294" s="63"/>
      <c r="AJ294" s="63"/>
      <c r="AK294" s="63"/>
      <c r="AL294" s="65"/>
      <c r="AM294" s="65"/>
      <c r="AN294" s="65"/>
      <c r="AO294" s="63"/>
      <c r="AP294" s="63"/>
      <c r="AQ294" s="66"/>
    </row>
    <row r="295" spans="2:71" ht="44.55" x14ac:dyDescent="0.25">
      <c r="B295">
        <v>514</v>
      </c>
      <c r="C295" s="11" t="s">
        <v>109</v>
      </c>
      <c r="D295" s="5" t="s">
        <v>110</v>
      </c>
      <c r="E295" t="s">
        <v>111</v>
      </c>
      <c r="F295" s="26">
        <f>ROUNDUP(J297*J299/60,0)</f>
        <v>10</v>
      </c>
      <c r="H295" s="10" t="s">
        <v>112</v>
      </c>
      <c r="I295" s="10">
        <f>I293*I291</f>
        <v>1073.0416666666665</v>
      </c>
      <c r="J295" s="10" t="s">
        <v>113</v>
      </c>
      <c r="K295" s="10"/>
      <c r="L295" s="10" t="s">
        <v>112</v>
      </c>
      <c r="M295" s="10">
        <f>M293*M291</f>
        <v>0</v>
      </c>
      <c r="N295" s="10" t="s">
        <v>113</v>
      </c>
      <c r="O295" s="10"/>
      <c r="P295" s="10" t="s">
        <v>112</v>
      </c>
      <c r="Q295" s="10">
        <f>Q293*Q291</f>
        <v>0</v>
      </c>
      <c r="R295" s="10" t="s">
        <v>113</v>
      </c>
      <c r="S295" s="10"/>
      <c r="T295" s="10" t="s">
        <v>112</v>
      </c>
      <c r="U295" s="10">
        <f>U293*U291</f>
        <v>0</v>
      </c>
      <c r="V295" s="10" t="s">
        <v>113</v>
      </c>
      <c r="W295" s="10"/>
      <c r="X295" s="19"/>
      <c r="Y295" s="19"/>
      <c r="Z295" t="s">
        <v>114</v>
      </c>
      <c r="AA295" s="27">
        <v>6.96</v>
      </c>
      <c r="AB295" s="27" t="s">
        <v>52</v>
      </c>
      <c r="AC295" s="27"/>
      <c r="AF295" s="21"/>
      <c r="AH295" s="216" t="s">
        <v>352</v>
      </c>
      <c r="AI295" s="217"/>
      <c r="AJ295" s="217"/>
      <c r="AK295" s="217"/>
      <c r="AL295" s="217"/>
      <c r="AM295" s="217"/>
      <c r="AN295" s="217"/>
      <c r="AO295" s="63"/>
      <c r="AP295" s="63"/>
      <c r="AQ295" s="66"/>
      <c r="AW295" t="s">
        <v>387</v>
      </c>
    </row>
    <row r="296" spans="2:71" ht="31.95" thickBot="1" x14ac:dyDescent="0.4">
      <c r="B296">
        <v>514</v>
      </c>
      <c r="C296" s="29">
        <v>10000</v>
      </c>
      <c r="D296" s="5" t="s">
        <v>115</v>
      </c>
      <c r="E296" t="s">
        <v>116</v>
      </c>
      <c r="F296" s="30">
        <f>ROUNDUP(MAX(F291/1200,(J297*J299/150)),0)</f>
        <v>8</v>
      </c>
      <c r="H296" s="90" t="s">
        <v>117</v>
      </c>
      <c r="I296" s="91">
        <f>I295*1.1</f>
        <v>1180.3458333333333</v>
      </c>
      <c r="J296" s="90" t="s">
        <v>113</v>
      </c>
      <c r="K296" s="90"/>
      <c r="L296" s="10" t="s">
        <v>117</v>
      </c>
      <c r="M296" s="31">
        <f>M295*1.1</f>
        <v>0</v>
      </c>
      <c r="N296" s="10" t="s">
        <v>113</v>
      </c>
      <c r="O296" s="10"/>
      <c r="P296" s="10" t="s">
        <v>117</v>
      </c>
      <c r="Q296" s="31">
        <f>Q295*1.1</f>
        <v>0</v>
      </c>
      <c r="R296" s="10" t="s">
        <v>113</v>
      </c>
      <c r="S296" s="10"/>
      <c r="T296" s="10" t="s">
        <v>117</v>
      </c>
      <c r="U296" s="31">
        <f>U295*1.1</f>
        <v>0</v>
      </c>
      <c r="V296" s="10" t="s">
        <v>113</v>
      </c>
      <c r="W296" s="10"/>
      <c r="X296" s="19"/>
      <c r="Y296" s="19" t="s">
        <v>419</v>
      </c>
      <c r="Z296" s="28" t="s">
        <v>386</v>
      </c>
      <c r="AA296">
        <f>6.96*12</f>
        <v>83.52</v>
      </c>
      <c r="AB296" t="s">
        <v>92</v>
      </c>
      <c r="AD296" s="25"/>
      <c r="AF296" s="21"/>
      <c r="AH296" s="67"/>
      <c r="AI296" s="65"/>
      <c r="AJ296" s="65" t="s">
        <v>101</v>
      </c>
      <c r="AK296" s="65" t="s">
        <v>119</v>
      </c>
      <c r="AL296" s="65" t="s">
        <v>120</v>
      </c>
      <c r="AM296" s="65"/>
      <c r="AN296" s="65"/>
      <c r="AO296" s="68" t="s">
        <v>118</v>
      </c>
      <c r="AP296" s="63">
        <v>2</v>
      </c>
      <c r="AQ296" s="66" t="s">
        <v>92</v>
      </c>
      <c r="AW296" s="118" t="s">
        <v>357</v>
      </c>
      <c r="AX296" s="118">
        <v>10.25</v>
      </c>
      <c r="AY296" s="118" t="s">
        <v>52</v>
      </c>
      <c r="AZ296" s="118"/>
      <c r="BA296" s="118"/>
      <c r="BB296" s="118"/>
      <c r="BC296" s="118"/>
      <c r="BD296" s="118"/>
      <c r="BE296" s="118"/>
      <c r="BF296" s="118" t="s">
        <v>357</v>
      </c>
      <c r="BG296" s="118">
        <v>13.5</v>
      </c>
      <c r="BH296" s="118" t="s">
        <v>52</v>
      </c>
      <c r="BI296" s="118"/>
    </row>
    <row r="297" spans="2:71" x14ac:dyDescent="0.25">
      <c r="H297" s="92" t="s">
        <v>121</v>
      </c>
      <c r="I297" s="93"/>
      <c r="J297" s="94">
        <f>I293+M293+Q293+U293</f>
        <v>141.5</v>
      </c>
      <c r="K297" s="95" t="s">
        <v>52</v>
      </c>
      <c r="Y297" s="19"/>
      <c r="Z297" s="28" t="s">
        <v>422</v>
      </c>
      <c r="AA297">
        <f>30-2</f>
        <v>28</v>
      </c>
      <c r="AB297" t="s">
        <v>92</v>
      </c>
      <c r="AD297" s="25"/>
      <c r="AF297" s="21"/>
      <c r="AH297" s="67"/>
      <c r="AI297" s="65" t="s">
        <v>114</v>
      </c>
      <c r="AJ297" s="65">
        <v>9.9600000000000009</v>
      </c>
      <c r="AK297" s="65">
        <f>AJ297/3</f>
        <v>3.3200000000000003</v>
      </c>
      <c r="AL297" s="65">
        <f>AJ297/6</f>
        <v>1.6600000000000001</v>
      </c>
      <c r="AM297" s="65"/>
      <c r="AN297" s="65"/>
      <c r="AO297" s="63" t="s">
        <v>92</v>
      </c>
      <c r="AP297" s="63"/>
      <c r="AQ297" s="66"/>
      <c r="AW297" s="118" t="s">
        <v>114</v>
      </c>
      <c r="AX297" s="118">
        <v>9.83</v>
      </c>
      <c r="AY297" s="118" t="s">
        <v>52</v>
      </c>
      <c r="AZ297" s="118"/>
      <c r="BA297" s="118"/>
      <c r="BB297" s="118"/>
      <c r="BC297" s="118"/>
      <c r="BD297" s="118"/>
      <c r="BE297" s="118"/>
      <c r="BF297" s="118" t="s">
        <v>114</v>
      </c>
      <c r="BG297" s="118">
        <v>9.83</v>
      </c>
      <c r="BH297" s="118" t="s">
        <v>52</v>
      </c>
      <c r="BI297" s="118"/>
    </row>
    <row r="298" spans="2:71" x14ac:dyDescent="0.25">
      <c r="H298" s="102" t="s">
        <v>342</v>
      </c>
      <c r="I298" s="103"/>
      <c r="J298" s="128">
        <f>(I296+M296+Q296+U296)</f>
        <v>1180.3458333333333</v>
      </c>
      <c r="K298" s="104" t="s">
        <v>113</v>
      </c>
      <c r="M298" t="s">
        <v>375</v>
      </c>
      <c r="N298" s="52">
        <f>BO305</f>
        <v>0</v>
      </c>
      <c r="O298" t="s">
        <v>126</v>
      </c>
      <c r="Y298" s="19"/>
      <c r="AF298" s="21"/>
      <c r="AH298" s="67"/>
      <c r="AI298" s="65" t="s">
        <v>321</v>
      </c>
      <c r="AJ298" s="65">
        <v>72</v>
      </c>
      <c r="AK298" s="69" t="s">
        <v>92</v>
      </c>
      <c r="AL298" s="65"/>
      <c r="AM298" s="65"/>
      <c r="AN298" s="65"/>
      <c r="AO298" s="63" t="s">
        <v>92</v>
      </c>
      <c r="AP298" s="63"/>
      <c r="AQ298" s="66"/>
      <c r="AW298" s="118" t="s">
        <v>356</v>
      </c>
      <c r="AX298" s="118">
        <f>2*(SQRT((AX310)^2+(AZ307)^2))</f>
        <v>28.403619487663892</v>
      </c>
      <c r="AY298" s="118" t="s">
        <v>52</v>
      </c>
      <c r="AZ298" s="118"/>
      <c r="BA298" s="118"/>
      <c r="BB298" s="118"/>
      <c r="BC298" s="118"/>
      <c r="BD298" s="118"/>
      <c r="BE298" s="118"/>
      <c r="BF298" s="118" t="s">
        <v>356</v>
      </c>
      <c r="BG298" s="118">
        <f>2*(SQRT((BG310)^2+(BI307)^2))</f>
        <v>33.399335322727609</v>
      </c>
      <c r="BH298" s="118" t="s">
        <v>52</v>
      </c>
      <c r="BI298" s="118"/>
      <c r="BL298" s="14"/>
      <c r="BM298" s="16"/>
      <c r="BN298" s="16"/>
      <c r="BO298" s="16"/>
      <c r="BP298" s="16"/>
      <c r="BQ298" s="16"/>
      <c r="BR298" s="16"/>
      <c r="BS298" s="17"/>
    </row>
    <row r="299" spans="2:71" x14ac:dyDescent="0.25">
      <c r="H299" s="96" t="s">
        <v>123</v>
      </c>
      <c r="I299" s="35"/>
      <c r="J299" s="10">
        <v>4</v>
      </c>
      <c r="K299" s="97"/>
      <c r="M299" t="s">
        <v>374</v>
      </c>
      <c r="N299" s="52">
        <f>BS325</f>
        <v>96.761053730565635</v>
      </c>
      <c r="O299" t="s">
        <v>126</v>
      </c>
      <c r="R299" s="14" t="s">
        <v>363</v>
      </c>
      <c r="S299" s="16" t="s">
        <v>423</v>
      </c>
      <c r="T299" s="16" t="s">
        <v>365</v>
      </c>
      <c r="U299" s="17" t="s">
        <v>424</v>
      </c>
      <c r="Y299" s="19"/>
      <c r="AF299" s="21"/>
      <c r="AH299" s="67"/>
      <c r="AI299" s="65"/>
      <c r="AJ299" s="65">
        <f>AJ298/12</f>
        <v>6</v>
      </c>
      <c r="AK299" s="69" t="s">
        <v>52</v>
      </c>
      <c r="AL299" s="65">
        <f>AI303^2+AI306^2</f>
        <v>40.136400000000002</v>
      </c>
      <c r="AM299" s="65"/>
      <c r="AN299" s="70">
        <f>AI303^2+AJ306^2</f>
        <v>34.809372250000003</v>
      </c>
      <c r="AO299" s="63" t="s">
        <v>92</v>
      </c>
      <c r="AP299" s="63"/>
      <c r="AQ299" s="66"/>
      <c r="AW299" s="119" t="s">
        <v>343</v>
      </c>
      <c r="AX299" s="118">
        <f>0.33*4*AX298</f>
        <v>37.492777723716337</v>
      </c>
      <c r="AY299" s="118" t="s">
        <v>113</v>
      </c>
      <c r="AZ299" s="118"/>
      <c r="BA299" s="118"/>
      <c r="BB299" s="118"/>
      <c r="BC299" s="118"/>
      <c r="BD299" s="118"/>
      <c r="BE299" s="118"/>
      <c r="BF299" s="119" t="s">
        <v>343</v>
      </c>
      <c r="BG299" s="118">
        <f>0.33*4*BG298</f>
        <v>44.087122626000443</v>
      </c>
      <c r="BH299" s="118" t="s">
        <v>113</v>
      </c>
      <c r="BI299" s="118"/>
      <c r="BL299" s="19"/>
      <c r="BN299" t="s">
        <v>368</v>
      </c>
      <c r="BS299" s="21"/>
    </row>
    <row r="300" spans="2:71" ht="15.6" thickBot="1" x14ac:dyDescent="0.3">
      <c r="H300" s="98" t="s">
        <v>360</v>
      </c>
      <c r="I300" s="99"/>
      <c r="J300" s="100">
        <f>J298*J299</f>
        <v>4721.3833333333332</v>
      </c>
      <c r="K300" s="101" t="s">
        <v>113</v>
      </c>
      <c r="R300" s="19" t="s">
        <v>366</v>
      </c>
      <c r="S300">
        <v>1.76</v>
      </c>
      <c r="T300">
        <v>1.76</v>
      </c>
      <c r="U300" s="21">
        <v>7.84</v>
      </c>
      <c r="Y300" s="19"/>
      <c r="AF300" s="21"/>
      <c r="AH300" s="67"/>
      <c r="AI300" s="65"/>
      <c r="AJ300" s="65"/>
      <c r="AK300" s="69"/>
      <c r="AL300" s="65"/>
      <c r="AM300" s="65"/>
      <c r="AN300" s="65"/>
      <c r="AO300" s="63"/>
      <c r="AP300" s="63"/>
      <c r="AQ300" s="66"/>
      <c r="AW300" s="120" t="s">
        <v>132</v>
      </c>
      <c r="AX300" s="118">
        <f>AX299*1.1</f>
        <v>41.242055496087971</v>
      </c>
      <c r="AY300" s="118" t="s">
        <v>113</v>
      </c>
      <c r="AZ300" s="118"/>
      <c r="BA300" s="118"/>
      <c r="BB300" s="118"/>
      <c r="BC300" s="118"/>
      <c r="BD300" s="118"/>
      <c r="BE300" s="118"/>
      <c r="BF300" s="120" t="s">
        <v>132</v>
      </c>
      <c r="BG300" s="118">
        <f>BG299*1.1</f>
        <v>48.495834888600491</v>
      </c>
      <c r="BH300" s="118" t="s">
        <v>113</v>
      </c>
      <c r="BI300" s="118"/>
      <c r="BL300" s="19"/>
      <c r="BM300" t="s">
        <v>370</v>
      </c>
      <c r="BN300" t="s">
        <v>364</v>
      </c>
      <c r="BO300">
        <f>(BM307*BL309)+(BS309*BP306)+(2*(BL309-BS309)*BP306/2)</f>
        <v>798</v>
      </c>
      <c r="BP300" t="s">
        <v>369</v>
      </c>
      <c r="BS300" s="21"/>
    </row>
    <row r="301" spans="2:71" x14ac:dyDescent="0.25">
      <c r="H301" s="4"/>
      <c r="R301" s="19" t="s">
        <v>358</v>
      </c>
      <c r="S301">
        <v>13</v>
      </c>
      <c r="T301">
        <v>13</v>
      </c>
      <c r="U301" s="21">
        <v>26</v>
      </c>
      <c r="Y301" s="19"/>
      <c r="Z301">
        <f>(Z302)/12</f>
        <v>2.3333333333333335</v>
      </c>
      <c r="AA301" t="s">
        <v>2</v>
      </c>
      <c r="AF301" s="21"/>
      <c r="AH301" s="67"/>
      <c r="AI301" s="65"/>
      <c r="AJ301" s="65"/>
      <c r="AK301" s="65"/>
      <c r="AL301" s="65"/>
      <c r="AM301" s="65"/>
      <c r="AN301" s="65"/>
      <c r="AO301" s="63"/>
      <c r="AP301" s="63">
        <v>1.333</v>
      </c>
      <c r="AQ301" s="66" t="s">
        <v>125</v>
      </c>
      <c r="AW301" s="118" t="s">
        <v>358</v>
      </c>
      <c r="AX301" s="118">
        <v>0</v>
      </c>
      <c r="AY301" s="118"/>
      <c r="AZ301" s="118"/>
      <c r="BA301" s="118"/>
      <c r="BB301" s="118"/>
      <c r="BC301" s="118"/>
      <c r="BD301" s="118"/>
      <c r="BE301" s="118"/>
      <c r="BF301" s="118" t="s">
        <v>358</v>
      </c>
      <c r="BG301" s="118">
        <v>0</v>
      </c>
      <c r="BH301" s="118"/>
      <c r="BI301" s="118"/>
      <c r="BL301" s="19"/>
      <c r="BM301" t="s">
        <v>371</v>
      </c>
      <c r="BN301" t="s">
        <v>364</v>
      </c>
      <c r="BO301">
        <f>0</f>
        <v>0</v>
      </c>
      <c r="BP301" t="s">
        <v>369</v>
      </c>
      <c r="BS301" s="21"/>
    </row>
    <row r="302" spans="2:71" x14ac:dyDescent="0.25">
      <c r="H302" s="14" t="s">
        <v>325</v>
      </c>
      <c r="I302" s="16"/>
      <c r="J302" s="16">
        <f>2*(6*72)/144</f>
        <v>6</v>
      </c>
      <c r="K302" s="17" t="s">
        <v>126</v>
      </c>
      <c r="R302" s="19" t="s">
        <v>361</v>
      </c>
      <c r="S302">
        <f>S300*S301</f>
        <v>22.88</v>
      </c>
      <c r="T302">
        <f>T300*T301</f>
        <v>22.88</v>
      </c>
      <c r="U302" s="21">
        <f>U300*U301</f>
        <v>203.84</v>
      </c>
      <c r="Y302" s="19"/>
      <c r="Z302">
        <f>AA297</f>
        <v>28</v>
      </c>
      <c r="AD302">
        <f>(SQRT((AB305/2)^2+(Z301)^2))</f>
        <v>4.189850169689179</v>
      </c>
      <c r="AE302" t="s">
        <v>2</v>
      </c>
      <c r="AF302" s="21"/>
      <c r="AH302" s="67"/>
      <c r="AI302" s="65"/>
      <c r="AJ302" s="70">
        <f>SQRT(AN299)</f>
        <v>5.8999468006076121</v>
      </c>
      <c r="AK302" s="70"/>
      <c r="AL302" s="65"/>
      <c r="AM302" s="70">
        <f>AH303</f>
        <v>6.335</v>
      </c>
      <c r="AN302" s="65"/>
      <c r="AO302" s="63"/>
      <c r="AP302" s="71">
        <f>0.33*AP301*2</f>
        <v>0.87978000000000001</v>
      </c>
      <c r="AQ302" s="66" t="s">
        <v>126</v>
      </c>
      <c r="AW302" s="118" t="s">
        <v>359</v>
      </c>
      <c r="AX302" s="118">
        <f>AX301*AX300*2</f>
        <v>0</v>
      </c>
      <c r="AY302" s="118"/>
      <c r="AZ302" s="118"/>
      <c r="BA302" s="118"/>
      <c r="BB302" s="118"/>
      <c r="BC302" s="118"/>
      <c r="BD302" s="118"/>
      <c r="BE302" s="118"/>
      <c r="BF302" s="118" t="s">
        <v>359</v>
      </c>
      <c r="BG302" s="118">
        <f>BG301*BG300*2</f>
        <v>0</v>
      </c>
      <c r="BH302" s="118"/>
      <c r="BI302" s="118"/>
      <c r="BL302" s="19"/>
      <c r="BM302" t="s">
        <v>372</v>
      </c>
      <c r="BN302" t="s">
        <v>364</v>
      </c>
      <c r="BO302">
        <f>(BO300+BO301)/144*2</f>
        <v>11.083333333333334</v>
      </c>
      <c r="BP302" t="s">
        <v>113</v>
      </c>
      <c r="BS302" s="21"/>
    </row>
    <row r="303" spans="2:71" x14ac:dyDescent="0.25">
      <c r="H303" s="19" t="s">
        <v>187</v>
      </c>
      <c r="J303">
        <v>0</v>
      </c>
      <c r="K303" s="21" t="s">
        <v>329</v>
      </c>
      <c r="R303" s="19"/>
      <c r="U303" s="21"/>
      <c r="Y303" s="19"/>
      <c r="AF303" s="21"/>
      <c r="AH303" s="72">
        <v>6.335</v>
      </c>
      <c r="AI303" s="73">
        <v>5.58</v>
      </c>
      <c r="AJ303" s="65"/>
      <c r="AK303" s="65"/>
      <c r="AL303" s="65"/>
      <c r="AM303" s="65"/>
      <c r="AN303" s="65"/>
      <c r="AO303" s="63"/>
      <c r="AP303" s="63">
        <v>7</v>
      </c>
      <c r="AQ303" s="66" t="s">
        <v>125</v>
      </c>
      <c r="AW303" s="118"/>
      <c r="AX303" s="118"/>
      <c r="AY303" s="118"/>
      <c r="AZ303" s="118"/>
      <c r="BA303" s="118"/>
      <c r="BB303" s="118"/>
      <c r="BC303" s="118"/>
      <c r="BD303" s="118"/>
      <c r="BE303" s="118"/>
      <c r="BF303" s="118"/>
      <c r="BG303" s="118"/>
      <c r="BH303" s="118"/>
      <c r="BI303" s="118"/>
      <c r="BL303" s="19"/>
      <c r="BM303" t="s">
        <v>358</v>
      </c>
      <c r="BO303">
        <v>0</v>
      </c>
      <c r="BS303" s="21"/>
    </row>
    <row r="304" spans="2:71" x14ac:dyDescent="0.25">
      <c r="H304" s="19" t="s">
        <v>188</v>
      </c>
      <c r="J304" s="7">
        <f>J302*J303</f>
        <v>0</v>
      </c>
      <c r="K304" s="21" t="s">
        <v>126</v>
      </c>
      <c r="R304" s="19"/>
      <c r="S304" t="s">
        <v>351</v>
      </c>
      <c r="T304">
        <f>S302+T302+U302</f>
        <v>249.6</v>
      </c>
      <c r="U304" s="21"/>
      <c r="Y304" s="19"/>
      <c r="AF304" s="21"/>
      <c r="AH304" s="67"/>
      <c r="AI304" s="65"/>
      <c r="AJ304" s="65"/>
      <c r="AK304" s="65"/>
      <c r="AL304" s="65"/>
      <c r="AM304" s="65"/>
      <c r="AN304" s="65"/>
      <c r="AO304" s="63"/>
      <c r="AP304" s="71">
        <f>0.33*AP303*2</f>
        <v>4.62</v>
      </c>
      <c r="AQ304" s="66" t="s">
        <v>126</v>
      </c>
      <c r="AW304" s="118"/>
      <c r="AX304" s="118"/>
      <c r="AY304" s="118"/>
      <c r="AZ304" s="121"/>
      <c r="BA304" s="118"/>
      <c r="BB304" s="118"/>
      <c r="BC304" s="118"/>
      <c r="BD304" s="118"/>
      <c r="BE304" s="118"/>
      <c r="BF304" s="118"/>
      <c r="BG304" s="118"/>
      <c r="BH304" s="118"/>
      <c r="BI304" s="121"/>
      <c r="BL304" s="19"/>
      <c r="BM304" t="s">
        <v>373</v>
      </c>
      <c r="BO304">
        <f>BO302*BO303</f>
        <v>0</v>
      </c>
      <c r="BS304" s="21"/>
    </row>
    <row r="305" spans="8:71" x14ac:dyDescent="0.25">
      <c r="H305" s="49" t="s">
        <v>189</v>
      </c>
      <c r="I305" s="3"/>
      <c r="J305" s="3"/>
      <c r="K305" s="44"/>
      <c r="R305" s="49"/>
      <c r="S305" s="112" t="s">
        <v>367</v>
      </c>
      <c r="T305" s="59">
        <f>T304*1.1</f>
        <v>274.56</v>
      </c>
      <c r="U305" s="44"/>
      <c r="Y305" s="19"/>
      <c r="AB305" s="27">
        <f>AA295</f>
        <v>6.96</v>
      </c>
      <c r="AF305" s="21"/>
      <c r="AH305" s="67"/>
      <c r="AI305" s="65"/>
      <c r="AJ305" s="65"/>
      <c r="AK305" s="65"/>
      <c r="AL305" s="65"/>
      <c r="AM305" s="65"/>
      <c r="AN305" s="65"/>
      <c r="AO305" s="63"/>
      <c r="AP305" s="63"/>
      <c r="AQ305" s="66"/>
      <c r="AW305" s="118"/>
      <c r="AX305" s="118">
        <f>SQRT((AX310)^2+(AZ307)^2)</f>
        <v>14.201809743831946</v>
      </c>
      <c r="AY305" s="118"/>
      <c r="AZ305" s="121"/>
      <c r="BA305" s="118"/>
      <c r="BB305" s="118"/>
      <c r="BC305" s="118"/>
      <c r="BD305" s="118"/>
      <c r="BE305" s="118"/>
      <c r="BF305" s="118"/>
      <c r="BG305" s="118">
        <f>SQRT((BG310)^2+(BI307)^2)</f>
        <v>16.699667661363804</v>
      </c>
      <c r="BH305" s="118"/>
      <c r="BI305" s="121"/>
      <c r="BL305" s="19"/>
      <c r="BM305" t="s">
        <v>367</v>
      </c>
      <c r="BO305" s="7">
        <f>BO304*1.1</f>
        <v>0</v>
      </c>
      <c r="BS305" s="21"/>
    </row>
    <row r="306" spans="8:71" x14ac:dyDescent="0.25">
      <c r="Y306" s="19"/>
      <c r="AF306" s="21"/>
      <c r="AH306" s="67"/>
      <c r="AI306" s="70">
        <v>3</v>
      </c>
      <c r="AJ306" s="70">
        <v>1.9165000000000001</v>
      </c>
      <c r="AK306" s="65"/>
      <c r="AL306" s="65"/>
      <c r="AM306" s="65"/>
      <c r="AN306" s="65"/>
      <c r="AO306" s="63"/>
      <c r="AP306" s="63"/>
      <c r="AQ306" s="66"/>
      <c r="AW306" s="118"/>
      <c r="AX306" s="118"/>
      <c r="AY306" s="118"/>
      <c r="AZ306" s="121"/>
      <c r="BA306" s="118"/>
      <c r="BB306" s="118"/>
      <c r="BC306" s="118"/>
      <c r="BD306" s="118"/>
      <c r="BE306" s="118"/>
      <c r="BF306" s="118"/>
      <c r="BG306" s="118"/>
      <c r="BH306" s="118"/>
      <c r="BI306" s="121"/>
      <c r="BL306" s="19"/>
      <c r="BP306">
        <v>39</v>
      </c>
      <c r="BS306" s="21"/>
    </row>
    <row r="307" spans="8:71" ht="15.6" thickBot="1" x14ac:dyDescent="0.3">
      <c r="H307" s="14" t="s">
        <v>383</v>
      </c>
      <c r="I307" s="16"/>
      <c r="J307" s="16">
        <f>2*(8*72)/144</f>
        <v>8</v>
      </c>
      <c r="K307" s="17" t="s">
        <v>126</v>
      </c>
      <c r="Y307" s="19" t="s">
        <v>420</v>
      </c>
      <c r="AB307" s="27">
        <f>(2*AD302)+AB305</f>
        <v>15.339700339378357</v>
      </c>
      <c r="AC307" t="s">
        <v>125</v>
      </c>
      <c r="AF307" s="21"/>
      <c r="AH307" s="74"/>
      <c r="AI307" s="75"/>
      <c r="AJ307" s="75"/>
      <c r="AK307" s="75"/>
      <c r="AL307" s="75"/>
      <c r="AM307" s="75"/>
      <c r="AN307" s="75"/>
      <c r="AO307" s="76"/>
      <c r="AP307" s="76"/>
      <c r="AQ307" s="77"/>
      <c r="AW307" s="118"/>
      <c r="AX307" s="118"/>
      <c r="AY307" s="118"/>
      <c r="AZ307" s="121">
        <f>AX297</f>
        <v>9.83</v>
      </c>
      <c r="BA307" s="118"/>
      <c r="BB307" s="118"/>
      <c r="BC307" s="118"/>
      <c r="BD307" s="118"/>
      <c r="BE307" s="118"/>
      <c r="BF307" s="118"/>
      <c r="BG307" s="118"/>
      <c r="BH307" s="118"/>
      <c r="BI307" s="121">
        <f>BG297</f>
        <v>9.83</v>
      </c>
      <c r="BL307" s="19"/>
      <c r="BM307">
        <v>18</v>
      </c>
      <c r="BS307" s="21"/>
    </row>
    <row r="308" spans="8:71" x14ac:dyDescent="0.25">
      <c r="H308" s="19" t="s">
        <v>187</v>
      </c>
      <c r="J308">
        <v>0</v>
      </c>
      <c r="K308" s="21" t="s">
        <v>329</v>
      </c>
      <c r="O308" s="108" t="s">
        <v>362</v>
      </c>
      <c r="P308" s="109"/>
      <c r="Y308" s="19"/>
      <c r="AF308" s="21"/>
      <c r="AH308" s="78"/>
      <c r="AI308" s="79"/>
      <c r="AJ308" s="79" t="s">
        <v>130</v>
      </c>
      <c r="AK308" s="80" t="s">
        <v>353</v>
      </c>
      <c r="AL308" s="79"/>
      <c r="AM308" s="79"/>
      <c r="AN308" s="79"/>
      <c r="AO308" s="60"/>
      <c r="AP308" s="60"/>
      <c r="AQ308" s="61"/>
      <c r="AW308" s="118"/>
      <c r="AX308" s="118"/>
      <c r="AY308" s="118"/>
      <c r="AZ308" s="121"/>
      <c r="BA308" s="118"/>
      <c r="BB308" s="118"/>
      <c r="BC308" s="118"/>
      <c r="BD308" s="118"/>
      <c r="BE308" s="118"/>
      <c r="BF308" s="118"/>
      <c r="BG308" s="118"/>
      <c r="BH308" s="118"/>
      <c r="BI308" s="121"/>
      <c r="BL308" s="19"/>
      <c r="BS308" s="21"/>
    </row>
    <row r="309" spans="8:71" ht="15.6" thickBot="1" x14ac:dyDescent="0.3">
      <c r="H309" s="19" t="s">
        <v>188</v>
      </c>
      <c r="J309" s="7">
        <f>J307*J308</f>
        <v>0</v>
      </c>
      <c r="K309" s="21" t="s">
        <v>126</v>
      </c>
      <c r="O309" s="110" t="s">
        <v>351</v>
      </c>
      <c r="P309" s="111">
        <f>J300+J304+J309+I318+I328+I337+N302+T305+N298+N299</f>
        <v>9404.0115937610735</v>
      </c>
      <c r="Y309" s="48" t="s">
        <v>421</v>
      </c>
      <c r="AB309" s="1">
        <f>0.25*4*AB307</f>
        <v>15.339700339378357</v>
      </c>
      <c r="AC309" t="s">
        <v>126</v>
      </c>
      <c r="AF309" s="21"/>
      <c r="AH309" s="74"/>
      <c r="AI309" s="75"/>
      <c r="AJ309" s="75"/>
      <c r="AK309" s="75">
        <f>AJ297+(2*AH303)+(2*AJ302)</f>
        <v>34.429893601215227</v>
      </c>
      <c r="AL309" s="75" t="s">
        <v>52</v>
      </c>
      <c r="AM309" s="75"/>
      <c r="AN309" s="75"/>
      <c r="AO309" s="76"/>
      <c r="AP309" s="76"/>
      <c r="AQ309" s="77"/>
      <c r="AW309" s="118"/>
      <c r="AX309" s="118"/>
      <c r="AY309" s="118"/>
      <c r="AZ309" s="121"/>
      <c r="BA309" s="118"/>
      <c r="BB309" s="118"/>
      <c r="BC309" s="118"/>
      <c r="BD309" s="118"/>
      <c r="BE309" s="118"/>
      <c r="BF309" s="118"/>
      <c r="BG309" s="118"/>
      <c r="BH309" s="118"/>
      <c r="BI309" s="121"/>
      <c r="BL309" s="19">
        <v>14</v>
      </c>
      <c r="BS309" s="21">
        <v>6</v>
      </c>
    </row>
    <row r="310" spans="8:71" x14ac:dyDescent="0.25">
      <c r="H310" s="49" t="s">
        <v>189</v>
      </c>
      <c r="I310" s="3"/>
      <c r="J310" s="3"/>
      <c r="K310" s="44"/>
      <c r="Y310" s="19" t="s">
        <v>132</v>
      </c>
      <c r="AA310" t="s">
        <v>133</v>
      </c>
      <c r="AB310" s="27">
        <f>AB309*1.1</f>
        <v>16.873670373316195</v>
      </c>
      <c r="AC310" t="s">
        <v>126</v>
      </c>
      <c r="AF310" s="21"/>
      <c r="AH310" s="78"/>
      <c r="AI310" s="79"/>
      <c r="AJ310" s="79"/>
      <c r="AK310" s="79"/>
      <c r="AL310" s="79"/>
      <c r="AM310" s="79"/>
      <c r="AN310" s="79"/>
      <c r="AO310" s="60"/>
      <c r="AP310" s="60"/>
      <c r="AQ310" s="61"/>
      <c r="AW310" s="122"/>
      <c r="AX310" s="122">
        <f>AX296</f>
        <v>10.25</v>
      </c>
      <c r="AY310" s="122"/>
      <c r="AZ310" s="118"/>
      <c r="BA310" s="118"/>
      <c r="BB310" s="118"/>
      <c r="BC310" s="118"/>
      <c r="BD310" s="118"/>
      <c r="BE310" s="118"/>
      <c r="BF310" s="122"/>
      <c r="BG310" s="122">
        <f>BG296</f>
        <v>13.5</v>
      </c>
      <c r="BH310" s="122"/>
      <c r="BI310" s="118"/>
      <c r="BL310" s="19"/>
      <c r="BS310" s="21"/>
    </row>
    <row r="311" spans="8:71" x14ac:dyDescent="0.25">
      <c r="Y311" s="19"/>
      <c r="AB311" s="27"/>
      <c r="AF311" s="21"/>
      <c r="AH311" s="67"/>
      <c r="AI311" s="65"/>
      <c r="AJ311" s="65"/>
      <c r="AK311" s="65"/>
      <c r="AL311" s="65"/>
      <c r="AM311" s="65"/>
      <c r="AN311" s="65"/>
      <c r="AO311" s="63"/>
      <c r="AP311" s="63"/>
      <c r="AQ311" s="66"/>
      <c r="AW311" s="118"/>
      <c r="AX311" s="118"/>
      <c r="AY311" s="118"/>
      <c r="AZ311" s="118"/>
      <c r="BA311" s="118"/>
      <c r="BB311" s="118"/>
      <c r="BC311" s="118"/>
      <c r="BD311" s="118"/>
      <c r="BE311" s="118"/>
      <c r="BF311" s="118"/>
      <c r="BG311" s="118"/>
      <c r="BH311" s="118"/>
      <c r="BI311" s="118"/>
      <c r="BL311" s="19"/>
      <c r="BS311" s="21"/>
    </row>
    <row r="312" spans="8:71" x14ac:dyDescent="0.25">
      <c r="H312" t="s">
        <v>408</v>
      </c>
      <c r="Y312" s="49"/>
      <c r="Z312" s="3"/>
      <c r="AA312" s="3"/>
      <c r="AB312" s="3"/>
      <c r="AC312" s="3"/>
      <c r="AD312" s="3"/>
      <c r="AE312" s="3"/>
      <c r="AF312" s="44"/>
      <c r="AH312" s="67"/>
      <c r="AI312" s="65" t="s">
        <v>134</v>
      </c>
      <c r="AJ312" s="65"/>
      <c r="AK312" s="65">
        <f>AK309*(0.3333*4)</f>
        <v>45.901934149140139</v>
      </c>
      <c r="AL312" s="65" t="s">
        <v>126</v>
      </c>
      <c r="AM312" s="65"/>
      <c r="AN312" s="65"/>
      <c r="AO312" s="63"/>
      <c r="AP312" s="63"/>
      <c r="AQ312" s="66"/>
      <c r="AW312" s="118"/>
      <c r="AX312" s="118"/>
      <c r="AY312" s="118"/>
      <c r="AZ312" s="118"/>
      <c r="BA312" s="118"/>
      <c r="BB312" s="118"/>
      <c r="BC312" s="118"/>
      <c r="BD312" s="118"/>
      <c r="BE312" s="118"/>
      <c r="BF312" s="118"/>
      <c r="BG312" s="118"/>
      <c r="BH312" s="118"/>
      <c r="BI312" s="118"/>
      <c r="BL312" s="19"/>
      <c r="BS312" s="21"/>
    </row>
    <row r="313" spans="8:71" ht="15.05" customHeight="1" x14ac:dyDescent="0.25">
      <c r="H313" s="10" t="s">
        <v>91</v>
      </c>
      <c r="I313" s="10">
        <v>1</v>
      </c>
      <c r="J313" s="10" t="s">
        <v>52</v>
      </c>
      <c r="K313" s="10"/>
      <c r="AH313" s="74"/>
      <c r="AI313" s="75" t="s">
        <v>135</v>
      </c>
      <c r="AJ313" s="75"/>
      <c r="AK313" s="75"/>
      <c r="AL313" s="75"/>
      <c r="AM313" s="75"/>
      <c r="AN313" s="75"/>
      <c r="AO313" s="76"/>
      <c r="AP313" s="76"/>
      <c r="AQ313" s="77"/>
      <c r="AW313" s="118"/>
      <c r="AX313" s="118"/>
      <c r="AY313" s="118"/>
      <c r="AZ313" s="118"/>
      <c r="BA313" s="118"/>
      <c r="BB313" s="118"/>
      <c r="BC313" s="118"/>
      <c r="BD313" s="118"/>
      <c r="BE313" s="118"/>
      <c r="BF313" s="118"/>
      <c r="BG313" s="118"/>
      <c r="BH313" s="118"/>
      <c r="BI313" s="118"/>
      <c r="BL313" s="19"/>
      <c r="BS313" s="21"/>
    </row>
    <row r="314" spans="8:71" x14ac:dyDescent="0.25">
      <c r="H314" s="10" t="s">
        <v>100</v>
      </c>
      <c r="I314" s="41">
        <v>15.34</v>
      </c>
      <c r="J314" s="10" t="s">
        <v>52</v>
      </c>
      <c r="K314" s="10"/>
      <c r="AH314" s="81"/>
      <c r="AI314" s="60"/>
      <c r="AJ314" s="60"/>
      <c r="AK314" s="60"/>
      <c r="AL314" s="60"/>
      <c r="AM314" s="60"/>
      <c r="AN314" s="60"/>
      <c r="AO314" s="60"/>
      <c r="AP314" s="60"/>
      <c r="AQ314" s="61"/>
      <c r="AW314" s="118" t="s">
        <v>357</v>
      </c>
      <c r="AX314" s="118">
        <v>10.792</v>
      </c>
      <c r="AY314" s="118" t="s">
        <v>52</v>
      </c>
      <c r="AZ314" s="118"/>
      <c r="BA314" s="118"/>
      <c r="BB314" s="118"/>
      <c r="BC314" s="118"/>
      <c r="BD314" s="118"/>
      <c r="BE314" s="118"/>
      <c r="BF314" s="118" t="s">
        <v>357</v>
      </c>
      <c r="BG314" s="118">
        <v>10.916700000000001</v>
      </c>
      <c r="BH314" s="118" t="s">
        <v>52</v>
      </c>
      <c r="BI314" s="118"/>
      <c r="BL314" s="19">
        <v>1.375</v>
      </c>
      <c r="BS314" s="21"/>
    </row>
    <row r="315" spans="8:71" x14ac:dyDescent="0.25">
      <c r="H315" s="10" t="s">
        <v>106</v>
      </c>
      <c r="I315" t="s">
        <v>355</v>
      </c>
      <c r="K315" s="10"/>
      <c r="Y315" s="14"/>
      <c r="Z315" s="15" t="s">
        <v>384</v>
      </c>
      <c r="AA315" s="16"/>
      <c r="AB315" s="16"/>
      <c r="AC315" s="16"/>
      <c r="AD315" s="16"/>
      <c r="AE315" s="16"/>
      <c r="AF315" s="17"/>
      <c r="AH315" s="62"/>
      <c r="AI315" s="211" t="s">
        <v>136</v>
      </c>
      <c r="AJ315" s="63"/>
      <c r="AK315" s="63"/>
      <c r="AL315" s="63"/>
      <c r="AM315" s="63"/>
      <c r="AN315" s="63"/>
      <c r="AO315" s="63"/>
      <c r="AP315" s="63"/>
      <c r="AQ315" s="66"/>
      <c r="AW315" s="118" t="s">
        <v>114</v>
      </c>
      <c r="AX315" s="118">
        <v>9.83</v>
      </c>
      <c r="AY315" s="118" t="s">
        <v>52</v>
      </c>
      <c r="AZ315" s="118"/>
      <c r="BA315" s="118"/>
      <c r="BB315" s="118"/>
      <c r="BC315" s="118"/>
      <c r="BD315" s="118"/>
      <c r="BE315" s="118"/>
      <c r="BF315" s="118" t="s">
        <v>114</v>
      </c>
      <c r="BG315" s="118">
        <v>9.83</v>
      </c>
      <c r="BH315" s="118" t="s">
        <v>52</v>
      </c>
      <c r="BI315" s="118"/>
      <c r="BL315" s="19"/>
      <c r="BS315" s="21"/>
    </row>
    <row r="316" spans="8:71" x14ac:dyDescent="0.25">
      <c r="H316" s="10" t="s">
        <v>128</v>
      </c>
      <c r="I316" s="33">
        <v>24</v>
      </c>
      <c r="J316" s="35"/>
      <c r="K316" s="10"/>
      <c r="Y316" s="19"/>
      <c r="AA316" t="s">
        <v>101</v>
      </c>
      <c r="AH316" s="62"/>
      <c r="AI316" s="211"/>
      <c r="AJ316" s="63"/>
      <c r="AK316" s="63">
        <f>AO293*AK309</f>
        <v>282.32512752996485</v>
      </c>
      <c r="AL316" s="63" t="s">
        <v>137</v>
      </c>
      <c r="AM316" s="63"/>
      <c r="AN316" s="63"/>
      <c r="AO316" s="63"/>
      <c r="AP316" s="63"/>
      <c r="AQ316" s="66"/>
      <c r="AW316" s="118" t="s">
        <v>356</v>
      </c>
      <c r="AX316" s="118">
        <f>2*(SQRT((AX328)^2+(AZ325)^2))</f>
        <v>29.195627343833529</v>
      </c>
      <c r="AY316" s="118" t="s">
        <v>52</v>
      </c>
      <c r="AZ316" s="118"/>
      <c r="BA316" s="118"/>
      <c r="BB316" s="118"/>
      <c r="BC316" s="118"/>
      <c r="BD316" s="118"/>
      <c r="BE316" s="118"/>
      <c r="BF316" s="118" t="s">
        <v>356</v>
      </c>
      <c r="BG316" s="118">
        <f>2*(SQRT((BG328)^2+(BI325)^2))</f>
        <v>29.380485965347816</v>
      </c>
      <c r="BH316" s="118" t="s">
        <v>52</v>
      </c>
      <c r="BI316" s="118"/>
      <c r="BL316" s="19"/>
      <c r="BO316">
        <f>BM307+BP306</f>
        <v>57</v>
      </c>
      <c r="BS316" s="21"/>
    </row>
    <row r="317" spans="8:71" x14ac:dyDescent="0.25">
      <c r="H317" s="10" t="s">
        <v>112</v>
      </c>
      <c r="I317" s="10">
        <f>I314*I313*I316</f>
        <v>368.15999999999997</v>
      </c>
      <c r="J317" s="10" t="s">
        <v>113</v>
      </c>
      <c r="K317" s="10"/>
      <c r="Y317" s="19"/>
      <c r="AD317" s="25"/>
      <c r="AF317" s="21"/>
      <c r="AH317" s="82"/>
      <c r="AI317" s="218"/>
      <c r="AJ317" s="76"/>
      <c r="AK317" s="76"/>
      <c r="AL317" s="76"/>
      <c r="AM317" s="76"/>
      <c r="AN317" s="76"/>
      <c r="AO317" s="76"/>
      <c r="AP317" s="76"/>
      <c r="AQ317" s="77"/>
      <c r="AW317" s="119" t="s">
        <v>343</v>
      </c>
      <c r="AX317" s="118">
        <f>0.33*4*AX316</f>
        <v>38.538228093860262</v>
      </c>
      <c r="AY317" s="118" t="s">
        <v>113</v>
      </c>
      <c r="AZ317" s="118"/>
      <c r="BA317" s="118"/>
      <c r="BB317" s="118"/>
      <c r="BC317" s="118"/>
      <c r="BD317" s="118"/>
      <c r="BE317" s="118"/>
      <c r="BF317" s="119" t="s">
        <v>343</v>
      </c>
      <c r="BG317" s="118">
        <f>0.33*4*BG316</f>
        <v>38.782241474259116</v>
      </c>
      <c r="BH317" s="118" t="s">
        <v>113</v>
      </c>
      <c r="BI317" s="118"/>
      <c r="BL317" s="49"/>
      <c r="BM317" s="3"/>
      <c r="BN317" s="3"/>
      <c r="BO317" s="3"/>
      <c r="BP317" s="3"/>
      <c r="BQ317" s="3"/>
      <c r="BR317" s="3"/>
      <c r="BS317" s="44"/>
    </row>
    <row r="318" spans="8:71" ht="29.7" x14ac:dyDescent="0.25">
      <c r="H318" s="106" t="s">
        <v>354</v>
      </c>
      <c r="I318" s="31">
        <f>I317*1.1</f>
        <v>404.976</v>
      </c>
      <c r="J318" s="10" t="s">
        <v>113</v>
      </c>
      <c r="K318" s="10"/>
      <c r="Y318" s="19"/>
      <c r="Z318" t="s">
        <v>114</v>
      </c>
      <c r="AA318" s="27">
        <v>6.25</v>
      </c>
      <c r="AB318" s="27" t="s">
        <v>52</v>
      </c>
      <c r="AC318" s="27"/>
      <c r="AF318" s="21"/>
      <c r="AH318" s="81"/>
      <c r="AI318" s="60"/>
      <c r="AJ318" s="60"/>
      <c r="AK318" s="60"/>
      <c r="AL318" s="60"/>
      <c r="AM318" s="60"/>
      <c r="AN318" s="60"/>
      <c r="AO318" s="60"/>
      <c r="AP318" s="60"/>
      <c r="AQ318" s="61"/>
      <c r="AW318" s="120" t="s">
        <v>132</v>
      </c>
      <c r="AX318" s="118">
        <f>AX317*1.1</f>
        <v>42.392050903246293</v>
      </c>
      <c r="AY318" s="118" t="s">
        <v>113</v>
      </c>
      <c r="AZ318" s="118"/>
      <c r="BA318" s="118"/>
      <c r="BB318" s="118"/>
      <c r="BC318" s="118"/>
      <c r="BD318" s="118"/>
      <c r="BE318" s="118"/>
      <c r="BF318" s="120" t="s">
        <v>132</v>
      </c>
      <c r="BG318" s="118">
        <f>BG317*1.1</f>
        <v>42.660465621685034</v>
      </c>
      <c r="BH318" s="118" t="s">
        <v>113</v>
      </c>
      <c r="BI318" s="118"/>
    </row>
    <row r="319" spans="8:71" x14ac:dyDescent="0.25">
      <c r="I319" s="105"/>
      <c r="Y319" s="19"/>
      <c r="AA319" s="27"/>
      <c r="AB319" s="27"/>
      <c r="AC319" s="27"/>
      <c r="AF319" s="21"/>
      <c r="AH319" s="62"/>
      <c r="AI319" s="63"/>
      <c r="AJ319" s="63"/>
      <c r="AK319" s="63"/>
      <c r="AL319" s="63"/>
      <c r="AM319" s="63"/>
      <c r="AN319" s="63"/>
      <c r="AO319" s="63"/>
      <c r="AP319" s="63"/>
      <c r="AQ319" s="66"/>
      <c r="AW319" s="118" t="s">
        <v>358</v>
      </c>
      <c r="AX319" s="118">
        <v>0</v>
      </c>
      <c r="AY319" s="118"/>
      <c r="AZ319" s="118"/>
      <c r="BA319" s="118"/>
      <c r="BB319" s="118"/>
      <c r="BC319" s="118">
        <f>AX302+BG302+AX320+BG320+AX339+BG339+AX374+BG374</f>
        <v>0</v>
      </c>
      <c r="BD319" s="118"/>
      <c r="BE319" s="118"/>
      <c r="BF319" s="118" t="s">
        <v>358</v>
      </c>
      <c r="BG319" s="118">
        <v>0</v>
      </c>
      <c r="BH319" s="118"/>
      <c r="BI319" s="118"/>
    </row>
    <row r="320" spans="8:71" x14ac:dyDescent="0.25">
      <c r="H320" t="s">
        <v>384</v>
      </c>
      <c r="Y320" s="19" t="s">
        <v>419</v>
      </c>
      <c r="Z320" s="28" t="s">
        <v>422</v>
      </c>
      <c r="AA320">
        <f>30-2</f>
        <v>28</v>
      </c>
      <c r="AB320" t="s">
        <v>92</v>
      </c>
      <c r="AD320" s="25"/>
      <c r="AF320" s="21"/>
      <c r="AH320" s="62"/>
      <c r="AI320" s="211" t="s">
        <v>138</v>
      </c>
      <c r="AJ320" s="63"/>
      <c r="AK320" s="63">
        <f>1.1*AK316</f>
        <v>310.55764028296136</v>
      </c>
      <c r="AL320" s="63" t="s">
        <v>137</v>
      </c>
      <c r="AM320" s="63"/>
      <c r="AN320" s="63"/>
      <c r="AO320" s="63"/>
      <c r="AP320" s="63"/>
      <c r="AQ320" s="66"/>
      <c r="AW320" s="118" t="s">
        <v>359</v>
      </c>
      <c r="AX320" s="118">
        <f>AX319*AX318*2</f>
        <v>0</v>
      </c>
      <c r="AY320" s="118"/>
      <c r="AZ320" s="118"/>
      <c r="BA320" s="118"/>
      <c r="BB320" s="118"/>
      <c r="BC320" s="118"/>
      <c r="BD320" s="118"/>
      <c r="BE320" s="118"/>
      <c r="BF320" s="118" t="s">
        <v>359</v>
      </c>
      <c r="BG320" s="118">
        <f>BG319*BG318*2</f>
        <v>0</v>
      </c>
      <c r="BH320" s="118"/>
      <c r="BI320" s="118"/>
    </row>
    <row r="321" spans="8:72" x14ac:dyDescent="0.25">
      <c r="H321" s="10" t="s">
        <v>344</v>
      </c>
      <c r="I321" s="10">
        <v>1</v>
      </c>
      <c r="J321" s="10" t="s">
        <v>52</v>
      </c>
      <c r="K321" s="10"/>
      <c r="Y321" s="107"/>
      <c r="AA321">
        <f>AA320/12</f>
        <v>2.3333333333333335</v>
      </c>
      <c r="AB321" t="s">
        <v>52</v>
      </c>
      <c r="AD321" s="25"/>
      <c r="AF321" s="21"/>
      <c r="AH321" s="82"/>
      <c r="AI321" s="218"/>
      <c r="AJ321" s="76"/>
      <c r="AK321" s="76"/>
      <c r="AL321" s="76"/>
      <c r="AM321" s="76"/>
      <c r="AN321" s="76"/>
      <c r="AO321" s="76"/>
      <c r="AP321" s="76"/>
      <c r="AQ321" s="77"/>
      <c r="AW321" s="118"/>
      <c r="AX321" s="118"/>
      <c r="AY321" s="118"/>
      <c r="AZ321" s="118"/>
      <c r="BA321" s="118"/>
      <c r="BB321" s="118"/>
      <c r="BC321" s="118"/>
      <c r="BD321" s="118"/>
      <c r="BE321" s="118"/>
      <c r="BF321" s="118"/>
      <c r="BG321" s="118"/>
      <c r="BH321" s="118"/>
      <c r="BI321" s="118"/>
      <c r="BM321" t="s">
        <v>374</v>
      </c>
    </row>
    <row r="322" spans="8:72" x14ac:dyDescent="0.25">
      <c r="H322" s="10" t="s">
        <v>345</v>
      </c>
      <c r="I322">
        <v>1</v>
      </c>
      <c r="J322" s="10" t="s">
        <v>52</v>
      </c>
      <c r="K322" s="10"/>
      <c r="Y322" s="19"/>
      <c r="AF322" s="21"/>
      <c r="AH322" s="81"/>
      <c r="AI322" s="60"/>
      <c r="AJ322" s="60"/>
      <c r="AK322" s="60"/>
      <c r="AL322" s="60"/>
      <c r="AM322" s="60"/>
      <c r="AN322" s="60"/>
      <c r="AO322" s="60"/>
      <c r="AP322" s="60"/>
      <c r="AQ322" s="61"/>
      <c r="AW322" s="118"/>
      <c r="AX322" s="118"/>
      <c r="AY322" s="118"/>
      <c r="AZ322" s="121"/>
      <c r="BA322" s="118"/>
      <c r="BB322" s="118"/>
      <c r="BC322" s="118"/>
      <c r="BD322" s="118"/>
      <c r="BE322" s="118"/>
      <c r="BF322" s="118"/>
      <c r="BG322" s="118"/>
      <c r="BH322" s="118"/>
      <c r="BI322" s="121"/>
      <c r="BO322">
        <v>8</v>
      </c>
      <c r="BP322" t="s">
        <v>92</v>
      </c>
      <c r="BR322" t="s">
        <v>364</v>
      </c>
      <c r="BS322">
        <f>PI()*BO322/12*BQ329</f>
        <v>43.982297150257104</v>
      </c>
    </row>
    <row r="323" spans="8:72" x14ac:dyDescent="0.25">
      <c r="H323" s="10" t="s">
        <v>346</v>
      </c>
      <c r="I323" s="41">
        <f>AB332</f>
        <v>13.229806414977423</v>
      </c>
      <c r="J323" s="10" t="s">
        <v>52</v>
      </c>
      <c r="K323" s="10"/>
      <c r="Y323" s="19"/>
      <c r="AF323" s="21"/>
      <c r="AH323" s="62"/>
      <c r="AI323" s="211" t="s">
        <v>139</v>
      </c>
      <c r="AJ323" s="63"/>
      <c r="AK323" s="63">
        <v>18</v>
      </c>
      <c r="AL323" s="63"/>
      <c r="AM323" s="63"/>
      <c r="AN323" s="63"/>
      <c r="AO323" s="63"/>
      <c r="AP323" s="63"/>
      <c r="AQ323" s="66"/>
      <c r="AW323" s="118"/>
      <c r="AX323" s="118">
        <f>SQRT((AX328)^2+(AZ325)^2)</f>
        <v>14.597813671916764</v>
      </c>
      <c r="AY323" s="118"/>
      <c r="AZ323" s="121"/>
      <c r="BA323" s="118"/>
      <c r="BB323" s="118"/>
      <c r="BC323" s="118"/>
      <c r="BD323" s="118"/>
      <c r="BE323" s="118"/>
      <c r="BF323" s="118"/>
      <c r="BG323" s="118">
        <f>SQRT((BG328)^2+(BI325)^2)</f>
        <v>14.690242982673908</v>
      </c>
      <c r="BH323" s="118"/>
      <c r="BI323" s="121"/>
      <c r="BR323" t="s">
        <v>358</v>
      </c>
      <c r="BS323">
        <v>2</v>
      </c>
      <c r="BT323" t="s">
        <v>116</v>
      </c>
    </row>
    <row r="324" spans="8:72" x14ac:dyDescent="0.25">
      <c r="H324" s="10" t="s">
        <v>347</v>
      </c>
      <c r="I324">
        <v>9.83</v>
      </c>
      <c r="J324" s="10" t="s">
        <v>52</v>
      </c>
      <c r="K324" s="10"/>
      <c r="Y324" s="19"/>
      <c r="AF324" s="21"/>
      <c r="AH324" s="62"/>
      <c r="AI324" s="211"/>
      <c r="AJ324" s="63"/>
      <c r="AK324" s="63"/>
      <c r="AL324" s="63"/>
      <c r="AM324" s="63"/>
      <c r="AN324" s="63"/>
      <c r="AO324" s="63"/>
      <c r="AP324" s="63"/>
      <c r="AQ324" s="66"/>
      <c r="AW324" s="118"/>
      <c r="AX324" s="118"/>
      <c r="AY324" s="118"/>
      <c r="AZ324" s="121"/>
      <c r="BA324" s="118"/>
      <c r="BB324" s="118"/>
      <c r="BC324" s="118"/>
      <c r="BD324" s="118"/>
      <c r="BE324" s="118"/>
      <c r="BF324" s="118"/>
      <c r="BG324" s="118"/>
      <c r="BH324" s="118"/>
      <c r="BI324" s="121"/>
      <c r="BR324" t="s">
        <v>361</v>
      </c>
      <c r="BS324">
        <f>BS322*BS323</f>
        <v>87.964594300514207</v>
      </c>
    </row>
    <row r="325" spans="8:72" x14ac:dyDescent="0.25">
      <c r="H325" s="10" t="s">
        <v>106</v>
      </c>
      <c r="I325" s="33" t="s">
        <v>193</v>
      </c>
      <c r="J325" s="35"/>
      <c r="K325" s="10"/>
      <c r="Y325" s="19"/>
      <c r="Z325">
        <f>(AA320-2)/12</f>
        <v>2.1666666666666665</v>
      </c>
      <c r="AA325" t="s">
        <v>2</v>
      </c>
      <c r="AC325">
        <f>SQRT((AB329)^2+(Z325)^2)</f>
        <v>6.6149032074887115</v>
      </c>
      <c r="AD325" t="s">
        <v>2</v>
      </c>
      <c r="AF325" s="21"/>
      <c r="AH325" s="82"/>
      <c r="AI325" s="76"/>
      <c r="AJ325" s="76"/>
      <c r="AK325" s="76"/>
      <c r="AL325" s="76"/>
      <c r="AM325" s="76"/>
      <c r="AN325" s="76"/>
      <c r="AO325" s="76"/>
      <c r="AP325" s="76"/>
      <c r="AQ325" s="77"/>
      <c r="AW325" s="118"/>
      <c r="AX325" s="118"/>
      <c r="AY325" s="118"/>
      <c r="AZ325" s="121">
        <f>AX315</f>
        <v>9.83</v>
      </c>
      <c r="BA325" s="118"/>
      <c r="BB325" s="118"/>
      <c r="BC325" s="118"/>
      <c r="BD325" s="118"/>
      <c r="BE325" s="118"/>
      <c r="BF325" s="118"/>
      <c r="BG325" s="118"/>
      <c r="BH325" s="118"/>
      <c r="BI325" s="121">
        <f>BG315</f>
        <v>9.83</v>
      </c>
      <c r="BR325" t="s">
        <v>367</v>
      </c>
      <c r="BS325" s="7">
        <f>BS324*1.1</f>
        <v>96.761053730565635</v>
      </c>
      <c r="BT325" t="s">
        <v>40</v>
      </c>
    </row>
    <row r="326" spans="8:72" ht="18" customHeight="1" x14ac:dyDescent="0.25">
      <c r="H326" s="10" t="s">
        <v>128</v>
      </c>
      <c r="I326" s="33">
        <v>154</v>
      </c>
      <c r="J326" s="35"/>
      <c r="K326" s="10"/>
      <c r="Y326" s="19"/>
      <c r="Z326">
        <f>Z325*12</f>
        <v>26</v>
      </c>
      <c r="AF326" s="21"/>
      <c r="AH326" s="83"/>
      <c r="AI326" s="84" t="s">
        <v>140</v>
      </c>
      <c r="AJ326" s="85"/>
      <c r="AK326" s="85">
        <f>AK320*AK323</f>
        <v>5590.0375250933048</v>
      </c>
      <c r="AL326" s="85" t="s">
        <v>137</v>
      </c>
      <c r="AM326" s="85"/>
      <c r="AN326" s="85"/>
      <c r="AO326" s="85"/>
      <c r="AP326" s="85"/>
      <c r="AQ326" s="86"/>
      <c r="AW326" s="118"/>
      <c r="AX326" s="118"/>
      <c r="AY326" s="118"/>
      <c r="AZ326" s="121"/>
      <c r="BA326" s="118"/>
      <c r="BB326" s="118"/>
      <c r="BC326" s="118"/>
      <c r="BD326" s="118"/>
      <c r="BE326" s="118"/>
      <c r="BF326" s="118"/>
      <c r="BG326" s="118"/>
      <c r="BH326" s="118"/>
      <c r="BI326" s="121"/>
    </row>
    <row r="327" spans="8:72" x14ac:dyDescent="0.25">
      <c r="H327" s="10" t="s">
        <v>112</v>
      </c>
      <c r="I327" s="10">
        <f>((I323*I321)+(I322*I324))*I326</f>
        <v>3551.2101879065231</v>
      </c>
      <c r="J327" s="10" t="s">
        <v>113</v>
      </c>
      <c r="K327" s="10"/>
      <c r="Y327" s="19"/>
      <c r="AF327" s="21"/>
      <c r="AW327" s="118"/>
      <c r="AX327" s="118"/>
      <c r="AY327" s="118"/>
      <c r="AZ327" s="121"/>
      <c r="BA327" s="118"/>
      <c r="BB327" s="118"/>
      <c r="BC327" s="118"/>
      <c r="BD327" s="118"/>
      <c r="BE327" s="118"/>
      <c r="BF327" s="118"/>
      <c r="BG327" s="118"/>
      <c r="BH327" s="118"/>
      <c r="BI327" s="121"/>
    </row>
    <row r="328" spans="8:72" ht="29.7" x14ac:dyDescent="0.25">
      <c r="H328" s="106" t="s">
        <v>354</v>
      </c>
      <c r="I328" s="31">
        <f>I327*1.1</f>
        <v>3906.3312066971757</v>
      </c>
      <c r="J328" s="10" t="s">
        <v>113</v>
      </c>
      <c r="K328" s="10"/>
      <c r="Y328" s="19"/>
      <c r="AF328" s="21"/>
      <c r="AW328" s="122"/>
      <c r="AX328" s="122">
        <f>AX314</f>
        <v>10.792</v>
      </c>
      <c r="AY328" s="122"/>
      <c r="AZ328" s="118"/>
      <c r="BA328" s="118"/>
      <c r="BB328" s="118"/>
      <c r="BC328" s="118"/>
      <c r="BD328" s="118"/>
      <c r="BE328" s="118"/>
      <c r="BF328" s="122"/>
      <c r="BG328" s="122">
        <f>BG314</f>
        <v>10.916700000000001</v>
      </c>
      <c r="BH328" s="122"/>
      <c r="BI328" s="118"/>
    </row>
    <row r="329" spans="8:72" x14ac:dyDescent="0.25">
      <c r="Y329" s="19"/>
      <c r="AB329" s="27">
        <f>AA318</f>
        <v>6.25</v>
      </c>
      <c r="AF329" s="21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Q329">
        <v>21</v>
      </c>
      <c r="BR329" t="s">
        <v>52</v>
      </c>
    </row>
    <row r="330" spans="8:72" x14ac:dyDescent="0.25">
      <c r="Y330" s="19"/>
      <c r="AF330" s="21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</row>
    <row r="331" spans="8:72" x14ac:dyDescent="0.25">
      <c r="H331" t="s">
        <v>385</v>
      </c>
      <c r="Y331" s="19" t="s">
        <v>348</v>
      </c>
      <c r="AB331" s="27">
        <f>(1*AB329)</f>
        <v>6.25</v>
      </c>
      <c r="AC331" t="s">
        <v>125</v>
      </c>
      <c r="AF331" s="21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</row>
    <row r="332" spans="8:72" x14ac:dyDescent="0.25">
      <c r="H332" s="10" t="s">
        <v>91</v>
      </c>
      <c r="I332" s="10">
        <f>0</f>
        <v>0</v>
      </c>
      <c r="J332" s="10" t="s">
        <v>52</v>
      </c>
      <c r="K332" s="10"/>
      <c r="Y332" s="19" t="s">
        <v>349</v>
      </c>
      <c r="AB332">
        <f>AC325*2</f>
        <v>13.229806414977423</v>
      </c>
      <c r="AC332" t="s">
        <v>125</v>
      </c>
      <c r="AF332" s="21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</row>
    <row r="333" spans="8:72" x14ac:dyDescent="0.25">
      <c r="H333" s="10" t="s">
        <v>100</v>
      </c>
      <c r="I333" s="41">
        <f>0</f>
        <v>0</v>
      </c>
      <c r="J333" s="10" t="s">
        <v>52</v>
      </c>
      <c r="K333" s="10"/>
      <c r="Y333" s="48" t="s">
        <v>350</v>
      </c>
      <c r="AB333" s="1">
        <f>(0.25*4*AB332)+(20/12*AB331)</f>
        <v>23.646473081644089</v>
      </c>
      <c r="AC333" t="s">
        <v>126</v>
      </c>
      <c r="AF333" s="21"/>
      <c r="AW333" s="118" t="s">
        <v>357</v>
      </c>
      <c r="AX333" s="118">
        <v>14.25</v>
      </c>
      <c r="AY333" s="118" t="s">
        <v>52</v>
      </c>
      <c r="AZ333" s="118"/>
      <c r="BA333" s="118"/>
      <c r="BB333" s="118"/>
      <c r="BC333" s="118"/>
      <c r="BD333" s="118"/>
      <c r="BE333" s="118"/>
      <c r="BF333" s="118" t="s">
        <v>357</v>
      </c>
      <c r="BG333" s="118">
        <v>10.75</v>
      </c>
      <c r="BH333" s="118" t="s">
        <v>52</v>
      </c>
      <c r="BI333" s="118"/>
    </row>
    <row r="334" spans="8:72" x14ac:dyDescent="0.25">
      <c r="H334" s="10" t="s">
        <v>106</v>
      </c>
      <c r="I334" t="s">
        <v>385</v>
      </c>
      <c r="K334" s="10"/>
      <c r="Y334" s="19" t="s">
        <v>132</v>
      </c>
      <c r="AA334" t="s">
        <v>133</v>
      </c>
      <c r="AB334" s="27">
        <f>AB333*1.1</f>
        <v>26.0111203898085</v>
      </c>
      <c r="AC334" t="s">
        <v>126</v>
      </c>
      <c r="AF334" s="21"/>
      <c r="AW334" s="118" t="s">
        <v>114</v>
      </c>
      <c r="AX334" s="118">
        <v>9.83</v>
      </c>
      <c r="AY334" s="118" t="s">
        <v>52</v>
      </c>
      <c r="AZ334" s="118"/>
      <c r="BA334" s="118"/>
      <c r="BB334" s="118"/>
      <c r="BC334" s="118"/>
      <c r="BD334" s="118"/>
      <c r="BE334" s="118"/>
      <c r="BF334" s="118" t="s">
        <v>114</v>
      </c>
      <c r="BG334" s="118">
        <v>9.83</v>
      </c>
      <c r="BH334" s="118" t="s">
        <v>52</v>
      </c>
      <c r="BI334" s="118"/>
    </row>
    <row r="335" spans="8:72" x14ac:dyDescent="0.25">
      <c r="H335" s="10" t="s">
        <v>128</v>
      </c>
      <c r="I335" s="33">
        <v>0</v>
      </c>
      <c r="J335" s="35"/>
      <c r="K335" s="10"/>
      <c r="Y335" s="49"/>
      <c r="Z335" s="3"/>
      <c r="AA335" s="3"/>
      <c r="AB335" s="3"/>
      <c r="AC335" s="3"/>
      <c r="AD335" s="3"/>
      <c r="AE335" s="3"/>
      <c r="AF335" s="44"/>
      <c r="AW335" s="118" t="s">
        <v>356</v>
      </c>
      <c r="AX335" s="118">
        <f>2*(SQRT((AX347)^2+(AZ344)^2))</f>
        <v>34.623194537766153</v>
      </c>
      <c r="AY335" s="118" t="s">
        <v>52</v>
      </c>
      <c r="AZ335" s="118"/>
      <c r="BA335" s="118"/>
      <c r="BB335" s="118"/>
      <c r="BC335" s="118"/>
      <c r="BD335" s="118"/>
      <c r="BE335" s="118"/>
      <c r="BF335" s="118" t="s">
        <v>356</v>
      </c>
      <c r="BG335" s="118">
        <f>2*(SQRT((BG347)^2+(BI344)^2))</f>
        <v>29.133581997413224</v>
      </c>
      <c r="BH335" s="118" t="s">
        <v>52</v>
      </c>
      <c r="BI335" s="118"/>
    </row>
    <row r="336" spans="8:72" x14ac:dyDescent="0.25">
      <c r="H336" s="10" t="s">
        <v>112</v>
      </c>
      <c r="I336" s="10">
        <f>I333*I332*I335</f>
        <v>0</v>
      </c>
      <c r="J336" s="10" t="s">
        <v>113</v>
      </c>
      <c r="K336" s="10"/>
      <c r="AW336" s="119" t="s">
        <v>343</v>
      </c>
      <c r="AX336" s="118">
        <f>0.33*4*AX335</f>
        <v>45.702616789851326</v>
      </c>
      <c r="AY336" s="118" t="s">
        <v>113</v>
      </c>
      <c r="AZ336" s="118"/>
      <c r="BA336" s="118"/>
      <c r="BB336" s="118"/>
      <c r="BC336" s="118"/>
      <c r="BD336" s="118"/>
      <c r="BE336" s="118"/>
      <c r="BF336" s="119" t="s">
        <v>343</v>
      </c>
      <c r="BG336" s="118">
        <f>0.33*4*BG335</f>
        <v>38.456328236585456</v>
      </c>
      <c r="BH336" s="118" t="s">
        <v>113</v>
      </c>
      <c r="BI336" s="118"/>
    </row>
    <row r="337" spans="1:61" ht="29.7" x14ac:dyDescent="0.25">
      <c r="H337" s="106" t="s">
        <v>354</v>
      </c>
      <c r="I337" s="31">
        <f>I336*1.1</f>
        <v>0</v>
      </c>
      <c r="J337" s="10" t="s">
        <v>113</v>
      </c>
      <c r="K337" s="10"/>
      <c r="AW337" s="120" t="s">
        <v>132</v>
      </c>
      <c r="AX337" s="118">
        <f>AX336*1.1</f>
        <v>50.27287846883646</v>
      </c>
      <c r="AY337" s="118" t="s">
        <v>113</v>
      </c>
      <c r="AZ337" s="118"/>
      <c r="BA337" s="118"/>
      <c r="BB337" s="118"/>
      <c r="BC337" s="118"/>
      <c r="BD337" s="118"/>
      <c r="BE337" s="118"/>
      <c r="BF337" s="120" t="s">
        <v>132</v>
      </c>
      <c r="BG337" s="118">
        <f>BG336*1.1</f>
        <v>42.301961060244004</v>
      </c>
      <c r="BH337" s="118" t="s">
        <v>113</v>
      </c>
      <c r="BI337" s="118"/>
    </row>
    <row r="338" spans="1:61" x14ac:dyDescent="0.25">
      <c r="AW338" s="118" t="s">
        <v>358</v>
      </c>
      <c r="AX338" s="118">
        <v>0</v>
      </c>
      <c r="AY338" s="118"/>
      <c r="AZ338" s="118"/>
      <c r="BA338" s="118"/>
      <c r="BB338" s="118"/>
      <c r="BC338" s="118"/>
      <c r="BD338" s="118"/>
      <c r="BE338" s="118"/>
      <c r="BF338" s="118" t="s">
        <v>358</v>
      </c>
      <c r="BG338" s="118">
        <v>0</v>
      </c>
      <c r="BH338" s="118"/>
      <c r="BI338" s="118"/>
    </row>
    <row r="339" spans="1:61" x14ac:dyDescent="0.25">
      <c r="A339" s="56" t="s">
        <v>416</v>
      </c>
      <c r="AW339" s="118" t="s">
        <v>359</v>
      </c>
      <c r="AX339" s="118">
        <f>AX338*AX337*2</f>
        <v>0</v>
      </c>
      <c r="AY339" s="118"/>
      <c r="AZ339" s="118"/>
      <c r="BA339" s="118"/>
      <c r="BB339" s="118"/>
      <c r="BC339" s="118"/>
      <c r="BD339" s="118"/>
      <c r="BE339" s="118"/>
      <c r="BF339" s="118" t="s">
        <v>359</v>
      </c>
      <c r="BG339" s="118">
        <f>BG338*BG337*2</f>
        <v>0</v>
      </c>
      <c r="BH339" s="118"/>
      <c r="BI339" s="118"/>
    </row>
    <row r="340" spans="1:61" x14ac:dyDescent="0.25">
      <c r="A340" s="7" t="s">
        <v>57</v>
      </c>
      <c r="B340" s="7"/>
      <c r="C340" s="7">
        <v>0</v>
      </c>
      <c r="D340" s="7" t="s">
        <v>116</v>
      </c>
      <c r="AW340" s="118"/>
      <c r="AX340" s="118"/>
      <c r="AY340" s="118"/>
      <c r="AZ340" s="118"/>
      <c r="BA340" s="118"/>
      <c r="BB340" s="118"/>
      <c r="BC340" s="118"/>
      <c r="BD340" s="118"/>
      <c r="BE340" s="118"/>
      <c r="BF340" s="118"/>
      <c r="BG340" s="118"/>
      <c r="BH340" s="118"/>
      <c r="BI340" s="118"/>
    </row>
    <row r="341" spans="1:61" x14ac:dyDescent="0.25">
      <c r="AW341" s="118"/>
      <c r="AX341" s="118"/>
      <c r="AY341" s="118"/>
      <c r="AZ341" s="121"/>
      <c r="BA341" s="118"/>
      <c r="BB341" s="118"/>
      <c r="BC341" s="118"/>
      <c r="BD341" s="118"/>
      <c r="BE341" s="118"/>
      <c r="BF341" s="118"/>
      <c r="BG341" s="118"/>
      <c r="BH341" s="118"/>
      <c r="BI341" s="121"/>
    </row>
    <row r="342" spans="1:61" x14ac:dyDescent="0.25">
      <c r="A342" s="56" t="s">
        <v>415</v>
      </c>
      <c r="B342" s="6"/>
      <c r="C342" s="6"/>
      <c r="AW342" s="118"/>
      <c r="AX342" s="118">
        <f>SQRT((AX347)^2+(AZ344)^2)</f>
        <v>17.311597268883077</v>
      </c>
      <c r="AY342" s="118"/>
      <c r="AZ342" s="121"/>
      <c r="BA342" s="118"/>
      <c r="BB342" s="118"/>
      <c r="BC342" s="118"/>
      <c r="BD342" s="118"/>
      <c r="BE342" s="118"/>
      <c r="BF342" s="118"/>
      <c r="BG342" s="118">
        <f>SQRT((BG347)^2+(BI344)^2)</f>
        <v>14.566790998706612</v>
      </c>
      <c r="BH342" s="118"/>
      <c r="BI342" s="121"/>
    </row>
    <row r="343" spans="1:61" x14ac:dyDescent="0.25">
      <c r="A343" s="7" t="s">
        <v>409</v>
      </c>
      <c r="B343" s="7"/>
      <c r="C343" s="127">
        <f>0</f>
        <v>0</v>
      </c>
      <c r="D343" s="7" t="s">
        <v>137</v>
      </c>
      <c r="E343" s="7"/>
      <c r="AW343" s="118"/>
      <c r="AX343" s="118"/>
      <c r="AY343" s="118"/>
      <c r="AZ343" s="121"/>
      <c r="BA343" s="118"/>
      <c r="BB343" s="118"/>
      <c r="BC343" s="118"/>
      <c r="BD343" s="118"/>
      <c r="BE343" s="118"/>
      <c r="BF343" s="118"/>
      <c r="BG343" s="118"/>
      <c r="BH343" s="118"/>
      <c r="BI343" s="121"/>
    </row>
    <row r="344" spans="1:61" x14ac:dyDescent="0.25">
      <c r="AW344" s="118"/>
      <c r="AX344" s="118"/>
      <c r="AY344" s="118"/>
      <c r="AZ344" s="121">
        <f>AX334</f>
        <v>9.83</v>
      </c>
      <c r="BA344" s="118"/>
      <c r="BB344" s="118"/>
      <c r="BC344" s="118"/>
      <c r="BD344" s="118"/>
      <c r="BE344" s="118"/>
      <c r="BF344" s="118"/>
      <c r="BG344" s="118"/>
      <c r="BH344" s="118"/>
      <c r="BI344" s="121">
        <f>BG334</f>
        <v>9.83</v>
      </c>
    </row>
    <row r="345" spans="1:61" x14ac:dyDescent="0.25">
      <c r="AW345" s="118"/>
      <c r="AX345" s="118"/>
      <c r="AY345" s="118"/>
      <c r="AZ345" s="121"/>
      <c r="BA345" s="118"/>
      <c r="BB345" s="118"/>
      <c r="BC345" s="118"/>
      <c r="BD345" s="118"/>
      <c r="BE345" s="118"/>
      <c r="BF345" s="118"/>
      <c r="BG345" s="118"/>
      <c r="BH345" s="118"/>
      <c r="BI345" s="121"/>
    </row>
    <row r="346" spans="1:61" x14ac:dyDescent="0.25">
      <c r="AW346" s="118"/>
      <c r="AX346" s="118"/>
      <c r="AY346" s="118"/>
      <c r="AZ346" s="121"/>
      <c r="BA346" s="118"/>
      <c r="BB346" s="118"/>
      <c r="BC346" s="118"/>
      <c r="BD346" s="118"/>
      <c r="BE346" s="118"/>
      <c r="BF346" s="118"/>
      <c r="BG346" s="118"/>
      <c r="BH346" s="118"/>
      <c r="BI346" s="121"/>
    </row>
    <row r="347" spans="1:61" x14ac:dyDescent="0.25">
      <c r="A347" s="56" t="s">
        <v>426</v>
      </c>
      <c r="AW347" s="122"/>
      <c r="AX347" s="122">
        <f>AX333</f>
        <v>14.25</v>
      </c>
      <c r="AY347" s="122"/>
      <c r="AZ347" s="118"/>
      <c r="BA347" s="118"/>
      <c r="BB347" s="118"/>
      <c r="BC347" s="118"/>
      <c r="BD347" s="118"/>
      <c r="BE347" s="118"/>
      <c r="BF347" s="122"/>
      <c r="BG347" s="122">
        <f>BG333</f>
        <v>10.75</v>
      </c>
      <c r="BH347" s="122"/>
      <c r="BI347" s="118"/>
    </row>
    <row r="348" spans="1:61" x14ac:dyDescent="0.25">
      <c r="AW348" s="118"/>
      <c r="AX348" s="118"/>
      <c r="AY348" s="118"/>
      <c r="AZ348" s="118"/>
      <c r="BA348" s="118"/>
      <c r="BB348" s="118"/>
      <c r="BC348" s="118"/>
      <c r="BD348" s="118"/>
      <c r="BE348" s="118"/>
      <c r="BF348" s="118"/>
      <c r="BG348" s="118"/>
      <c r="BH348" s="118"/>
      <c r="BI348" s="118"/>
    </row>
    <row r="349" spans="1:61" x14ac:dyDescent="0.25">
      <c r="A349" t="s">
        <v>143</v>
      </c>
      <c r="D349" s="25" t="s">
        <v>425</v>
      </c>
      <c r="E349" t="s">
        <v>2</v>
      </c>
      <c r="AW349" s="118"/>
      <c r="AX349" s="118"/>
      <c r="AY349" s="118"/>
      <c r="AZ349" s="118"/>
      <c r="BA349" s="118"/>
      <c r="BB349" s="118"/>
      <c r="BC349" s="118"/>
      <c r="BD349" s="118"/>
      <c r="BE349" s="118"/>
      <c r="BF349" s="118"/>
      <c r="BG349" s="118"/>
      <c r="BH349" s="118"/>
      <c r="BI349" s="118"/>
    </row>
    <row r="350" spans="1:61" x14ac:dyDescent="0.25">
      <c r="A350" t="s">
        <v>146</v>
      </c>
      <c r="D350">
        <v>0</v>
      </c>
      <c r="E350" t="s">
        <v>72</v>
      </c>
      <c r="AW350" s="118" t="s">
        <v>357</v>
      </c>
      <c r="AX350" s="118">
        <v>13.583</v>
      </c>
      <c r="AY350" s="118" t="s">
        <v>52</v>
      </c>
      <c r="AZ350" s="118"/>
      <c r="BA350" s="118"/>
      <c r="BB350" s="118"/>
      <c r="BC350" s="118"/>
      <c r="BD350" s="118"/>
      <c r="BE350" s="118"/>
      <c r="BF350" s="118" t="s">
        <v>357</v>
      </c>
      <c r="BG350" s="118">
        <v>11.25</v>
      </c>
      <c r="BH350" s="118" t="s">
        <v>52</v>
      </c>
      <c r="BI350" s="118"/>
    </row>
    <row r="351" spans="1:61" x14ac:dyDescent="0.25">
      <c r="AW351" s="118" t="s">
        <v>114</v>
      </c>
      <c r="AX351" s="118">
        <v>9.83</v>
      </c>
      <c r="AY351" s="118" t="s">
        <v>52</v>
      </c>
      <c r="AZ351" s="118"/>
      <c r="BA351" s="118"/>
      <c r="BB351" s="118"/>
      <c r="BC351" s="118"/>
      <c r="BD351" s="118"/>
      <c r="BE351" s="118"/>
      <c r="BF351" s="118" t="s">
        <v>114</v>
      </c>
      <c r="BG351" s="118">
        <v>9.83</v>
      </c>
      <c r="BH351" s="118" t="s">
        <v>52</v>
      </c>
      <c r="BI351" s="118"/>
    </row>
    <row r="352" spans="1:61" x14ac:dyDescent="0.25">
      <c r="A352" t="s">
        <v>194</v>
      </c>
      <c r="D352" s="1">
        <f>84+3</f>
        <v>87</v>
      </c>
      <c r="E352" t="s">
        <v>2</v>
      </c>
      <c r="AW352" s="118" t="s">
        <v>356</v>
      </c>
      <c r="AX352" s="118" t="e">
        <f>2*(SQRT((#REF!)^2+(AZ363)^2))</f>
        <v>#REF!</v>
      </c>
      <c r="AY352" s="118" t="s">
        <v>52</v>
      </c>
      <c r="AZ352" s="118"/>
      <c r="BA352" s="118"/>
      <c r="BB352" s="118"/>
      <c r="BC352" s="118"/>
      <c r="BD352" s="118"/>
      <c r="BE352" s="118"/>
      <c r="BF352" s="118" t="s">
        <v>356</v>
      </c>
      <c r="BG352" s="118" t="e">
        <f>2*(SQRT((#REF!)^2+(BI363)^2))</f>
        <v>#REF!</v>
      </c>
      <c r="BH352" s="118" t="s">
        <v>52</v>
      </c>
      <c r="BI352" s="118"/>
    </row>
    <row r="353" spans="1:61" x14ac:dyDescent="0.25">
      <c r="A353" t="s">
        <v>195</v>
      </c>
      <c r="D353" s="3">
        <f>81+3</f>
        <v>84</v>
      </c>
      <c r="E353" s="3" t="s">
        <v>2</v>
      </c>
      <c r="AW353" s="119" t="s">
        <v>343</v>
      </c>
      <c r="AX353" s="118" t="e">
        <f>0.33*4*AX352</f>
        <v>#REF!</v>
      </c>
      <c r="AY353" s="118" t="s">
        <v>113</v>
      </c>
      <c r="AZ353" s="118"/>
      <c r="BA353" s="118"/>
      <c r="BB353" s="118"/>
      <c r="BC353" s="118"/>
      <c r="BD353" s="118"/>
      <c r="BE353" s="118"/>
      <c r="BF353" s="119" t="s">
        <v>343</v>
      </c>
      <c r="BG353" s="118" t="e">
        <f>0.33*4*BG352</f>
        <v>#REF!</v>
      </c>
      <c r="BH353" s="118" t="s">
        <v>113</v>
      </c>
      <c r="BI353" s="118"/>
    </row>
    <row r="354" spans="1:61" x14ac:dyDescent="0.25">
      <c r="A354" t="s">
        <v>147</v>
      </c>
      <c r="D354" s="52">
        <f>SUM(D352:D353)</f>
        <v>171</v>
      </c>
      <c r="E354" s="7" t="s">
        <v>2</v>
      </c>
      <c r="AW354" s="120" t="s">
        <v>132</v>
      </c>
      <c r="AX354" s="118" t="e">
        <f>AX353*1.1</f>
        <v>#REF!</v>
      </c>
      <c r="AY354" s="118" t="s">
        <v>113</v>
      </c>
      <c r="AZ354" s="118"/>
      <c r="BA354" s="118"/>
      <c r="BB354" s="118"/>
      <c r="BC354" s="118"/>
      <c r="BD354" s="118"/>
      <c r="BE354" s="118"/>
      <c r="BF354" s="120" t="s">
        <v>132</v>
      </c>
      <c r="BG354" s="118" t="e">
        <f>BG353*1.1</f>
        <v>#REF!</v>
      </c>
      <c r="BH354" s="118" t="s">
        <v>113</v>
      </c>
      <c r="BI354" s="118"/>
    </row>
    <row r="355" spans="1:61" x14ac:dyDescent="0.25">
      <c r="AW355" s="118" t="s">
        <v>358</v>
      </c>
      <c r="AX355" s="118">
        <v>0</v>
      </c>
      <c r="AY355" s="118"/>
      <c r="AZ355" s="118"/>
      <c r="BA355" s="118"/>
      <c r="BB355" s="118"/>
      <c r="BC355" s="118"/>
      <c r="BD355" s="118"/>
      <c r="BE355" s="118"/>
      <c r="BF355" s="118" t="s">
        <v>358</v>
      </c>
      <c r="BG355" s="118">
        <v>0</v>
      </c>
      <c r="BH355" s="118"/>
      <c r="BI355" s="118"/>
    </row>
    <row r="356" spans="1:61" x14ac:dyDescent="0.25">
      <c r="AW356" s="118" t="s">
        <v>359</v>
      </c>
      <c r="AX356" s="118" t="e">
        <f>AX355*AX354*2</f>
        <v>#REF!</v>
      </c>
      <c r="AY356" s="118"/>
      <c r="AZ356" s="118"/>
      <c r="BA356" s="118"/>
      <c r="BB356" s="118"/>
      <c r="BC356" s="118"/>
      <c r="BD356" s="118"/>
      <c r="BE356" s="118"/>
      <c r="BF356" s="118" t="s">
        <v>359</v>
      </c>
      <c r="BG356" s="118" t="e">
        <f>BG355*BG354*2</f>
        <v>#REF!</v>
      </c>
      <c r="BH356" s="118"/>
      <c r="BI356" s="118"/>
    </row>
    <row r="357" spans="1:61" x14ac:dyDescent="0.25">
      <c r="AW357" s="118"/>
      <c r="AX357" s="118"/>
      <c r="AY357" s="118"/>
      <c r="AZ357" s="118"/>
      <c r="BA357" s="118"/>
      <c r="BB357" s="118"/>
      <c r="BC357" s="118"/>
      <c r="BD357" s="118"/>
      <c r="BE357" s="118"/>
      <c r="BF357" s="118"/>
      <c r="BG357" s="118"/>
      <c r="BH357" s="118"/>
      <c r="BI357" s="118"/>
    </row>
    <row r="358" spans="1:61" x14ac:dyDescent="0.25">
      <c r="A358" s="130" t="s">
        <v>203</v>
      </c>
      <c r="B358" s="114"/>
      <c r="AW358" s="118"/>
      <c r="AX358" s="118"/>
      <c r="AY358" s="118"/>
      <c r="AZ358" s="118"/>
      <c r="BA358" s="118"/>
      <c r="BB358" s="118"/>
      <c r="BC358" s="118"/>
      <c r="BD358" s="118"/>
      <c r="BE358" s="118"/>
      <c r="BF358" s="118"/>
      <c r="BG358" s="118"/>
      <c r="BH358" s="118"/>
      <c r="BI358" s="118"/>
    </row>
    <row r="359" spans="1:61" x14ac:dyDescent="0.25">
      <c r="A359" t="s">
        <v>148</v>
      </c>
      <c r="C359">
        <f>2*(0.5*1.333)</f>
        <v>1.333</v>
      </c>
      <c r="D359" t="s">
        <v>278</v>
      </c>
      <c r="AW359" s="118"/>
      <c r="AX359" s="118"/>
      <c r="AY359" s="118"/>
      <c r="AZ359" s="118"/>
      <c r="BA359" s="118"/>
      <c r="BB359" s="118"/>
      <c r="BC359" s="118"/>
      <c r="BD359" s="118"/>
      <c r="BE359" s="118"/>
      <c r="BF359" s="118"/>
      <c r="BG359" s="118"/>
      <c r="BH359" s="118"/>
      <c r="BI359" s="118"/>
    </row>
    <row r="360" spans="1:61" x14ac:dyDescent="0.25">
      <c r="AW360" s="118"/>
      <c r="AX360" s="118"/>
      <c r="AY360" s="118"/>
      <c r="AZ360" s="118"/>
      <c r="BA360" s="118"/>
      <c r="BB360" s="118"/>
      <c r="BC360" s="118"/>
      <c r="BD360" s="118"/>
      <c r="BE360" s="118"/>
      <c r="BF360" s="118"/>
      <c r="BG360" s="118"/>
      <c r="BH360" s="118"/>
      <c r="BI360" s="118"/>
    </row>
    <row r="361" spans="1:61" x14ac:dyDescent="0.25">
      <c r="A361" t="s">
        <v>149</v>
      </c>
      <c r="C361">
        <f>2*(0.5*1.333)</f>
        <v>1.333</v>
      </c>
      <c r="D361" s="3" t="s">
        <v>278</v>
      </c>
      <c r="AW361" s="118"/>
      <c r="AX361" s="118"/>
      <c r="AY361" s="118"/>
      <c r="AZ361" s="118"/>
      <c r="BA361" s="118"/>
      <c r="BB361" s="118"/>
      <c r="BC361" s="118"/>
      <c r="BD361" s="118"/>
      <c r="BE361" s="118"/>
      <c r="BF361" s="118"/>
      <c r="BG361" s="118"/>
      <c r="BH361" s="118"/>
      <c r="BI361" s="118"/>
    </row>
    <row r="362" spans="1:61" x14ac:dyDescent="0.25">
      <c r="C362" s="7">
        <f>SUM(C359:C361)</f>
        <v>2.6659999999999999</v>
      </c>
      <c r="D362" s="7" t="s">
        <v>278</v>
      </c>
      <c r="AW362" s="118"/>
      <c r="AX362" s="118"/>
      <c r="AY362" s="118"/>
      <c r="AZ362" s="118"/>
      <c r="BA362" s="118"/>
      <c r="BB362" s="118"/>
      <c r="BC362" s="118"/>
      <c r="BD362" s="118"/>
      <c r="BE362" s="118"/>
      <c r="BF362" s="118"/>
      <c r="BG362" s="118"/>
      <c r="BH362" s="118"/>
      <c r="BI362" s="118"/>
    </row>
    <row r="363" spans="1:61" x14ac:dyDescent="0.25">
      <c r="AW363" s="118"/>
      <c r="AX363" s="118"/>
      <c r="AY363" s="118"/>
      <c r="AZ363" s="121">
        <f>AX351</f>
        <v>9.83</v>
      </c>
      <c r="BA363" s="118"/>
      <c r="BB363" s="118"/>
      <c r="BC363" s="118"/>
      <c r="BD363" s="118"/>
      <c r="BE363" s="118"/>
      <c r="BF363" s="118"/>
      <c r="BG363" s="118"/>
      <c r="BH363" s="118"/>
      <c r="BI363" s="121">
        <f>BG351</f>
        <v>9.83</v>
      </c>
    </row>
    <row r="364" spans="1:61" x14ac:dyDescent="0.25">
      <c r="AW364" s="118"/>
      <c r="AX364" s="118"/>
      <c r="AY364" s="118"/>
      <c r="AZ364" s="121"/>
      <c r="BA364" s="118"/>
      <c r="BB364" s="118"/>
      <c r="BC364" s="118"/>
      <c r="BD364" s="118"/>
      <c r="BE364" s="118"/>
      <c r="BF364" s="118"/>
      <c r="BG364" s="118"/>
      <c r="BH364" s="118"/>
      <c r="BI364" s="121"/>
    </row>
    <row r="365" spans="1:61" x14ac:dyDescent="0.25">
      <c r="A365" s="56" t="s">
        <v>380</v>
      </c>
      <c r="AW365" s="118"/>
      <c r="AX365" s="118"/>
      <c r="AY365" s="118"/>
      <c r="AZ365" s="121"/>
      <c r="BA365" s="118"/>
      <c r="BB365" s="118"/>
      <c r="BC365" s="118"/>
      <c r="BD365" s="118"/>
      <c r="BE365" s="118"/>
      <c r="BF365" s="118"/>
      <c r="BG365" s="118"/>
      <c r="BH365" s="118"/>
      <c r="BI365" s="121"/>
    </row>
    <row r="366" spans="1:61" x14ac:dyDescent="0.25">
      <c r="A366" t="s">
        <v>148</v>
      </c>
      <c r="C366">
        <v>13</v>
      </c>
      <c r="D366" t="s">
        <v>116</v>
      </c>
      <c r="AW366" s="118"/>
      <c r="AX366" s="118"/>
      <c r="AY366" s="118"/>
      <c r="AZ366" s="118"/>
      <c r="BA366" s="118"/>
      <c r="BB366" s="118"/>
      <c r="BC366" s="118"/>
      <c r="BD366" s="118"/>
      <c r="BE366" s="118"/>
      <c r="BF366" s="118"/>
      <c r="BG366" s="118"/>
      <c r="BH366" s="118"/>
      <c r="BI366" s="118"/>
    </row>
    <row r="367" spans="1:61" x14ac:dyDescent="0.25">
      <c r="AW367" s="118"/>
      <c r="AX367" s="118"/>
      <c r="AY367" s="118"/>
      <c r="AZ367" s="118"/>
      <c r="BA367" s="118"/>
      <c r="BB367" s="118"/>
      <c r="BC367" s="118"/>
      <c r="BD367" s="118"/>
      <c r="BE367" s="118"/>
      <c r="BF367" s="118"/>
      <c r="BG367" s="118"/>
      <c r="BH367" s="118"/>
      <c r="BI367" s="118"/>
    </row>
    <row r="368" spans="1:61" x14ac:dyDescent="0.25">
      <c r="A368" t="s">
        <v>149</v>
      </c>
      <c r="C368" s="3">
        <v>13</v>
      </c>
      <c r="D368" s="3" t="s">
        <v>116</v>
      </c>
      <c r="AW368" s="118" t="s">
        <v>357</v>
      </c>
      <c r="AX368" s="118">
        <v>15.229200000000001</v>
      </c>
      <c r="AY368" s="118" t="s">
        <v>52</v>
      </c>
      <c r="AZ368" s="118"/>
      <c r="BA368" s="118"/>
      <c r="BB368" s="118"/>
      <c r="BC368" s="118"/>
      <c r="BD368" s="118"/>
      <c r="BE368" s="118"/>
      <c r="BF368" s="118" t="s">
        <v>357</v>
      </c>
      <c r="BG368" s="118">
        <v>14.771000000000001</v>
      </c>
      <c r="BH368" s="118" t="s">
        <v>52</v>
      </c>
      <c r="BI368" s="118"/>
    </row>
    <row r="369" spans="1:61" x14ac:dyDescent="0.25">
      <c r="C369" s="7">
        <f>SUM(C366:C368)</f>
        <v>26</v>
      </c>
      <c r="D369" s="7" t="s">
        <v>116</v>
      </c>
      <c r="AW369" s="118" t="s">
        <v>114</v>
      </c>
      <c r="AX369" s="118">
        <v>9.83</v>
      </c>
      <c r="AY369" s="118" t="s">
        <v>52</v>
      </c>
      <c r="AZ369" s="118"/>
      <c r="BA369" s="118"/>
      <c r="BB369" s="118"/>
      <c r="BC369" s="118"/>
      <c r="BD369" s="118"/>
      <c r="BE369" s="118"/>
      <c r="BF369" s="118" t="s">
        <v>114</v>
      </c>
      <c r="BG369" s="118">
        <v>9.83</v>
      </c>
      <c r="BH369" s="118" t="s">
        <v>52</v>
      </c>
      <c r="BI369" s="118"/>
    </row>
    <row r="370" spans="1:61" x14ac:dyDescent="0.25">
      <c r="AW370" s="118" t="s">
        <v>356</v>
      </c>
      <c r="AX370" s="118">
        <f>2*(SQRT((AX382)^2+(AZ379)^2))</f>
        <v>36.25230655503178</v>
      </c>
      <c r="AY370" s="118" t="s">
        <v>52</v>
      </c>
      <c r="AZ370" s="118"/>
      <c r="BA370" s="118"/>
      <c r="BB370" s="118"/>
      <c r="BC370" s="118"/>
      <c r="BD370" s="118"/>
      <c r="BE370" s="118"/>
      <c r="BF370" s="118" t="s">
        <v>356</v>
      </c>
      <c r="BG370" s="118">
        <f>2*(SQRT((BG382)^2+(BI379)^2))</f>
        <v>35.48584737610193</v>
      </c>
      <c r="BH370" s="118" t="s">
        <v>52</v>
      </c>
      <c r="BI370" s="118"/>
    </row>
    <row r="371" spans="1:61" x14ac:dyDescent="0.25">
      <c r="AW371" s="119" t="s">
        <v>343</v>
      </c>
      <c r="AX371" s="118">
        <f>0.33*4*AX370</f>
        <v>47.853044652641948</v>
      </c>
      <c r="AY371" s="118" t="s">
        <v>113</v>
      </c>
      <c r="AZ371" s="118"/>
      <c r="BA371" s="118"/>
      <c r="BB371" s="118"/>
      <c r="BC371" s="118"/>
      <c r="BD371" s="118"/>
      <c r="BE371" s="118"/>
      <c r="BF371" s="119" t="s">
        <v>343</v>
      </c>
      <c r="BG371" s="118">
        <f>0.33*4*BG370</f>
        <v>46.841318536454551</v>
      </c>
      <c r="BH371" s="118" t="s">
        <v>113</v>
      </c>
      <c r="BI371" s="118"/>
    </row>
    <row r="372" spans="1:61" x14ac:dyDescent="0.25">
      <c r="AW372" s="120" t="s">
        <v>132</v>
      </c>
      <c r="AX372" s="118">
        <f>AX371*1.1</f>
        <v>52.638349117906145</v>
      </c>
      <c r="AY372" s="118" t="s">
        <v>113</v>
      </c>
      <c r="AZ372" s="118"/>
      <c r="BA372" s="118"/>
      <c r="BB372" s="118"/>
      <c r="BC372" s="118"/>
      <c r="BD372" s="118"/>
      <c r="BE372" s="118"/>
      <c r="BF372" s="120" t="s">
        <v>132</v>
      </c>
      <c r="BG372" s="118">
        <f>BG371*1.1</f>
        <v>51.525450390100012</v>
      </c>
      <c r="BH372" s="118" t="s">
        <v>113</v>
      </c>
      <c r="BI372" s="118"/>
    </row>
    <row r="373" spans="1:61" s="114" customFormat="1" x14ac:dyDescent="0.25">
      <c r="A373" s="57" t="s">
        <v>41</v>
      </c>
      <c r="AW373" s="123" t="s">
        <v>358</v>
      </c>
      <c r="AX373" s="123">
        <v>0</v>
      </c>
      <c r="AY373" s="123"/>
      <c r="AZ373" s="123"/>
      <c r="BA373" s="123"/>
      <c r="BB373" s="123"/>
      <c r="BC373" s="123"/>
      <c r="BD373" s="123"/>
      <c r="BE373" s="123"/>
      <c r="BF373" s="123" t="s">
        <v>358</v>
      </c>
      <c r="BG373" s="123">
        <v>0</v>
      </c>
      <c r="BH373" s="123"/>
      <c r="BI373" s="123"/>
    </row>
    <row r="374" spans="1:61" x14ac:dyDescent="0.25">
      <c r="A374" s="2"/>
      <c r="AW374" s="118" t="s">
        <v>359</v>
      </c>
      <c r="AX374" s="118">
        <f>AX373*AX372*2</f>
        <v>0</v>
      </c>
      <c r="AY374" s="118"/>
      <c r="AZ374" s="118"/>
      <c r="BA374" s="118"/>
      <c r="BB374" s="118"/>
      <c r="BC374" s="118"/>
      <c r="BD374" s="118"/>
      <c r="BE374" s="118"/>
      <c r="BF374" s="118" t="s">
        <v>359</v>
      </c>
      <c r="BG374" s="118">
        <f>BG373*BG372*2</f>
        <v>0</v>
      </c>
      <c r="BH374" s="118"/>
      <c r="BI374" s="118"/>
    </row>
    <row r="375" spans="1:61" x14ac:dyDescent="0.25">
      <c r="A375" t="s">
        <v>305</v>
      </c>
      <c r="C375">
        <v>0</v>
      </c>
      <c r="D375" t="s">
        <v>278</v>
      </c>
      <c r="AW375" s="118"/>
      <c r="AX375" s="118"/>
      <c r="AY375" s="118"/>
      <c r="AZ375" s="118"/>
      <c r="BA375" s="118"/>
      <c r="BB375" s="118"/>
      <c r="BC375" s="118"/>
      <c r="BD375" s="118"/>
      <c r="BE375" s="118"/>
      <c r="BF375" s="118"/>
      <c r="BG375" s="118"/>
      <c r="BH375" s="118"/>
      <c r="BI375" s="118"/>
    </row>
    <row r="376" spans="1:61" x14ac:dyDescent="0.25">
      <c r="A376" s="2"/>
      <c r="AW376" s="118"/>
      <c r="AX376" s="118"/>
      <c r="AY376" s="118"/>
      <c r="AZ376" s="121"/>
      <c r="BA376" s="118"/>
      <c r="BB376" s="118"/>
      <c r="BC376" s="118"/>
      <c r="BD376" s="118"/>
      <c r="BE376" s="118"/>
      <c r="BF376" s="118"/>
      <c r="BG376" s="118"/>
      <c r="BH376" s="118"/>
      <c r="BI376" s="121"/>
    </row>
    <row r="377" spans="1:61" x14ac:dyDescent="0.25">
      <c r="A377" t="s">
        <v>175</v>
      </c>
      <c r="AW377" s="118"/>
      <c r="AX377" s="118">
        <f>SQRT((AX382)^2+(AZ379)^2)</f>
        <v>18.12615327751589</v>
      </c>
      <c r="AY377" s="118"/>
      <c r="AZ377" s="121"/>
      <c r="BA377" s="118"/>
      <c r="BB377" s="118"/>
      <c r="BC377" s="118"/>
      <c r="BD377" s="118"/>
      <c r="BE377" s="118"/>
      <c r="BF377" s="118"/>
      <c r="BG377" s="118">
        <f>SQRT((BG382)^2+(BI379)^2)</f>
        <v>17.742923688050965</v>
      </c>
      <c r="BH377" s="118"/>
      <c r="BI377" s="121"/>
    </row>
    <row r="378" spans="1:61" x14ac:dyDescent="0.25">
      <c r="A378" t="s">
        <v>37</v>
      </c>
      <c r="D378">
        <v>0</v>
      </c>
      <c r="E378" t="s">
        <v>2</v>
      </c>
      <c r="AW378" s="118"/>
      <c r="AX378" s="118"/>
      <c r="AY378" s="118"/>
      <c r="AZ378" s="121"/>
      <c r="BA378" s="118"/>
      <c r="BB378" s="118"/>
      <c r="BC378" s="118"/>
      <c r="BD378" s="118"/>
      <c r="BE378" s="118"/>
      <c r="BF378" s="118"/>
      <c r="BG378" s="118"/>
      <c r="BH378" s="118"/>
      <c r="BI378" s="121"/>
    </row>
    <row r="379" spans="1:61" x14ac:dyDescent="0.25">
      <c r="A379" t="s">
        <v>38</v>
      </c>
      <c r="D379">
        <v>0</v>
      </c>
      <c r="E379" t="s">
        <v>2</v>
      </c>
      <c r="AW379" s="118"/>
      <c r="AX379" s="118"/>
      <c r="AY379" s="118"/>
      <c r="AZ379" s="121">
        <f>AX369</f>
        <v>9.83</v>
      </c>
      <c r="BA379" s="118"/>
      <c r="BB379" s="118"/>
      <c r="BC379" s="118"/>
      <c r="BD379" s="118"/>
      <c r="BE379" s="118"/>
      <c r="BF379" s="118"/>
      <c r="BG379" s="118"/>
      <c r="BH379" s="118"/>
      <c r="BI379" s="121">
        <f>BG369</f>
        <v>9.83</v>
      </c>
    </row>
    <row r="380" spans="1:61" x14ac:dyDescent="0.25">
      <c r="A380" t="s">
        <v>43</v>
      </c>
      <c r="D380">
        <v>1</v>
      </c>
      <c r="AW380" s="118"/>
      <c r="AX380" s="118"/>
      <c r="AY380" s="118"/>
      <c r="AZ380" s="121"/>
      <c r="BA380" s="118"/>
      <c r="BB380" s="118"/>
      <c r="BC380" s="118"/>
      <c r="BD380" s="118"/>
      <c r="BE380" s="118"/>
      <c r="BF380" s="118"/>
      <c r="BG380" s="118"/>
      <c r="BH380" s="118"/>
      <c r="BI380" s="121"/>
    </row>
    <row r="381" spans="1:61" x14ac:dyDescent="0.25">
      <c r="A381" t="s">
        <v>42</v>
      </c>
      <c r="C381">
        <f>D378*D379*D380</f>
        <v>0</v>
      </c>
      <c r="D381" t="s">
        <v>40</v>
      </c>
      <c r="AW381" s="118"/>
      <c r="AX381" s="118"/>
      <c r="AY381" s="118"/>
      <c r="AZ381" s="121"/>
      <c r="BA381" s="118"/>
      <c r="BB381" s="118"/>
      <c r="BC381" s="118"/>
      <c r="BD381" s="118"/>
      <c r="BE381" s="118"/>
      <c r="BF381" s="118"/>
      <c r="BG381" s="118"/>
      <c r="BH381" s="118"/>
      <c r="BI381" s="121"/>
    </row>
    <row r="382" spans="1:61" x14ac:dyDescent="0.25">
      <c r="AW382" s="122"/>
      <c r="AX382" s="122">
        <f>AX368</f>
        <v>15.229200000000001</v>
      </c>
      <c r="AY382" s="122"/>
      <c r="AZ382" s="118"/>
      <c r="BA382" s="118"/>
      <c r="BB382" s="118"/>
      <c r="BC382" s="118"/>
      <c r="BD382" s="118"/>
      <c r="BE382" s="118"/>
      <c r="BF382" s="122"/>
      <c r="BG382" s="122">
        <f>BG368</f>
        <v>14.771000000000001</v>
      </c>
      <c r="BH382" s="122"/>
      <c r="BI382" s="118"/>
    </row>
    <row r="383" spans="1:61" x14ac:dyDescent="0.25">
      <c r="A383" t="s">
        <v>179</v>
      </c>
      <c r="AW383" s="118"/>
      <c r="AX383" s="118"/>
      <c r="AY383" s="118"/>
      <c r="AZ383" s="118"/>
      <c r="BA383" s="118"/>
      <c r="BB383" s="118"/>
      <c r="BC383" s="118"/>
      <c r="BD383" s="118"/>
      <c r="BE383" s="118"/>
      <c r="BF383" s="118"/>
      <c r="BG383" s="118"/>
      <c r="BH383" s="118"/>
      <c r="BI383" s="118"/>
    </row>
    <row r="384" spans="1:61" x14ac:dyDescent="0.25">
      <c r="A384" t="s">
        <v>37</v>
      </c>
      <c r="D384">
        <v>0</v>
      </c>
      <c r="E384" t="s">
        <v>2</v>
      </c>
      <c r="AW384" s="118"/>
      <c r="AX384" s="118"/>
      <c r="AY384" s="118"/>
      <c r="AZ384" s="118"/>
      <c r="BA384" s="118"/>
      <c r="BB384" s="118"/>
      <c r="BC384" s="118"/>
      <c r="BD384" s="118"/>
      <c r="BE384" s="118"/>
      <c r="BF384" s="118"/>
      <c r="BG384" s="118"/>
      <c r="BH384" s="118"/>
      <c r="BI384" s="118"/>
    </row>
    <row r="385" spans="1:5" x14ac:dyDescent="0.25">
      <c r="A385" t="s">
        <v>38</v>
      </c>
      <c r="D385">
        <v>0</v>
      </c>
      <c r="E385" t="s">
        <v>2</v>
      </c>
    </row>
    <row r="386" spans="1:5" x14ac:dyDescent="0.25">
      <c r="A386" t="s">
        <v>43</v>
      </c>
      <c r="D386">
        <v>1</v>
      </c>
    </row>
    <row r="387" spans="1:5" x14ac:dyDescent="0.25">
      <c r="A387" t="s">
        <v>42</v>
      </c>
      <c r="C387">
        <f>D384*D385*D386</f>
        <v>0</v>
      </c>
      <c r="D387" t="s">
        <v>40</v>
      </c>
    </row>
    <row r="389" spans="1:5" x14ac:dyDescent="0.25">
      <c r="A389" t="s">
        <v>412</v>
      </c>
    </row>
    <row r="390" spans="1:5" x14ac:dyDescent="0.25">
      <c r="A390" t="s">
        <v>37</v>
      </c>
      <c r="D390">
        <v>3</v>
      </c>
      <c r="E390" t="s">
        <v>2</v>
      </c>
    </row>
    <row r="391" spans="1:5" x14ac:dyDescent="0.25">
      <c r="A391" t="s">
        <v>38</v>
      </c>
      <c r="D391">
        <v>1.5</v>
      </c>
      <c r="E391" t="s">
        <v>2</v>
      </c>
    </row>
    <row r="392" spans="1:5" x14ac:dyDescent="0.25">
      <c r="A392" t="s">
        <v>43</v>
      </c>
      <c r="D392">
        <v>1</v>
      </c>
    </row>
    <row r="393" spans="1:5" x14ac:dyDescent="0.25">
      <c r="A393" t="s">
        <v>42</v>
      </c>
      <c r="C393">
        <f>D390*D391*D392</f>
        <v>4.5</v>
      </c>
      <c r="D393" t="s">
        <v>40</v>
      </c>
    </row>
    <row r="395" spans="1:5" x14ac:dyDescent="0.25">
      <c r="A395" t="s">
        <v>413</v>
      </c>
    </row>
    <row r="396" spans="1:5" x14ac:dyDescent="0.25">
      <c r="A396" t="s">
        <v>37</v>
      </c>
      <c r="D396">
        <v>0</v>
      </c>
      <c r="E396" t="s">
        <v>2</v>
      </c>
    </row>
    <row r="397" spans="1:5" x14ac:dyDescent="0.25">
      <c r="A397" t="s">
        <v>38</v>
      </c>
      <c r="D397">
        <v>0</v>
      </c>
      <c r="E397" t="s">
        <v>2</v>
      </c>
    </row>
    <row r="398" spans="1:5" x14ac:dyDescent="0.25">
      <c r="A398" t="s">
        <v>43</v>
      </c>
      <c r="D398">
        <v>1</v>
      </c>
    </row>
    <row r="399" spans="1:5" x14ac:dyDescent="0.25">
      <c r="A399" t="s">
        <v>42</v>
      </c>
      <c r="C399">
        <f>D396*D397*D398</f>
        <v>0</v>
      </c>
      <c r="D399" t="s">
        <v>40</v>
      </c>
    </row>
    <row r="401" spans="1:5" x14ac:dyDescent="0.25">
      <c r="A401" s="7" t="s">
        <v>180</v>
      </c>
      <c r="B401" s="7"/>
      <c r="C401" s="52">
        <f>ROUND(C375+C381+C387+C393+C399,1)</f>
        <v>4.5</v>
      </c>
      <c r="D401" s="7" t="s">
        <v>40</v>
      </c>
    </row>
    <row r="404" spans="1:5" x14ac:dyDescent="0.25">
      <c r="A404" s="56" t="s">
        <v>335</v>
      </c>
      <c r="B404" s="6"/>
      <c r="C404" s="6"/>
      <c r="D404" s="7">
        <v>2</v>
      </c>
      <c r="E404" s="7" t="s">
        <v>116</v>
      </c>
    </row>
    <row r="408" spans="1:5" x14ac:dyDescent="0.25">
      <c r="A408" s="130" t="s">
        <v>414</v>
      </c>
      <c r="B408" s="114"/>
      <c r="C408" s="114"/>
      <c r="D408" s="114"/>
      <c r="E408" s="114"/>
    </row>
    <row r="409" spans="1:5" x14ac:dyDescent="0.25">
      <c r="A409" s="130" t="s">
        <v>399</v>
      </c>
      <c r="B409" s="114"/>
      <c r="C409" s="114"/>
      <c r="D409" s="114"/>
      <c r="E409" s="114"/>
    </row>
    <row r="410" spans="1:5" x14ac:dyDescent="0.25">
      <c r="A410" s="130" t="s">
        <v>406</v>
      </c>
      <c r="B410" s="114"/>
      <c r="C410" s="114"/>
      <c r="D410" s="114"/>
      <c r="E410" s="114"/>
    </row>
    <row r="412" spans="1:5" x14ac:dyDescent="0.25">
      <c r="A412" t="s">
        <v>398</v>
      </c>
    </row>
    <row r="413" spans="1:5" x14ac:dyDescent="0.25">
      <c r="A413" t="s">
        <v>394</v>
      </c>
      <c r="C413">
        <f>1026.83</f>
        <v>1026.83</v>
      </c>
      <c r="D413" t="s">
        <v>2</v>
      </c>
    </row>
    <row r="414" spans="1:5" x14ac:dyDescent="0.25">
      <c r="A414" t="s">
        <v>395</v>
      </c>
      <c r="C414" s="25">
        <v>33.5</v>
      </c>
      <c r="D414" t="s">
        <v>396</v>
      </c>
    </row>
    <row r="416" spans="1:5" x14ac:dyDescent="0.25">
      <c r="A416" t="s">
        <v>202</v>
      </c>
      <c r="C416">
        <f>C413*C414</f>
        <v>34398.805</v>
      </c>
      <c r="D416" t="s">
        <v>40</v>
      </c>
    </row>
    <row r="417" spans="1:4" x14ac:dyDescent="0.25">
      <c r="C417" s="1">
        <f>C416/9</f>
        <v>3822.0894444444443</v>
      </c>
      <c r="D417" t="s">
        <v>24</v>
      </c>
    </row>
    <row r="419" spans="1:4" x14ac:dyDescent="0.25">
      <c r="A419" t="s">
        <v>397</v>
      </c>
    </row>
    <row r="420" spans="1:4" x14ac:dyDescent="0.25">
      <c r="A420" t="s">
        <v>394</v>
      </c>
      <c r="C420">
        <v>25</v>
      </c>
      <c r="D420" t="s">
        <v>2</v>
      </c>
    </row>
    <row r="421" spans="1:4" x14ac:dyDescent="0.25">
      <c r="A421" t="s">
        <v>395</v>
      </c>
      <c r="C421" s="25">
        <v>33.5</v>
      </c>
      <c r="D421" t="s">
        <v>396</v>
      </c>
    </row>
    <row r="423" spans="1:4" x14ac:dyDescent="0.25">
      <c r="A423" t="s">
        <v>202</v>
      </c>
      <c r="C423">
        <f>C420*C421</f>
        <v>837.5</v>
      </c>
      <c r="D423" t="s">
        <v>40</v>
      </c>
    </row>
    <row r="424" spans="1:4" x14ac:dyDescent="0.25">
      <c r="C424" s="1">
        <f>C423/9</f>
        <v>93.055555555555557</v>
      </c>
      <c r="D424" t="s">
        <v>24</v>
      </c>
    </row>
    <row r="426" spans="1:4" x14ac:dyDescent="0.25">
      <c r="A426" t="s">
        <v>28</v>
      </c>
      <c r="C426" s="7">
        <f>ROUNDUP(C417+C424,0)</f>
        <v>3916</v>
      </c>
      <c r="D426" s="7" t="s">
        <v>24</v>
      </c>
    </row>
    <row r="429" spans="1:4" s="114" customFormat="1" x14ac:dyDescent="0.25">
      <c r="A429" s="130" t="s">
        <v>402</v>
      </c>
    </row>
    <row r="430" spans="1:4" x14ac:dyDescent="0.25">
      <c r="A430" t="s">
        <v>393</v>
      </c>
      <c r="C430">
        <f>C416</f>
        <v>34398.805</v>
      </c>
      <c r="D430" t="s">
        <v>40</v>
      </c>
    </row>
    <row r="431" spans="1:4" x14ac:dyDescent="0.25">
      <c r="A431" t="s">
        <v>3</v>
      </c>
      <c r="C431">
        <v>8.3299999999999999E-2</v>
      </c>
      <c r="D431" t="s">
        <v>2</v>
      </c>
    </row>
    <row r="432" spans="1:4" x14ac:dyDescent="0.25">
      <c r="A432" t="s">
        <v>403</v>
      </c>
      <c r="C432">
        <f>C430*C431</f>
        <v>2865.4204565</v>
      </c>
      <c r="D432" t="s">
        <v>13</v>
      </c>
    </row>
    <row r="433" spans="1:4" x14ac:dyDescent="0.25">
      <c r="C433" s="1">
        <f>C432/27</f>
        <v>106.12668357407408</v>
      </c>
      <c r="D433" t="s">
        <v>8</v>
      </c>
    </row>
    <row r="435" spans="1:4" x14ac:dyDescent="0.25">
      <c r="A435" t="s">
        <v>404</v>
      </c>
      <c r="C435">
        <f>C423</f>
        <v>837.5</v>
      </c>
      <c r="D435" t="s">
        <v>40</v>
      </c>
    </row>
    <row r="436" spans="1:4" x14ac:dyDescent="0.25">
      <c r="A436" t="s">
        <v>3</v>
      </c>
      <c r="C436">
        <v>8.3299999999999999E-2</v>
      </c>
      <c r="D436" t="s">
        <v>2</v>
      </c>
    </row>
    <row r="437" spans="1:4" x14ac:dyDescent="0.25">
      <c r="A437" t="s">
        <v>403</v>
      </c>
      <c r="C437">
        <f>C435*C436</f>
        <v>69.763750000000002</v>
      </c>
      <c r="D437" t="s">
        <v>13</v>
      </c>
    </row>
    <row r="438" spans="1:4" x14ac:dyDescent="0.25">
      <c r="C438" s="1">
        <f>C437/27</f>
        <v>2.5838425925925925</v>
      </c>
      <c r="D438" t="s">
        <v>8</v>
      </c>
    </row>
    <row r="440" spans="1:4" x14ac:dyDescent="0.25">
      <c r="A440" t="s">
        <v>405</v>
      </c>
      <c r="C440" s="7">
        <f>ROUNDUP(C433+C438,0)</f>
        <v>109</v>
      </c>
      <c r="D440" s="7" t="s">
        <v>8</v>
      </c>
    </row>
    <row r="443" spans="1:4" s="114" customFormat="1" x14ac:dyDescent="0.25">
      <c r="A443" s="130" t="s">
        <v>400</v>
      </c>
    </row>
    <row r="444" spans="1:4" x14ac:dyDescent="0.25">
      <c r="A444" t="s">
        <v>202</v>
      </c>
      <c r="C444" s="7">
        <f>0.1*C426</f>
        <v>391.6</v>
      </c>
      <c r="D444" s="7" t="s">
        <v>24</v>
      </c>
    </row>
    <row r="446" spans="1:4" s="114" customFormat="1" x14ac:dyDescent="0.25">
      <c r="A446" s="130" t="s">
        <v>401</v>
      </c>
      <c r="C446" s="131" t="s">
        <v>245</v>
      </c>
    </row>
    <row r="449" spans="1:4" s="114" customFormat="1" x14ac:dyDescent="0.25">
      <c r="A449" s="130" t="s">
        <v>411</v>
      </c>
      <c r="C449" s="131">
        <v>1</v>
      </c>
      <c r="D449" s="131" t="s">
        <v>8</v>
      </c>
    </row>
  </sheetData>
  <mergeCells count="10">
    <mergeCell ref="AI323:AI324"/>
    <mergeCell ref="AI315:AI317"/>
    <mergeCell ref="AI320:AI321"/>
    <mergeCell ref="A34:B35"/>
    <mergeCell ref="A50:B51"/>
    <mergeCell ref="A286:J288"/>
    <mergeCell ref="AH295:AN295"/>
    <mergeCell ref="A66:B67"/>
    <mergeCell ref="A82:B83"/>
    <mergeCell ref="Y294:AF294"/>
  </mergeCells>
  <pageMargins left="0.7" right="0.7" top="0.75" bottom="0.75" header="0.3" footer="0.3"/>
  <pageSetup paperSize="17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357"/>
  <sheetViews>
    <sheetView topLeftCell="A302" zoomScale="70" zoomScaleNormal="70" workbookViewId="0">
      <selection activeCell="C20" sqref="C20"/>
    </sheetView>
  </sheetViews>
  <sheetFormatPr defaultRowHeight="14.85" x14ac:dyDescent="0.25"/>
  <cols>
    <col min="3" max="3" width="19.140625" customWidth="1"/>
    <col min="4" max="4" width="22" customWidth="1"/>
    <col min="5" max="5" width="10.7109375" customWidth="1"/>
    <col min="8" max="8" width="12.85546875" customWidth="1"/>
    <col min="9" max="9" width="10.42578125" customWidth="1"/>
    <col min="11" max="14" width="12.85546875" customWidth="1"/>
    <col min="15" max="15" width="12.140625" customWidth="1"/>
    <col min="16" max="16" width="14.42578125" customWidth="1"/>
    <col min="17" max="17" width="14" customWidth="1"/>
    <col min="18" max="23" width="12.85546875" customWidth="1"/>
    <col min="25" max="26" width="13.42578125" customWidth="1"/>
    <col min="27" max="27" width="11" customWidth="1"/>
    <col min="35" max="35" width="14.42578125" customWidth="1"/>
    <col min="46" max="46" width="17.28515625" customWidth="1"/>
    <col min="57" max="57" width="16.5703125" customWidth="1"/>
  </cols>
  <sheetData>
    <row r="1" spans="1:16" x14ac:dyDescent="0.25">
      <c r="A1" s="56" t="s">
        <v>44</v>
      </c>
    </row>
    <row r="3" spans="1:16" x14ac:dyDescent="0.25">
      <c r="A3" t="s">
        <v>303</v>
      </c>
      <c r="C3">
        <f>2*(877*2)</f>
        <v>3508</v>
      </c>
    </row>
    <row r="4" spans="1:16" x14ac:dyDescent="0.25">
      <c r="A4" t="s">
        <v>45</v>
      </c>
      <c r="C4">
        <f>84+2*(2*22)</f>
        <v>172</v>
      </c>
    </row>
    <row r="5" spans="1:16" x14ac:dyDescent="0.25">
      <c r="A5" t="s">
        <v>46</v>
      </c>
      <c r="C5" s="3">
        <f>84+2*(2*22)</f>
        <v>172</v>
      </c>
    </row>
    <row r="6" spans="1:16" x14ac:dyDescent="0.25">
      <c r="C6" s="7">
        <f>SUM(C3:C5)</f>
        <v>3852</v>
      </c>
      <c r="D6" t="s">
        <v>116</v>
      </c>
    </row>
    <row r="9" spans="1:16" x14ac:dyDescent="0.25">
      <c r="A9" s="56" t="s">
        <v>284</v>
      </c>
      <c r="K9" t="s">
        <v>277</v>
      </c>
      <c r="O9">
        <v>4.37</v>
      </c>
      <c r="P9" t="s">
        <v>278</v>
      </c>
    </row>
    <row r="10" spans="1:16" x14ac:dyDescent="0.25">
      <c r="A10" s="2"/>
    </row>
    <row r="11" spans="1:16" x14ac:dyDescent="0.25">
      <c r="A11" s="6" t="s">
        <v>291</v>
      </c>
    </row>
    <row r="12" spans="1:16" x14ac:dyDescent="0.25">
      <c r="A12" t="s">
        <v>292</v>
      </c>
      <c r="D12">
        <v>4.37</v>
      </c>
      <c r="E12" t="s">
        <v>278</v>
      </c>
    </row>
    <row r="13" spans="1:16" x14ac:dyDescent="0.25">
      <c r="A13" t="s">
        <v>293</v>
      </c>
      <c r="D13">
        <v>876.2</v>
      </c>
      <c r="E13" t="s">
        <v>2</v>
      </c>
    </row>
    <row r="14" spans="1:16" x14ac:dyDescent="0.25">
      <c r="A14" t="s">
        <v>294</v>
      </c>
      <c r="D14">
        <v>2</v>
      </c>
      <c r="E14" t="s">
        <v>116</v>
      </c>
    </row>
    <row r="15" spans="1:16" x14ac:dyDescent="0.25">
      <c r="A15" t="s">
        <v>56</v>
      </c>
      <c r="D15">
        <f>D12*D13*D14</f>
        <v>7657.9880000000003</v>
      </c>
      <c r="E15" t="s">
        <v>295</v>
      </c>
    </row>
    <row r="16" spans="1:16" x14ac:dyDescent="0.25">
      <c r="D16">
        <f>ROUNDUP(D15/27,0)</f>
        <v>284</v>
      </c>
      <c r="E16" t="s">
        <v>8</v>
      </c>
    </row>
    <row r="18" spans="1:16" x14ac:dyDescent="0.25">
      <c r="A18" s="6" t="s">
        <v>289</v>
      </c>
      <c r="K18" t="s">
        <v>279</v>
      </c>
      <c r="O18">
        <v>41.27</v>
      </c>
      <c r="P18" t="s">
        <v>278</v>
      </c>
    </row>
    <row r="20" spans="1:16" x14ac:dyDescent="0.25">
      <c r="A20" t="s">
        <v>142</v>
      </c>
      <c r="D20">
        <v>3</v>
      </c>
      <c r="E20" t="s">
        <v>2</v>
      </c>
    </row>
    <row r="21" spans="1:16" x14ac:dyDescent="0.25">
      <c r="A21" t="s">
        <v>143</v>
      </c>
      <c r="D21">
        <v>41.5</v>
      </c>
      <c r="E21" t="s">
        <v>2</v>
      </c>
    </row>
    <row r="22" spans="1:16" x14ac:dyDescent="0.25">
      <c r="A22" t="s">
        <v>283</v>
      </c>
      <c r="D22">
        <v>9</v>
      </c>
      <c r="E22" t="s">
        <v>49</v>
      </c>
    </row>
    <row r="23" spans="1:16" x14ac:dyDescent="0.25">
      <c r="A23" t="s">
        <v>287</v>
      </c>
      <c r="D23">
        <v>2.5</v>
      </c>
      <c r="E23" t="s">
        <v>49</v>
      </c>
    </row>
    <row r="24" spans="1:16" x14ac:dyDescent="0.25">
      <c r="A24" t="s">
        <v>144</v>
      </c>
      <c r="D24">
        <v>11.55</v>
      </c>
      <c r="E24" t="s">
        <v>49</v>
      </c>
    </row>
    <row r="25" spans="1:16" x14ac:dyDescent="0.25">
      <c r="A25" s="222" t="s">
        <v>50</v>
      </c>
      <c r="B25" s="222"/>
      <c r="K25" t="s">
        <v>280</v>
      </c>
      <c r="O25" t="s">
        <v>281</v>
      </c>
    </row>
    <row r="26" spans="1:16" x14ac:dyDescent="0.25">
      <c r="A26" s="222"/>
      <c r="B26" s="222"/>
      <c r="D26">
        <v>2.5</v>
      </c>
      <c r="E26" t="s">
        <v>49</v>
      </c>
    </row>
    <row r="27" spans="1:16" x14ac:dyDescent="0.25">
      <c r="A27" t="s">
        <v>145</v>
      </c>
      <c r="D27">
        <v>2</v>
      </c>
      <c r="E27" t="s">
        <v>2</v>
      </c>
    </row>
    <row r="28" spans="1:16" x14ac:dyDescent="0.25">
      <c r="A28" t="s">
        <v>286</v>
      </c>
      <c r="D28">
        <v>1.333</v>
      </c>
      <c r="E28" t="s">
        <v>2</v>
      </c>
    </row>
    <row r="29" spans="1:16" x14ac:dyDescent="0.25">
      <c r="K29" t="s">
        <v>282</v>
      </c>
      <c r="O29">
        <v>63.3</v>
      </c>
      <c r="P29" t="s">
        <v>278</v>
      </c>
    </row>
    <row r="30" spans="1:16" x14ac:dyDescent="0.25">
      <c r="A30" t="s">
        <v>51</v>
      </c>
      <c r="D30">
        <f>(D20*D21*(D24/12))+(3*(D22/12+D28)*D23/12)+(2*(D20*(D22/12+D27+(D28/(2*12))*D26)))</f>
        <v>138.46625</v>
      </c>
      <c r="E30" t="s">
        <v>13</v>
      </c>
    </row>
    <row r="31" spans="1:16" x14ac:dyDescent="0.25">
      <c r="D31">
        <f>D30/27</f>
        <v>5.12837962962963</v>
      </c>
      <c r="E31" t="s">
        <v>8</v>
      </c>
    </row>
    <row r="34" spans="1:5" x14ac:dyDescent="0.25">
      <c r="A34" s="6" t="s">
        <v>290</v>
      </c>
    </row>
    <row r="36" spans="1:5" x14ac:dyDescent="0.25">
      <c r="A36" t="s">
        <v>142</v>
      </c>
      <c r="D36">
        <v>3</v>
      </c>
      <c r="E36" t="s">
        <v>2</v>
      </c>
    </row>
    <row r="37" spans="1:5" x14ac:dyDescent="0.25">
      <c r="A37" t="s">
        <v>143</v>
      </c>
      <c r="D37">
        <v>41.5</v>
      </c>
      <c r="E37" t="s">
        <v>2</v>
      </c>
    </row>
    <row r="38" spans="1:5" x14ac:dyDescent="0.25">
      <c r="A38" t="s">
        <v>283</v>
      </c>
      <c r="D38">
        <v>9</v>
      </c>
      <c r="E38" t="s">
        <v>49</v>
      </c>
    </row>
    <row r="39" spans="1:5" ht="15.05" customHeight="1" x14ac:dyDescent="0.25">
      <c r="A39" t="s">
        <v>287</v>
      </c>
      <c r="D39">
        <v>2.5</v>
      </c>
      <c r="E39" t="s">
        <v>49</v>
      </c>
    </row>
    <row r="40" spans="1:5" x14ac:dyDescent="0.25">
      <c r="A40" t="s">
        <v>144</v>
      </c>
      <c r="D40">
        <v>11.55</v>
      </c>
      <c r="E40" t="s">
        <v>49</v>
      </c>
    </row>
    <row r="41" spans="1:5" x14ac:dyDescent="0.25">
      <c r="A41" s="222" t="s">
        <v>50</v>
      </c>
      <c r="B41" s="222"/>
    </row>
    <row r="42" spans="1:5" x14ac:dyDescent="0.25">
      <c r="A42" s="222"/>
      <c r="B42" s="222"/>
      <c r="D42">
        <v>2.5</v>
      </c>
      <c r="E42" t="s">
        <v>49</v>
      </c>
    </row>
    <row r="43" spans="1:5" x14ac:dyDescent="0.25">
      <c r="A43" t="s">
        <v>145</v>
      </c>
      <c r="D43">
        <v>2</v>
      </c>
      <c r="E43" t="s">
        <v>2</v>
      </c>
    </row>
    <row r="44" spans="1:5" x14ac:dyDescent="0.25">
      <c r="A44" t="s">
        <v>286</v>
      </c>
      <c r="D44">
        <v>1.333</v>
      </c>
      <c r="E44" t="s">
        <v>2</v>
      </c>
    </row>
    <row r="46" spans="1:5" x14ac:dyDescent="0.25">
      <c r="A46" t="s">
        <v>51</v>
      </c>
      <c r="D46">
        <f>(D36*D37*(D40/12))+(3*(D38/12+D44)*D39/12)+(2*(D36*(D38/12+D43+(D44/(2*12))*D42)))</f>
        <v>138.46625</v>
      </c>
      <c r="E46" t="s">
        <v>13</v>
      </c>
    </row>
    <row r="47" spans="1:5" x14ac:dyDescent="0.25">
      <c r="D47">
        <f>D46/27</f>
        <v>5.12837962962963</v>
      </c>
      <c r="E47" t="s">
        <v>8</v>
      </c>
    </row>
    <row r="49" spans="1:5" x14ac:dyDescent="0.25">
      <c r="A49" s="7" t="s">
        <v>28</v>
      </c>
      <c r="B49" s="7"/>
      <c r="C49" s="7"/>
      <c r="D49" s="7">
        <f>ROUNDUP(D16+D31+D47,0)</f>
        <v>295</v>
      </c>
      <c r="E49" s="7" t="s">
        <v>8</v>
      </c>
    </row>
    <row r="51" spans="1:5" x14ac:dyDescent="0.25">
      <c r="A51" s="56" t="s">
        <v>285</v>
      </c>
    </row>
    <row r="53" spans="1:5" x14ac:dyDescent="0.25">
      <c r="A53" s="6" t="s">
        <v>291</v>
      </c>
    </row>
    <row r="54" spans="1:5" x14ac:dyDescent="0.25">
      <c r="A54" t="s">
        <v>292</v>
      </c>
      <c r="D54">
        <v>4.37</v>
      </c>
      <c r="E54" t="s">
        <v>278</v>
      </c>
    </row>
    <row r="55" spans="1:5" x14ac:dyDescent="0.25">
      <c r="A55" t="s">
        <v>293</v>
      </c>
      <c r="D55">
        <v>8</v>
      </c>
      <c r="E55" t="s">
        <v>2</v>
      </c>
    </row>
    <row r="56" spans="1:5" x14ac:dyDescent="0.25">
      <c r="A56" t="s">
        <v>294</v>
      </c>
      <c r="D56">
        <v>4</v>
      </c>
      <c r="E56" t="s">
        <v>116</v>
      </c>
    </row>
    <row r="57" spans="1:5" x14ac:dyDescent="0.25">
      <c r="A57" t="s">
        <v>296</v>
      </c>
      <c r="D57">
        <v>2</v>
      </c>
      <c r="E57" t="s">
        <v>297</v>
      </c>
    </row>
    <row r="58" spans="1:5" x14ac:dyDescent="0.25">
      <c r="A58" t="s">
        <v>298</v>
      </c>
      <c r="D58">
        <v>4</v>
      </c>
      <c r="E58" t="s">
        <v>116</v>
      </c>
    </row>
    <row r="60" spans="1:5" x14ac:dyDescent="0.25">
      <c r="A60" t="s">
        <v>56</v>
      </c>
      <c r="D60">
        <f>(D54*D55*D56/27)+(D57*D58)</f>
        <v>13.179259259259259</v>
      </c>
      <c r="E60" t="s">
        <v>8</v>
      </c>
    </row>
    <row r="63" spans="1:5" x14ac:dyDescent="0.25">
      <c r="A63" s="6" t="s">
        <v>48</v>
      </c>
    </row>
    <row r="65" spans="1:5" x14ac:dyDescent="0.25">
      <c r="A65" t="s">
        <v>54</v>
      </c>
      <c r="D65">
        <v>1.25</v>
      </c>
      <c r="E65" t="s">
        <v>2</v>
      </c>
    </row>
    <row r="66" spans="1:5" x14ac:dyDescent="0.25">
      <c r="A66" t="s">
        <v>55</v>
      </c>
      <c r="D66">
        <v>41.5</v>
      </c>
      <c r="E66" t="s">
        <v>2</v>
      </c>
    </row>
    <row r="67" spans="1:5" x14ac:dyDescent="0.25">
      <c r="A67" t="s">
        <v>288</v>
      </c>
      <c r="D67">
        <v>1.7</v>
      </c>
      <c r="E67" t="s">
        <v>2</v>
      </c>
    </row>
    <row r="69" spans="1:5" x14ac:dyDescent="0.25">
      <c r="A69" t="s">
        <v>56</v>
      </c>
      <c r="D69">
        <f>D65*D66*D67</f>
        <v>88.1875</v>
      </c>
      <c r="E69" t="s">
        <v>13</v>
      </c>
    </row>
    <row r="70" spans="1:5" x14ac:dyDescent="0.25">
      <c r="D70">
        <f>D69/27</f>
        <v>3.2662037037037037</v>
      </c>
      <c r="E70" t="s">
        <v>8</v>
      </c>
    </row>
    <row r="72" spans="1:5" x14ac:dyDescent="0.25">
      <c r="A72" s="6" t="s">
        <v>53</v>
      </c>
    </row>
    <row r="74" spans="1:5" x14ac:dyDescent="0.25">
      <c r="A74" t="s">
        <v>54</v>
      </c>
      <c r="D74">
        <v>1.25</v>
      </c>
      <c r="E74" t="s">
        <v>2</v>
      </c>
    </row>
    <row r="75" spans="1:5" x14ac:dyDescent="0.25">
      <c r="A75" t="s">
        <v>55</v>
      </c>
      <c r="D75">
        <v>41.5</v>
      </c>
      <c r="E75" t="s">
        <v>2</v>
      </c>
    </row>
    <row r="76" spans="1:5" x14ac:dyDescent="0.25">
      <c r="A76" t="s">
        <v>288</v>
      </c>
      <c r="D76">
        <v>1.7</v>
      </c>
      <c r="E76" t="s">
        <v>2</v>
      </c>
    </row>
    <row r="78" spans="1:5" x14ac:dyDescent="0.25">
      <c r="A78" t="s">
        <v>56</v>
      </c>
      <c r="D78">
        <f>D74*D75*D76</f>
        <v>88.1875</v>
      </c>
      <c r="E78" t="s">
        <v>13</v>
      </c>
    </row>
    <row r="79" spans="1:5" x14ac:dyDescent="0.25">
      <c r="D79">
        <f>D78/27</f>
        <v>3.2662037037037037</v>
      </c>
      <c r="E79" t="s">
        <v>8</v>
      </c>
    </row>
    <row r="81" spans="1:5" x14ac:dyDescent="0.25">
      <c r="A81" s="7" t="s">
        <v>57</v>
      </c>
      <c r="B81" s="7"/>
      <c r="C81" s="7"/>
      <c r="D81" s="7">
        <f>ROUNDUP((D60+D70+D79),0)</f>
        <v>20</v>
      </c>
      <c r="E81" s="7" t="s">
        <v>8</v>
      </c>
    </row>
    <row r="85" spans="1:5" x14ac:dyDescent="0.25">
      <c r="B85" s="6"/>
      <c r="C85" s="6"/>
      <c r="D85" s="6"/>
      <c r="E85" s="6"/>
    </row>
    <row r="86" spans="1:5" x14ac:dyDescent="0.25">
      <c r="A86" s="56" t="s">
        <v>58</v>
      </c>
      <c r="B86" s="6"/>
      <c r="C86" s="6"/>
      <c r="D86" s="6"/>
      <c r="E86" s="6"/>
    </row>
    <row r="87" spans="1:5" x14ac:dyDescent="0.25">
      <c r="A87" s="2"/>
    </row>
    <row r="88" spans="1:5" x14ac:dyDescent="0.25">
      <c r="A88" s="3" t="s">
        <v>299</v>
      </c>
      <c r="B88" s="3"/>
    </row>
    <row r="89" spans="1:5" x14ac:dyDescent="0.25">
      <c r="A89" t="s">
        <v>60</v>
      </c>
      <c r="D89">
        <v>876</v>
      </c>
      <c r="E89" t="s">
        <v>2</v>
      </c>
    </row>
    <row r="90" spans="1:5" x14ac:dyDescent="0.25">
      <c r="A90" t="s">
        <v>248</v>
      </c>
      <c r="D90">
        <v>10.5</v>
      </c>
      <c r="E90" t="s">
        <v>2</v>
      </c>
    </row>
    <row r="91" spans="1:5" x14ac:dyDescent="0.25">
      <c r="A91" t="s">
        <v>61</v>
      </c>
      <c r="D91">
        <v>2</v>
      </c>
    </row>
    <row r="92" spans="1:5" x14ac:dyDescent="0.25">
      <c r="A92" t="s">
        <v>62</v>
      </c>
      <c r="D92">
        <f>D89*D90*D91</f>
        <v>18396</v>
      </c>
      <c r="E92" t="s">
        <v>40</v>
      </c>
    </row>
    <row r="93" spans="1:5" x14ac:dyDescent="0.25">
      <c r="D93">
        <f>D92/9</f>
        <v>2044</v>
      </c>
      <c r="E93" t="s">
        <v>24</v>
      </c>
    </row>
    <row r="95" spans="1:5" x14ac:dyDescent="0.25">
      <c r="A95" s="6" t="s">
        <v>63</v>
      </c>
    </row>
    <row r="96" spans="1:5" x14ac:dyDescent="0.25">
      <c r="A96" t="s">
        <v>64</v>
      </c>
      <c r="D96">
        <v>0</v>
      </c>
    </row>
    <row r="97" spans="1:5" x14ac:dyDescent="0.25">
      <c r="A97" t="s">
        <v>76</v>
      </c>
      <c r="D97">
        <v>3</v>
      </c>
      <c r="E97" t="s">
        <v>2</v>
      </c>
    </row>
    <row r="98" spans="1:5" x14ac:dyDescent="0.25">
      <c r="A98" t="s">
        <v>65</v>
      </c>
      <c r="D98">
        <f>D97*4</f>
        <v>12</v>
      </c>
      <c r="E98" t="s">
        <v>40</v>
      </c>
    </row>
    <row r="99" spans="1:5" x14ac:dyDescent="0.25">
      <c r="A99" t="s">
        <v>68</v>
      </c>
      <c r="D99">
        <v>2</v>
      </c>
    </row>
    <row r="101" spans="1:5" x14ac:dyDescent="0.25">
      <c r="A101" t="s">
        <v>66</v>
      </c>
      <c r="D101">
        <f>D97*3</f>
        <v>9</v>
      </c>
      <c r="E101" t="s">
        <v>40</v>
      </c>
    </row>
    <row r="102" spans="1:5" x14ac:dyDescent="0.25">
      <c r="A102" t="s">
        <v>69</v>
      </c>
      <c r="D102">
        <v>2</v>
      </c>
    </row>
    <row r="104" spans="1:5" x14ac:dyDescent="0.25">
      <c r="A104" t="s">
        <v>67</v>
      </c>
      <c r="D104">
        <f>D97*(4+5.5)/2</f>
        <v>14.25</v>
      </c>
      <c r="E104" t="s">
        <v>40</v>
      </c>
    </row>
    <row r="105" spans="1:5" x14ac:dyDescent="0.25">
      <c r="A105" t="s">
        <v>70</v>
      </c>
      <c r="D105">
        <v>4</v>
      </c>
    </row>
    <row r="107" spans="1:5" x14ac:dyDescent="0.25">
      <c r="A107" t="s">
        <v>71</v>
      </c>
    </row>
    <row r="108" spans="1:5" x14ac:dyDescent="0.25">
      <c r="A108" t="s">
        <v>73</v>
      </c>
      <c r="D108">
        <f>ATAN(7.5/15)*180/PI()</f>
        <v>26.56505117707799</v>
      </c>
      <c r="E108" t="s">
        <v>72</v>
      </c>
    </row>
    <row r="109" spans="1:5" x14ac:dyDescent="0.25">
      <c r="A109" t="s">
        <v>74</v>
      </c>
      <c r="D109">
        <f>3/COS(D108*PI()/180)</f>
        <v>3.3541019662496847</v>
      </c>
      <c r="E109" t="s">
        <v>2</v>
      </c>
    </row>
    <row r="110" spans="1:5" x14ac:dyDescent="0.25">
      <c r="A110" t="s">
        <v>75</v>
      </c>
      <c r="D110">
        <f>D97*D109</f>
        <v>10.062305898749054</v>
      </c>
      <c r="E110" t="s">
        <v>40</v>
      </c>
    </row>
    <row r="111" spans="1:5" x14ac:dyDescent="0.25">
      <c r="A111" t="s">
        <v>77</v>
      </c>
      <c r="D111">
        <v>2</v>
      </c>
    </row>
    <row r="113" spans="1:8" x14ac:dyDescent="0.25">
      <c r="A113" t="s">
        <v>78</v>
      </c>
      <c r="D113">
        <f>D96*(D98*D99+D101*D102+D104*D105+D110*D111)</f>
        <v>0</v>
      </c>
      <c r="E113" t="s">
        <v>40</v>
      </c>
    </row>
    <row r="114" spans="1:8" x14ac:dyDescent="0.25">
      <c r="D114">
        <f>D113/9</f>
        <v>0</v>
      </c>
      <c r="E114" t="s">
        <v>24</v>
      </c>
    </row>
    <row r="116" spans="1:8" x14ac:dyDescent="0.25">
      <c r="A116" s="3" t="s">
        <v>80</v>
      </c>
      <c r="B116" s="3"/>
      <c r="C116" s="3"/>
      <c r="D116" s="3"/>
      <c r="E116" s="3"/>
      <c r="F116" s="3"/>
      <c r="G116" s="3"/>
      <c r="H116" s="3"/>
    </row>
    <row r="118" spans="1:8" x14ac:dyDescent="0.25">
      <c r="A118" t="s">
        <v>81</v>
      </c>
      <c r="D118">
        <v>2</v>
      </c>
      <c r="E118" t="s">
        <v>2</v>
      </c>
    </row>
    <row r="119" spans="1:8" x14ac:dyDescent="0.25">
      <c r="A119" t="s">
        <v>82</v>
      </c>
      <c r="D119">
        <v>41.5</v>
      </c>
      <c r="E119" t="s">
        <v>2</v>
      </c>
    </row>
    <row r="120" spans="1:8" x14ac:dyDescent="0.25">
      <c r="A120" t="s">
        <v>276</v>
      </c>
      <c r="D120">
        <v>3</v>
      </c>
      <c r="E120" t="s">
        <v>2</v>
      </c>
    </row>
    <row r="121" spans="1:8" x14ac:dyDescent="0.25">
      <c r="A121" t="s">
        <v>88</v>
      </c>
      <c r="D121">
        <v>1.75</v>
      </c>
      <c r="E121" t="s">
        <v>2</v>
      </c>
    </row>
    <row r="122" spans="1:8" x14ac:dyDescent="0.25">
      <c r="A122" t="s">
        <v>275</v>
      </c>
      <c r="D122">
        <v>7.66</v>
      </c>
      <c r="E122" t="s">
        <v>2</v>
      </c>
    </row>
    <row r="124" spans="1:8" x14ac:dyDescent="0.25">
      <c r="A124" t="s">
        <v>84</v>
      </c>
      <c r="D124">
        <f>D119*D120</f>
        <v>124.5</v>
      </c>
      <c r="E124" t="s">
        <v>40</v>
      </c>
    </row>
    <row r="125" spans="1:8" x14ac:dyDescent="0.25">
      <c r="A125" t="s">
        <v>85</v>
      </c>
      <c r="D125">
        <f>D119*D118</f>
        <v>83</v>
      </c>
      <c r="E125" t="s">
        <v>40</v>
      </c>
    </row>
    <row r="126" spans="1:8" x14ac:dyDescent="0.25">
      <c r="A126" t="s">
        <v>86</v>
      </c>
      <c r="D126">
        <f>2*(D118*D120)</f>
        <v>12</v>
      </c>
      <c r="E126" t="s">
        <v>40</v>
      </c>
    </row>
    <row r="128" spans="1:8" ht="15.05" customHeight="1" x14ac:dyDescent="0.25">
      <c r="A128" s="29" t="s">
        <v>300</v>
      </c>
      <c r="B128" s="5"/>
      <c r="D128">
        <f>D122*D119</f>
        <v>317.89</v>
      </c>
      <c r="E128" t="s">
        <v>40</v>
      </c>
    </row>
    <row r="129" spans="1:8" x14ac:dyDescent="0.25">
      <c r="A129" s="5"/>
      <c r="B129" s="5"/>
      <c r="H129" s="54"/>
    </row>
    <row r="130" spans="1:8" x14ac:dyDescent="0.25">
      <c r="A130" s="4"/>
      <c r="B130" s="4"/>
    </row>
    <row r="131" spans="1:8" ht="15.05" customHeight="1" x14ac:dyDescent="0.25">
      <c r="A131" s="29" t="s">
        <v>301</v>
      </c>
      <c r="B131" s="55"/>
      <c r="D131">
        <f>122</f>
        <v>122</v>
      </c>
      <c r="E131" t="s">
        <v>87</v>
      </c>
    </row>
    <row r="132" spans="1:8" x14ac:dyDescent="0.25">
      <c r="A132" s="29" t="s">
        <v>302</v>
      </c>
      <c r="B132" s="55"/>
      <c r="D132">
        <v>2</v>
      </c>
      <c r="E132" t="s">
        <v>116</v>
      </c>
    </row>
    <row r="133" spans="1:8" x14ac:dyDescent="0.25">
      <c r="A133" s="55"/>
      <c r="B133" s="55"/>
    </row>
    <row r="135" spans="1:8" x14ac:dyDescent="0.25">
      <c r="A135" t="s">
        <v>78</v>
      </c>
      <c r="D135">
        <f>D124+D125+D126+D128+(D131*D132)</f>
        <v>781.39</v>
      </c>
      <c r="E135" t="s">
        <v>40</v>
      </c>
    </row>
    <row r="136" spans="1:8" x14ac:dyDescent="0.25">
      <c r="D136">
        <f>D135/9</f>
        <v>86.821111111111108</v>
      </c>
      <c r="E136" t="s">
        <v>24</v>
      </c>
    </row>
    <row r="139" spans="1:8" x14ac:dyDescent="0.25">
      <c r="A139" s="3" t="s">
        <v>89</v>
      </c>
      <c r="B139" s="3"/>
      <c r="C139" s="3"/>
      <c r="D139" s="3"/>
      <c r="E139" s="3"/>
      <c r="F139" s="3"/>
      <c r="G139" s="3"/>
      <c r="H139" s="3"/>
    </row>
    <row r="141" spans="1:8" x14ac:dyDescent="0.25">
      <c r="A141" t="s">
        <v>81</v>
      </c>
      <c r="D141">
        <v>2</v>
      </c>
      <c r="E141" t="s">
        <v>2</v>
      </c>
    </row>
    <row r="142" spans="1:8" x14ac:dyDescent="0.25">
      <c r="A142" t="s">
        <v>82</v>
      </c>
      <c r="D142">
        <v>41.5</v>
      </c>
      <c r="E142" t="s">
        <v>2</v>
      </c>
    </row>
    <row r="143" spans="1:8" x14ac:dyDescent="0.25">
      <c r="A143" t="s">
        <v>276</v>
      </c>
      <c r="D143">
        <v>3</v>
      </c>
      <c r="E143" t="s">
        <v>2</v>
      </c>
    </row>
    <row r="144" spans="1:8" x14ac:dyDescent="0.25">
      <c r="A144" t="s">
        <v>88</v>
      </c>
      <c r="D144">
        <v>1.75</v>
      </c>
      <c r="E144" t="s">
        <v>2</v>
      </c>
    </row>
    <row r="145" spans="1:5" x14ac:dyDescent="0.25">
      <c r="A145" t="s">
        <v>275</v>
      </c>
      <c r="D145">
        <v>7.66</v>
      </c>
      <c r="E145" t="s">
        <v>2</v>
      </c>
    </row>
    <row r="147" spans="1:5" x14ac:dyDescent="0.25">
      <c r="A147" t="s">
        <v>84</v>
      </c>
      <c r="D147">
        <f>D142*D143</f>
        <v>124.5</v>
      </c>
      <c r="E147" t="s">
        <v>40</v>
      </c>
    </row>
    <row r="148" spans="1:5" x14ac:dyDescent="0.25">
      <c r="A148" t="s">
        <v>85</v>
      </c>
      <c r="D148">
        <f>D142*D141</f>
        <v>83</v>
      </c>
      <c r="E148" t="s">
        <v>40</v>
      </c>
    </row>
    <row r="149" spans="1:5" x14ac:dyDescent="0.25">
      <c r="A149" t="s">
        <v>86</v>
      </c>
      <c r="D149">
        <f>2*(D141*D143)</f>
        <v>12</v>
      </c>
      <c r="E149" t="s">
        <v>40</v>
      </c>
    </row>
    <row r="150" spans="1:5" ht="15.05" customHeight="1" x14ac:dyDescent="0.25"/>
    <row r="151" spans="1:5" x14ac:dyDescent="0.25">
      <c r="A151" s="29" t="s">
        <v>300</v>
      </c>
      <c r="B151" s="5"/>
      <c r="D151">
        <f>D145*D142</f>
        <v>317.89</v>
      </c>
      <c r="E151" t="s">
        <v>40</v>
      </c>
    </row>
    <row r="152" spans="1:5" x14ac:dyDescent="0.25">
      <c r="A152" s="5"/>
      <c r="B152" s="5"/>
    </row>
    <row r="153" spans="1:5" ht="15.05" customHeight="1" x14ac:dyDescent="0.25">
      <c r="A153" s="4"/>
      <c r="B153" s="4"/>
    </row>
    <row r="154" spans="1:5" x14ac:dyDescent="0.25">
      <c r="A154" s="29" t="s">
        <v>301</v>
      </c>
      <c r="B154" s="55"/>
      <c r="D154">
        <f>122</f>
        <v>122</v>
      </c>
      <c r="E154" t="s">
        <v>87</v>
      </c>
    </row>
    <row r="155" spans="1:5" x14ac:dyDescent="0.25">
      <c r="A155" s="29" t="s">
        <v>302</v>
      </c>
      <c r="B155" s="55"/>
      <c r="D155">
        <v>2</v>
      </c>
      <c r="E155" t="s">
        <v>116</v>
      </c>
    </row>
    <row r="156" spans="1:5" x14ac:dyDescent="0.25">
      <c r="A156" s="55"/>
      <c r="B156" s="55"/>
    </row>
    <row r="158" spans="1:5" x14ac:dyDescent="0.25">
      <c r="A158" t="s">
        <v>78</v>
      </c>
      <c r="D158">
        <f>D147+D148+D149+D151+(D154*D155)</f>
        <v>781.39</v>
      </c>
      <c r="E158" t="s">
        <v>40</v>
      </c>
    </row>
    <row r="159" spans="1:5" x14ac:dyDescent="0.25">
      <c r="D159">
        <f>D158/9</f>
        <v>86.821111111111108</v>
      </c>
      <c r="E159" t="s">
        <v>24</v>
      </c>
    </row>
    <row r="161" spans="1:8" x14ac:dyDescent="0.25">
      <c r="A161" s="7" t="s">
        <v>90</v>
      </c>
      <c r="B161" s="7"/>
      <c r="C161" s="7"/>
      <c r="D161" s="7">
        <f>ROUNDUP(D93+D114+D136+D159,0)</f>
        <v>2218</v>
      </c>
      <c r="E161" s="7" t="s">
        <v>24</v>
      </c>
    </row>
    <row r="164" spans="1:8" x14ac:dyDescent="0.25">
      <c r="A164" s="56" t="s">
        <v>79</v>
      </c>
    </row>
    <row r="166" spans="1:8" x14ac:dyDescent="0.25">
      <c r="A166" s="3" t="s">
        <v>299</v>
      </c>
      <c r="B166" s="3"/>
    </row>
    <row r="167" spans="1:8" x14ac:dyDescent="0.25">
      <c r="A167" t="s">
        <v>60</v>
      </c>
      <c r="D167">
        <v>876</v>
      </c>
      <c r="E167" t="s">
        <v>2</v>
      </c>
    </row>
    <row r="168" spans="1:8" x14ac:dyDescent="0.25">
      <c r="A168" t="s">
        <v>248</v>
      </c>
      <c r="D168">
        <v>3</v>
      </c>
      <c r="E168" t="s">
        <v>2</v>
      </c>
    </row>
    <row r="169" spans="1:8" x14ac:dyDescent="0.25">
      <c r="A169" t="s">
        <v>61</v>
      </c>
      <c r="D169">
        <v>2</v>
      </c>
    </row>
    <row r="170" spans="1:8" x14ac:dyDescent="0.25">
      <c r="A170" t="s">
        <v>62</v>
      </c>
      <c r="D170">
        <f>D167*D168*D169</f>
        <v>5256</v>
      </c>
      <c r="E170" t="s">
        <v>40</v>
      </c>
    </row>
    <row r="171" spans="1:8" x14ac:dyDescent="0.25">
      <c r="D171">
        <f>D170/9</f>
        <v>584</v>
      </c>
      <c r="E171" t="s">
        <v>24</v>
      </c>
    </row>
    <row r="174" spans="1:8" x14ac:dyDescent="0.25">
      <c r="A174" s="3" t="s">
        <v>80</v>
      </c>
      <c r="B174" s="3"/>
      <c r="C174" s="3"/>
      <c r="D174" s="3"/>
      <c r="E174" s="3"/>
      <c r="F174" s="3"/>
      <c r="G174" s="3"/>
      <c r="H174" s="3"/>
    </row>
    <row r="176" spans="1:8" x14ac:dyDescent="0.25">
      <c r="A176" t="s">
        <v>81</v>
      </c>
      <c r="D176">
        <v>2</v>
      </c>
      <c r="E176" t="s">
        <v>2</v>
      </c>
    </row>
    <row r="177" spans="1:8" x14ac:dyDescent="0.25">
      <c r="A177" t="s">
        <v>82</v>
      </c>
      <c r="D177">
        <v>41.5</v>
      </c>
      <c r="E177" t="s">
        <v>2</v>
      </c>
    </row>
    <row r="178" spans="1:8" x14ac:dyDescent="0.25">
      <c r="A178" t="s">
        <v>276</v>
      </c>
      <c r="D178">
        <v>3</v>
      </c>
      <c r="E178" t="s">
        <v>2</v>
      </c>
    </row>
    <row r="179" spans="1:8" x14ac:dyDescent="0.25">
      <c r="A179" t="s">
        <v>88</v>
      </c>
      <c r="D179">
        <v>1.75</v>
      </c>
      <c r="E179" t="s">
        <v>2</v>
      </c>
    </row>
    <row r="180" spans="1:8" x14ac:dyDescent="0.25">
      <c r="A180" t="s">
        <v>275</v>
      </c>
      <c r="D180">
        <v>7.66</v>
      </c>
      <c r="E180" t="s">
        <v>2</v>
      </c>
    </row>
    <row r="182" spans="1:8" x14ac:dyDescent="0.25">
      <c r="A182" t="s">
        <v>84</v>
      </c>
      <c r="D182">
        <f>D177*D178</f>
        <v>124.5</v>
      </c>
      <c r="E182" t="s">
        <v>40</v>
      </c>
    </row>
    <row r="183" spans="1:8" x14ac:dyDescent="0.25">
      <c r="A183" t="s">
        <v>85</v>
      </c>
      <c r="D183">
        <f>D177*D176</f>
        <v>83</v>
      </c>
      <c r="E183" t="s">
        <v>40</v>
      </c>
    </row>
    <row r="184" spans="1:8" x14ac:dyDescent="0.25">
      <c r="A184" t="s">
        <v>86</v>
      </c>
      <c r="D184">
        <f>2*(D176*D178)</f>
        <v>12</v>
      </c>
      <c r="E184" t="s">
        <v>40</v>
      </c>
    </row>
    <row r="186" spans="1:8" x14ac:dyDescent="0.25">
      <c r="A186" s="29" t="s">
        <v>300</v>
      </c>
      <c r="B186" s="5"/>
      <c r="D186">
        <f>D180*D177</f>
        <v>317.89</v>
      </c>
      <c r="E186" t="s">
        <v>40</v>
      </c>
    </row>
    <row r="187" spans="1:8" x14ac:dyDescent="0.25">
      <c r="A187" s="5"/>
      <c r="B187" s="5"/>
      <c r="H187" s="54"/>
    </row>
    <row r="188" spans="1:8" x14ac:dyDescent="0.25">
      <c r="A188" s="4"/>
      <c r="B188" s="4"/>
    </row>
    <row r="189" spans="1:8" x14ac:dyDescent="0.25">
      <c r="A189" s="29" t="s">
        <v>301</v>
      </c>
      <c r="B189" s="55"/>
      <c r="D189">
        <f>122</f>
        <v>122</v>
      </c>
      <c r="E189" t="s">
        <v>87</v>
      </c>
    </row>
    <row r="190" spans="1:8" x14ac:dyDescent="0.25">
      <c r="A190" s="29" t="s">
        <v>302</v>
      </c>
      <c r="B190" s="55"/>
      <c r="D190">
        <v>2</v>
      </c>
      <c r="E190" t="s">
        <v>116</v>
      </c>
    </row>
    <row r="191" spans="1:8" x14ac:dyDescent="0.25">
      <c r="A191" s="55"/>
      <c r="B191" s="55"/>
    </row>
    <row r="193" spans="1:8" x14ac:dyDescent="0.25">
      <c r="A193" t="s">
        <v>78</v>
      </c>
      <c r="D193">
        <f>D182+D183+D184+D186+(D189*D190)</f>
        <v>781.39</v>
      </c>
      <c r="E193" t="s">
        <v>40</v>
      </c>
    </row>
    <row r="194" spans="1:8" x14ac:dyDescent="0.25">
      <c r="D194">
        <f>D193/9</f>
        <v>86.821111111111108</v>
      </c>
      <c r="E194" t="s">
        <v>24</v>
      </c>
    </row>
    <row r="197" spans="1:8" x14ac:dyDescent="0.25">
      <c r="A197" s="3" t="s">
        <v>89</v>
      </c>
      <c r="B197" s="3"/>
      <c r="C197" s="3"/>
      <c r="D197" s="3"/>
      <c r="E197" s="3"/>
      <c r="F197" s="3"/>
      <c r="G197" s="3"/>
      <c r="H197" s="3"/>
    </row>
    <row r="199" spans="1:8" x14ac:dyDescent="0.25">
      <c r="A199" t="s">
        <v>81</v>
      </c>
      <c r="D199">
        <v>2</v>
      </c>
      <c r="E199" t="s">
        <v>2</v>
      </c>
    </row>
    <row r="200" spans="1:8" x14ac:dyDescent="0.25">
      <c r="A200" t="s">
        <v>82</v>
      </c>
      <c r="D200">
        <v>41.5</v>
      </c>
      <c r="E200" t="s">
        <v>2</v>
      </c>
    </row>
    <row r="201" spans="1:8" x14ac:dyDescent="0.25">
      <c r="A201" t="s">
        <v>276</v>
      </c>
      <c r="D201">
        <v>3</v>
      </c>
      <c r="E201" t="s">
        <v>2</v>
      </c>
    </row>
    <row r="202" spans="1:8" x14ac:dyDescent="0.25">
      <c r="A202" t="s">
        <v>88</v>
      </c>
      <c r="D202">
        <v>1.75</v>
      </c>
      <c r="E202" t="s">
        <v>2</v>
      </c>
    </row>
    <row r="203" spans="1:8" x14ac:dyDescent="0.25">
      <c r="A203" t="s">
        <v>275</v>
      </c>
      <c r="D203">
        <v>7.66</v>
      </c>
      <c r="E203" t="s">
        <v>2</v>
      </c>
    </row>
    <row r="205" spans="1:8" x14ac:dyDescent="0.25">
      <c r="A205" t="s">
        <v>84</v>
      </c>
      <c r="D205">
        <f>D200*D201</f>
        <v>124.5</v>
      </c>
      <c r="E205" t="s">
        <v>40</v>
      </c>
    </row>
    <row r="206" spans="1:8" x14ac:dyDescent="0.25">
      <c r="A206" t="s">
        <v>85</v>
      </c>
      <c r="D206">
        <f>D200*D199</f>
        <v>83</v>
      </c>
      <c r="E206" t="s">
        <v>40</v>
      </c>
    </row>
    <row r="207" spans="1:8" x14ac:dyDescent="0.25">
      <c r="A207" t="s">
        <v>86</v>
      </c>
      <c r="D207">
        <f>2*(D199*D201)</f>
        <v>12</v>
      </c>
      <c r="E207" t="s">
        <v>40</v>
      </c>
    </row>
    <row r="209" spans="1:5" x14ac:dyDescent="0.25">
      <c r="A209" s="29" t="s">
        <v>300</v>
      </c>
      <c r="B209" s="5"/>
      <c r="D209">
        <f>D203*D200</f>
        <v>317.89</v>
      </c>
      <c r="E209" t="s">
        <v>40</v>
      </c>
    </row>
    <row r="210" spans="1:5" x14ac:dyDescent="0.25">
      <c r="A210" s="5"/>
      <c r="B210" s="5"/>
    </row>
    <row r="211" spans="1:5" x14ac:dyDescent="0.25">
      <c r="A211" s="4"/>
      <c r="B211" s="4"/>
    </row>
    <row r="212" spans="1:5" x14ac:dyDescent="0.25">
      <c r="A212" s="29" t="s">
        <v>301</v>
      </c>
      <c r="B212" s="55"/>
      <c r="D212">
        <f>122</f>
        <v>122</v>
      </c>
      <c r="E212" t="s">
        <v>87</v>
      </c>
    </row>
    <row r="213" spans="1:5" x14ac:dyDescent="0.25">
      <c r="A213" s="29" t="s">
        <v>302</v>
      </c>
      <c r="B213" s="55"/>
      <c r="D213">
        <v>2</v>
      </c>
      <c r="E213" t="s">
        <v>116</v>
      </c>
    </row>
    <row r="214" spans="1:5" x14ac:dyDescent="0.25">
      <c r="A214" s="55"/>
      <c r="B214" s="55"/>
    </row>
    <row r="216" spans="1:5" x14ac:dyDescent="0.25">
      <c r="A216" t="s">
        <v>78</v>
      </c>
      <c r="D216">
        <f>D205+D206+D207+D209+(D212*D213)</f>
        <v>781.39</v>
      </c>
      <c r="E216" t="s">
        <v>40</v>
      </c>
    </row>
    <row r="217" spans="1:5" x14ac:dyDescent="0.25">
      <c r="D217">
        <f>D216/9</f>
        <v>86.821111111111108</v>
      </c>
      <c r="E217" t="s">
        <v>24</v>
      </c>
    </row>
    <row r="220" spans="1:5" x14ac:dyDescent="0.25">
      <c r="A220" s="7" t="s">
        <v>90</v>
      </c>
      <c r="B220" s="7"/>
      <c r="C220" s="7"/>
      <c r="D220" s="7">
        <f>ROUNDUP(D171+D194+D217,0)</f>
        <v>758</v>
      </c>
      <c r="E220" s="7" t="s">
        <v>24</v>
      </c>
    </row>
    <row r="224" spans="1:5" x14ac:dyDescent="0.25">
      <c r="A224" s="2" t="s">
        <v>274</v>
      </c>
    </row>
    <row r="226" spans="1:7" x14ac:dyDescent="0.25">
      <c r="A226" t="s">
        <v>11</v>
      </c>
      <c r="D226">
        <v>25</v>
      </c>
      <c r="E226" t="s">
        <v>2</v>
      </c>
    </row>
    <row r="227" spans="1:7" x14ac:dyDescent="0.25">
      <c r="A227" t="s">
        <v>10</v>
      </c>
      <c r="D227">
        <v>24</v>
      </c>
      <c r="E227" t="s">
        <v>2</v>
      </c>
      <c r="F227" t="s">
        <v>21</v>
      </c>
    </row>
    <row r="228" spans="1:7" x14ac:dyDescent="0.25">
      <c r="A228" t="s">
        <v>12</v>
      </c>
      <c r="D228">
        <v>0</v>
      </c>
    </row>
    <row r="229" spans="1:7" x14ac:dyDescent="0.25">
      <c r="A229" t="s">
        <v>22</v>
      </c>
      <c r="D229">
        <f>D226*D227*D228</f>
        <v>0</v>
      </c>
      <c r="E229" t="s">
        <v>23</v>
      </c>
      <c r="F229">
        <f>D229/9</f>
        <v>0</v>
      </c>
      <c r="G229" t="s">
        <v>24</v>
      </c>
    </row>
    <row r="231" spans="1:7" x14ac:dyDescent="0.25">
      <c r="A231" t="s">
        <v>25</v>
      </c>
      <c r="D231">
        <v>876</v>
      </c>
      <c r="E231" t="s">
        <v>2</v>
      </c>
      <c r="F231" t="s">
        <v>27</v>
      </c>
    </row>
    <row r="232" spans="1:7" x14ac:dyDescent="0.25">
      <c r="A232" t="s">
        <v>26</v>
      </c>
      <c r="D232">
        <v>38.5</v>
      </c>
      <c r="E232" t="s">
        <v>2</v>
      </c>
      <c r="F232" t="s">
        <v>21</v>
      </c>
    </row>
    <row r="233" spans="1:7" x14ac:dyDescent="0.25">
      <c r="A233" t="s">
        <v>36</v>
      </c>
      <c r="D233">
        <f>D231*D232</f>
        <v>33726</v>
      </c>
      <c r="E233" t="s">
        <v>23</v>
      </c>
      <c r="F233">
        <f>D233/9</f>
        <v>3747.3333333333335</v>
      </c>
      <c r="G233" t="s">
        <v>24</v>
      </c>
    </row>
    <row r="235" spans="1:7" x14ac:dyDescent="0.25">
      <c r="A235" s="7" t="s">
        <v>28</v>
      </c>
      <c r="B235" s="7">
        <f>ROUNDUP(F229+F233,0)</f>
        <v>3748</v>
      </c>
      <c r="C235" s="7" t="s">
        <v>24</v>
      </c>
    </row>
    <row r="241" spans="1:65" x14ac:dyDescent="0.25">
      <c r="A241" s="57"/>
    </row>
    <row r="242" spans="1:65" x14ac:dyDescent="0.25">
      <c r="A242" s="230" t="s">
        <v>309</v>
      </c>
      <c r="B242" s="230"/>
      <c r="C242" s="230"/>
      <c r="D242" s="230"/>
      <c r="E242" s="230"/>
      <c r="F242" s="230"/>
      <c r="G242" s="230"/>
      <c r="H242" s="230"/>
      <c r="I242" s="230"/>
      <c r="J242" s="230"/>
    </row>
    <row r="243" spans="1:65" x14ac:dyDescent="0.25">
      <c r="A243" s="230"/>
      <c r="B243" s="230"/>
      <c r="C243" s="230"/>
      <c r="D243" s="230"/>
      <c r="E243" s="230"/>
      <c r="F243" s="230"/>
      <c r="G243" s="230"/>
      <c r="H243" s="230"/>
      <c r="I243" s="230"/>
      <c r="J243" s="230"/>
    </row>
    <row r="244" spans="1:65" x14ac:dyDescent="0.25">
      <c r="A244" s="230"/>
      <c r="B244" s="230"/>
      <c r="C244" s="230"/>
      <c r="D244" s="230"/>
      <c r="E244" s="230"/>
      <c r="F244" s="230"/>
      <c r="G244" s="230"/>
      <c r="H244" s="230"/>
      <c r="I244" s="230"/>
      <c r="J244" s="230"/>
    </row>
    <row r="245" spans="1:65" ht="15.6" x14ac:dyDescent="0.25">
      <c r="AM245" s="8"/>
    </row>
    <row r="246" spans="1:65" ht="35.65" x14ac:dyDescent="0.25">
      <c r="H246" s="9" t="s">
        <v>91</v>
      </c>
      <c r="I246" s="10">
        <v>197.125</v>
      </c>
      <c r="J246" s="10" t="s">
        <v>92</v>
      </c>
      <c r="K246" s="9" t="s">
        <v>336</v>
      </c>
      <c r="L246" s="9" t="s">
        <v>91</v>
      </c>
      <c r="M246" s="10">
        <v>197.125</v>
      </c>
      <c r="N246" s="10" t="s">
        <v>92</v>
      </c>
      <c r="O246" s="9" t="s">
        <v>93</v>
      </c>
      <c r="P246" s="9" t="s">
        <v>91</v>
      </c>
      <c r="Q246" s="10">
        <f>(2*((56+90)/2+2))+(3*20)-(2*0.375)</f>
        <v>209.25</v>
      </c>
      <c r="R246" s="10" t="s">
        <v>92</v>
      </c>
      <c r="S246" s="9" t="s">
        <v>93</v>
      </c>
      <c r="T246" s="9" t="s">
        <v>91</v>
      </c>
      <c r="U246" s="10">
        <f>(2*((56+90)/2+2))+(3*20)-(2*0.375)</f>
        <v>209.25</v>
      </c>
      <c r="V246" s="10" t="s">
        <v>92</v>
      </c>
      <c r="W246" s="9" t="s">
        <v>93</v>
      </c>
    </row>
    <row r="247" spans="1:65" ht="59.4" x14ac:dyDescent="0.25">
      <c r="B247">
        <v>514</v>
      </c>
      <c r="C247" s="11" t="s">
        <v>94</v>
      </c>
      <c r="D247" s="4" t="s">
        <v>95</v>
      </c>
      <c r="E247" t="s">
        <v>40</v>
      </c>
      <c r="F247" s="12">
        <v>103435</v>
      </c>
      <c r="H247" s="58" t="s">
        <v>311</v>
      </c>
      <c r="I247" s="10">
        <f>I246/12</f>
        <v>16.427083333333332</v>
      </c>
      <c r="J247" s="10" t="s">
        <v>52</v>
      </c>
      <c r="K247" s="13"/>
      <c r="L247" s="58" t="s">
        <v>311</v>
      </c>
      <c r="M247" s="10">
        <f>M246/12</f>
        <v>16.427083333333332</v>
      </c>
      <c r="N247" s="10" t="s">
        <v>52</v>
      </c>
      <c r="O247" s="13"/>
      <c r="P247" s="58" t="s">
        <v>312</v>
      </c>
      <c r="Q247" s="10">
        <f>Q246/12</f>
        <v>17.4375</v>
      </c>
      <c r="R247" s="10" t="s">
        <v>52</v>
      </c>
      <c r="S247" s="13"/>
      <c r="T247" s="58" t="s">
        <v>312</v>
      </c>
      <c r="U247" s="10">
        <f>U246/12</f>
        <v>17.4375</v>
      </c>
      <c r="V247" s="10" t="s">
        <v>52</v>
      </c>
      <c r="W247" s="13"/>
    </row>
    <row r="248" spans="1:65" ht="44.55" x14ac:dyDescent="0.25">
      <c r="B248">
        <v>514</v>
      </c>
      <c r="C248" s="11" t="s">
        <v>96</v>
      </c>
      <c r="D248" s="4" t="s">
        <v>97</v>
      </c>
      <c r="E248" t="s">
        <v>40</v>
      </c>
      <c r="F248" s="12">
        <v>103435</v>
      </c>
      <c r="Y248" s="14"/>
      <c r="Z248" s="15" t="s">
        <v>184</v>
      </c>
      <c r="AA248" s="16"/>
      <c r="AB248" s="16"/>
      <c r="AC248" s="16"/>
      <c r="AD248" s="16"/>
      <c r="AE248" s="16"/>
      <c r="AF248" s="17"/>
      <c r="AH248" s="18" t="s">
        <v>185</v>
      </c>
      <c r="AI248" s="16"/>
      <c r="AJ248" s="16"/>
      <c r="AK248" s="16"/>
      <c r="AL248" s="16"/>
      <c r="AM248" s="16"/>
      <c r="AN248" s="16"/>
      <c r="AO248" s="16"/>
      <c r="AP248" s="16"/>
      <c r="AQ248" s="17"/>
      <c r="AS248" s="18" t="s">
        <v>205</v>
      </c>
      <c r="AT248" s="16"/>
      <c r="AU248" s="16"/>
      <c r="AV248" s="16"/>
      <c r="AW248" s="16"/>
      <c r="AX248" s="16"/>
      <c r="AY248" s="16"/>
      <c r="AZ248" s="16"/>
      <c r="BA248" s="16"/>
      <c r="BB248" s="17"/>
      <c r="BD248" s="87" t="s">
        <v>205</v>
      </c>
      <c r="BE248" s="60"/>
      <c r="BF248" s="60"/>
      <c r="BG248" s="60"/>
      <c r="BH248" s="60"/>
      <c r="BI248" s="60"/>
      <c r="BJ248" s="60"/>
      <c r="BK248" s="60"/>
      <c r="BL248" s="60"/>
      <c r="BM248" s="61"/>
    </row>
    <row r="249" spans="1:65" ht="59.4" x14ac:dyDescent="0.25">
      <c r="B249">
        <v>514</v>
      </c>
      <c r="C249" s="11" t="s">
        <v>98</v>
      </c>
      <c r="D249" s="4" t="s">
        <v>99</v>
      </c>
      <c r="E249" t="s">
        <v>40</v>
      </c>
      <c r="F249" s="12">
        <v>103435</v>
      </c>
      <c r="H249" s="10" t="s">
        <v>100</v>
      </c>
      <c r="I249" s="10">
        <v>35.5</v>
      </c>
      <c r="J249" s="10" t="s">
        <v>52</v>
      </c>
      <c r="K249" s="10"/>
      <c r="L249" s="10" t="s">
        <v>100</v>
      </c>
      <c r="M249" s="10">
        <v>35.5</v>
      </c>
      <c r="N249" s="10" t="s">
        <v>52</v>
      </c>
      <c r="O249" s="10"/>
      <c r="P249" s="10" t="s">
        <v>52</v>
      </c>
      <c r="Q249" s="10" t="s">
        <v>100</v>
      </c>
      <c r="R249" s="10">
        <v>83</v>
      </c>
      <c r="S249" s="10" t="s">
        <v>52</v>
      </c>
      <c r="T249" s="10" t="s">
        <v>52</v>
      </c>
      <c r="U249" s="10" t="s">
        <v>100</v>
      </c>
      <c r="V249" s="10">
        <v>81.5</v>
      </c>
      <c r="W249" s="10" t="s">
        <v>52</v>
      </c>
      <c r="Y249" s="19"/>
      <c r="AA249" t="s">
        <v>101</v>
      </c>
      <c r="AH249" s="19"/>
      <c r="AM249" t="s">
        <v>102</v>
      </c>
      <c r="AO249" s="20">
        <v>8.1999999999999993</v>
      </c>
      <c r="AP249" s="28" t="s">
        <v>103</v>
      </c>
      <c r="AQ249" s="21"/>
      <c r="AS249" s="19"/>
      <c r="AX249" t="s">
        <v>102</v>
      </c>
      <c r="AZ249" s="20">
        <v>8.1999999999999993</v>
      </c>
      <c r="BA249" s="28" t="s">
        <v>103</v>
      </c>
      <c r="BB249" s="21"/>
      <c r="BD249" s="62"/>
      <c r="BE249" s="63"/>
      <c r="BF249" s="63"/>
      <c r="BG249" s="63"/>
      <c r="BH249" s="63"/>
      <c r="BI249" s="63" t="s">
        <v>102</v>
      </c>
      <c r="BJ249" s="63"/>
      <c r="BK249" s="64">
        <v>8.1999999999999993</v>
      </c>
      <c r="BL249" s="65" t="s">
        <v>103</v>
      </c>
      <c r="BM249" s="66"/>
    </row>
    <row r="250" spans="1:65" ht="44.55" x14ac:dyDescent="0.25">
      <c r="B250">
        <v>514</v>
      </c>
      <c r="C250" s="11" t="s">
        <v>104</v>
      </c>
      <c r="D250" s="4" t="s">
        <v>105</v>
      </c>
      <c r="E250" t="s">
        <v>40</v>
      </c>
      <c r="F250" s="12">
        <v>103435</v>
      </c>
      <c r="H250" s="22" t="s">
        <v>106</v>
      </c>
      <c r="I250" s="23" t="s">
        <v>107</v>
      </c>
      <c r="J250" s="24"/>
      <c r="K250" s="22"/>
      <c r="L250" s="22" t="s">
        <v>106</v>
      </c>
      <c r="M250" s="23" t="s">
        <v>107</v>
      </c>
      <c r="N250" s="24"/>
      <c r="O250" s="22"/>
      <c r="P250" s="24"/>
      <c r="Q250" s="22" t="s">
        <v>106</v>
      </c>
      <c r="R250" s="23" t="s">
        <v>310</v>
      </c>
      <c r="S250" s="24"/>
      <c r="T250" s="24"/>
      <c r="U250" s="22" t="s">
        <v>106</v>
      </c>
      <c r="V250" s="23" t="s">
        <v>310</v>
      </c>
      <c r="W250" s="24"/>
      <c r="Y250" s="19"/>
      <c r="AD250" s="25"/>
      <c r="AF250" s="21"/>
      <c r="AH250" s="19"/>
      <c r="AL250" s="28"/>
      <c r="AM250" s="28"/>
      <c r="AN250" s="28"/>
      <c r="AQ250" s="21"/>
      <c r="AS250" s="19"/>
      <c r="AW250" s="28"/>
      <c r="AX250" s="28"/>
      <c r="AY250" s="28"/>
      <c r="BB250" s="21"/>
      <c r="BD250" s="62"/>
      <c r="BE250" s="63"/>
      <c r="BF250" s="63"/>
      <c r="BG250" s="63"/>
      <c r="BH250" s="65"/>
      <c r="BI250" s="65"/>
      <c r="BJ250" s="65"/>
      <c r="BK250" s="63"/>
      <c r="BL250" s="63"/>
      <c r="BM250" s="66"/>
    </row>
    <row r="251" spans="1:65" ht="44.55" x14ac:dyDescent="0.25">
      <c r="B251">
        <v>514</v>
      </c>
      <c r="C251" s="11" t="s">
        <v>109</v>
      </c>
      <c r="D251" s="5" t="s">
        <v>110</v>
      </c>
      <c r="E251" t="s">
        <v>111</v>
      </c>
      <c r="F251" s="26">
        <f>ROUNDUP(J253*J255/60,0)</f>
        <v>41</v>
      </c>
      <c r="H251" s="10" t="s">
        <v>112</v>
      </c>
      <c r="I251" s="10">
        <f>I249*I247</f>
        <v>583.16145833333326</v>
      </c>
      <c r="J251" s="10" t="s">
        <v>113</v>
      </c>
      <c r="K251" s="10"/>
      <c r="L251" s="10" t="s">
        <v>112</v>
      </c>
      <c r="M251" s="10">
        <f>M249*M247</f>
        <v>583.16145833333326</v>
      </c>
      <c r="N251" s="10" t="s">
        <v>113</v>
      </c>
      <c r="O251" s="10"/>
      <c r="P251" s="10" t="s">
        <v>113</v>
      </c>
      <c r="Q251" s="10" t="s">
        <v>112</v>
      </c>
      <c r="R251" s="10">
        <f>R249*Q247</f>
        <v>1447.3125</v>
      </c>
      <c r="S251" s="10" t="s">
        <v>113</v>
      </c>
      <c r="T251" s="10" t="s">
        <v>113</v>
      </c>
      <c r="U251" s="10" t="s">
        <v>112</v>
      </c>
      <c r="V251" s="10">
        <f>V249*U247</f>
        <v>1421.15625</v>
      </c>
      <c r="W251" s="10" t="s">
        <v>113</v>
      </c>
      <c r="Y251" s="19"/>
      <c r="Z251" t="s">
        <v>114</v>
      </c>
      <c r="AA251" s="27">
        <v>9.5</v>
      </c>
      <c r="AB251" s="27" t="s">
        <v>52</v>
      </c>
      <c r="AC251" s="27"/>
      <c r="AF251" s="21"/>
      <c r="AH251" s="226" t="s">
        <v>183</v>
      </c>
      <c r="AI251" s="227"/>
      <c r="AJ251" s="227"/>
      <c r="AK251" s="227"/>
      <c r="AL251" s="227"/>
      <c r="AM251" s="227"/>
      <c r="AN251" s="227"/>
      <c r="AQ251" s="21"/>
      <c r="AS251" s="226" t="s">
        <v>192</v>
      </c>
      <c r="AT251" s="227"/>
      <c r="AU251" s="227"/>
      <c r="AV251" s="227"/>
      <c r="AW251" s="227"/>
      <c r="AX251" s="227"/>
      <c r="AY251" s="227"/>
      <c r="BB251" s="21"/>
      <c r="BD251" s="216" t="s">
        <v>191</v>
      </c>
      <c r="BE251" s="217"/>
      <c r="BF251" s="217"/>
      <c r="BG251" s="217"/>
      <c r="BH251" s="217"/>
      <c r="BI251" s="217"/>
      <c r="BJ251" s="217"/>
      <c r="BK251" s="63"/>
      <c r="BL251" s="63"/>
      <c r="BM251" s="66"/>
    </row>
    <row r="252" spans="1:65" ht="31.95" thickBot="1" x14ac:dyDescent="0.4">
      <c r="B252">
        <v>514</v>
      </c>
      <c r="C252" s="29">
        <v>10000</v>
      </c>
      <c r="D252" s="5" t="s">
        <v>115</v>
      </c>
      <c r="E252" t="s">
        <v>116</v>
      </c>
      <c r="F252" s="30">
        <f>ROUNDUP(MAX(F247/1200,(J253*J255/150)),0)</f>
        <v>87</v>
      </c>
      <c r="H252" s="90" t="s">
        <v>117</v>
      </c>
      <c r="I252" s="91">
        <f>I251*1.1</f>
        <v>641.47760416666665</v>
      </c>
      <c r="J252" s="90" t="s">
        <v>113</v>
      </c>
      <c r="K252" s="90"/>
      <c r="L252" s="90" t="s">
        <v>117</v>
      </c>
      <c r="M252" s="91">
        <f>M251*1.1</f>
        <v>641.47760416666665</v>
      </c>
      <c r="N252" s="90" t="s">
        <v>113</v>
      </c>
      <c r="O252" s="90"/>
      <c r="P252" s="10" t="s">
        <v>113</v>
      </c>
      <c r="Q252" s="10" t="s">
        <v>117</v>
      </c>
      <c r="R252" s="31">
        <f>R251*1.1</f>
        <v>1592.04375</v>
      </c>
      <c r="S252" s="10" t="s">
        <v>113</v>
      </c>
      <c r="T252" s="10" t="s">
        <v>113</v>
      </c>
      <c r="U252" s="10" t="s">
        <v>117</v>
      </c>
      <c r="V252" s="31">
        <f>V251*1.1</f>
        <v>1563.2718750000001</v>
      </c>
      <c r="W252" s="10" t="s">
        <v>113</v>
      </c>
      <c r="Y252" s="19" t="s">
        <v>313</v>
      </c>
      <c r="Z252" s="28" t="s">
        <v>317</v>
      </c>
      <c r="AA252">
        <v>60</v>
      </c>
      <c r="AB252" t="s">
        <v>92</v>
      </c>
      <c r="AD252" s="25" t="s">
        <v>118</v>
      </c>
      <c r="AE252">
        <v>2</v>
      </c>
      <c r="AF252" s="21" t="s">
        <v>92</v>
      </c>
      <c r="AH252" s="32"/>
      <c r="AI252" s="28"/>
      <c r="AJ252" s="28" t="s">
        <v>101</v>
      </c>
      <c r="AK252" s="28" t="s">
        <v>119</v>
      </c>
      <c r="AL252" s="28" t="s">
        <v>120</v>
      </c>
      <c r="AM252" s="28"/>
      <c r="AN252" s="28"/>
      <c r="AO252" s="25" t="s">
        <v>118</v>
      </c>
      <c r="AP252">
        <v>2</v>
      </c>
      <c r="AQ252" s="21" t="s">
        <v>92</v>
      </c>
      <c r="AS252" s="32"/>
      <c r="AT252" s="28"/>
      <c r="AU252" s="28" t="s">
        <v>101</v>
      </c>
      <c r="AV252" s="28" t="s">
        <v>119</v>
      </c>
      <c r="AW252" s="28" t="s">
        <v>120</v>
      </c>
      <c r="AX252" s="28"/>
      <c r="AY252" s="28"/>
      <c r="AZ252" s="25" t="s">
        <v>118</v>
      </c>
      <c r="BA252">
        <v>2</v>
      </c>
      <c r="BB252" s="21" t="s">
        <v>92</v>
      </c>
      <c r="BD252" s="67"/>
      <c r="BE252" s="65"/>
      <c r="BF252" s="65" t="s">
        <v>101</v>
      </c>
      <c r="BG252" s="65" t="s">
        <v>119</v>
      </c>
      <c r="BH252" s="65" t="s">
        <v>120</v>
      </c>
      <c r="BI252" s="65"/>
      <c r="BJ252" s="65"/>
      <c r="BK252" s="68" t="s">
        <v>118</v>
      </c>
      <c r="BL252" s="63">
        <v>2</v>
      </c>
      <c r="BM252" s="66" t="s">
        <v>92</v>
      </c>
    </row>
    <row r="253" spans="1:65" x14ac:dyDescent="0.25">
      <c r="H253" s="92" t="s">
        <v>121</v>
      </c>
      <c r="I253" s="93"/>
      <c r="J253" s="94">
        <f>2*I249+4*O249+3*R249+2*V249</f>
        <v>483</v>
      </c>
      <c r="K253" s="95" t="s">
        <v>52</v>
      </c>
      <c r="L253" s="92" t="s">
        <v>121</v>
      </c>
      <c r="M253" s="93"/>
      <c r="N253" s="94" t="e">
        <f>2*M249+4*S249+3*V249+2*Z249</f>
        <v>#VALUE!</v>
      </c>
      <c r="O253" s="95" t="s">
        <v>52</v>
      </c>
      <c r="Y253" s="19"/>
      <c r="AA253">
        <f>AA252/12</f>
        <v>5</v>
      </c>
      <c r="AB253" t="s">
        <v>52</v>
      </c>
      <c r="AD253" s="25"/>
      <c r="AF253" s="21"/>
      <c r="AH253" s="32"/>
      <c r="AI253" s="28" t="s">
        <v>114</v>
      </c>
      <c r="AJ253" s="28">
        <v>9.5</v>
      </c>
      <c r="AK253" s="28">
        <f>AJ253/3</f>
        <v>3.1666666666666665</v>
      </c>
      <c r="AL253" s="28">
        <f>AJ253/6</f>
        <v>1.5833333333333333</v>
      </c>
      <c r="AM253" s="28"/>
      <c r="AN253" s="28"/>
      <c r="AO253" t="s">
        <v>92</v>
      </c>
      <c r="AQ253" s="21"/>
      <c r="AS253" s="32"/>
      <c r="AT253" s="28" t="s">
        <v>114</v>
      </c>
      <c r="AU253" s="28">
        <v>9.5</v>
      </c>
      <c r="AV253" s="28">
        <f>AU253/3</f>
        <v>3.1666666666666665</v>
      </c>
      <c r="AW253" s="28">
        <f>AU253/6</f>
        <v>1.5833333333333333</v>
      </c>
      <c r="AX253" s="28"/>
      <c r="AY253" s="28"/>
      <c r="AZ253" t="s">
        <v>92</v>
      </c>
      <c r="BB253" s="21"/>
      <c r="BD253" s="67"/>
      <c r="BE253" s="65" t="s">
        <v>114</v>
      </c>
      <c r="BF253" s="65">
        <v>17.666599999999999</v>
      </c>
      <c r="BG253" s="65">
        <f>BF253/3</f>
        <v>5.888866666666666</v>
      </c>
      <c r="BH253" s="65">
        <f>BF253/6</f>
        <v>2.944433333333333</v>
      </c>
      <c r="BI253" s="65"/>
      <c r="BJ253" s="65"/>
      <c r="BK253" s="63" t="s">
        <v>92</v>
      </c>
      <c r="BL253" s="63"/>
      <c r="BM253" s="66"/>
    </row>
    <row r="254" spans="1:65" x14ac:dyDescent="0.25">
      <c r="H254" s="96" t="s">
        <v>122</v>
      </c>
      <c r="I254" s="35"/>
      <c r="J254" s="10">
        <f>2*I252+4*O252+3*R252+2*V252</f>
        <v>9185.6302083333339</v>
      </c>
      <c r="K254" s="97" t="s">
        <v>113</v>
      </c>
      <c r="L254" s="96" t="s">
        <v>122</v>
      </c>
      <c r="M254" s="35"/>
      <c r="N254" s="10" t="e">
        <f>2*M252+4*S252+3*V252+2*Z252</f>
        <v>#VALUE!</v>
      </c>
      <c r="O254" s="97" t="s">
        <v>113</v>
      </c>
      <c r="Y254" s="19"/>
      <c r="AF254" s="21"/>
      <c r="AH254" s="32"/>
      <c r="AI254" s="28" t="s">
        <v>321</v>
      </c>
      <c r="AJ254" s="28">
        <v>60</v>
      </c>
      <c r="AK254" s="36" t="s">
        <v>92</v>
      </c>
      <c r="AL254" s="28"/>
      <c r="AM254" s="28"/>
      <c r="AN254" s="28"/>
      <c r="AO254" t="s">
        <v>92</v>
      </c>
      <c r="AQ254" s="21"/>
      <c r="AS254" s="32"/>
      <c r="AT254" s="28" t="s">
        <v>321</v>
      </c>
      <c r="AU254" s="28">
        <v>60</v>
      </c>
      <c r="AV254" s="36" t="s">
        <v>92</v>
      </c>
      <c r="AW254" s="28"/>
      <c r="AX254" s="28"/>
      <c r="AY254" s="28"/>
      <c r="AZ254" t="s">
        <v>92</v>
      </c>
      <c r="BB254" s="21"/>
      <c r="BD254" s="67"/>
      <c r="BE254" s="65" t="s">
        <v>321</v>
      </c>
      <c r="BF254" s="65">
        <f>AA252-AE252-AE252-1</f>
        <v>55</v>
      </c>
      <c r="BG254" s="69" t="s">
        <v>92</v>
      </c>
      <c r="BH254" s="65"/>
      <c r="BI254" s="65"/>
      <c r="BJ254" s="65"/>
      <c r="BK254" s="63" t="s">
        <v>92</v>
      </c>
      <c r="BL254" s="63"/>
      <c r="BM254" s="66"/>
    </row>
    <row r="255" spans="1:65" x14ac:dyDescent="0.25">
      <c r="H255" s="96" t="s">
        <v>123</v>
      </c>
      <c r="I255" s="35"/>
      <c r="J255" s="10">
        <v>5</v>
      </c>
      <c r="K255" s="97"/>
      <c r="L255" s="96" t="s">
        <v>123</v>
      </c>
      <c r="M255" s="35"/>
      <c r="N255" s="10">
        <v>5</v>
      </c>
      <c r="O255" s="97"/>
      <c r="Y255" s="19"/>
      <c r="AF255" s="21"/>
      <c r="AH255" s="32"/>
      <c r="AI255" s="28"/>
      <c r="AJ255" s="28">
        <f>AJ254/12</f>
        <v>5</v>
      </c>
      <c r="AK255" s="36" t="s">
        <v>52</v>
      </c>
      <c r="AL255" s="28">
        <f>AI259^2+AI262^2</f>
        <v>30.283778222222217</v>
      </c>
      <c r="AM255" s="28"/>
      <c r="AN255" s="37">
        <f>AI259^2+AJ262^2</f>
        <v>22.762944888888885</v>
      </c>
      <c r="AO255" t="s">
        <v>92</v>
      </c>
      <c r="AQ255" s="21"/>
      <c r="AS255" s="32"/>
      <c r="AT255" s="28"/>
      <c r="AU255" s="28">
        <f>AU254/12</f>
        <v>5</v>
      </c>
      <c r="AV255" s="36" t="s">
        <v>52</v>
      </c>
      <c r="AW255" s="28">
        <f>AT259^2+AT262^2</f>
        <v>30.283778222222217</v>
      </c>
      <c r="AX255" s="28"/>
      <c r="AY255" s="37">
        <f>AT259^2+AU262^2</f>
        <v>22.762944888888885</v>
      </c>
      <c r="AZ255" t="s">
        <v>92</v>
      </c>
      <c r="BB255" s="21"/>
      <c r="BD255" s="67"/>
      <c r="BE255" s="65"/>
      <c r="BF255" s="65">
        <f>BF254/12</f>
        <v>4.583333333333333</v>
      </c>
      <c r="BG255" s="69" t="s">
        <v>52</v>
      </c>
      <c r="BH255" s="65">
        <f>BE259^2+BE262^2</f>
        <v>55.685695062222216</v>
      </c>
      <c r="BI255" s="65"/>
      <c r="BJ255" s="70">
        <f>BE259^2+BF262^2</f>
        <v>29.676632098888888</v>
      </c>
      <c r="BK255" s="63" t="s">
        <v>92</v>
      </c>
      <c r="BL255" s="63"/>
      <c r="BM255" s="66"/>
    </row>
    <row r="256" spans="1:65" ht="45.3" thickBot="1" x14ac:dyDescent="0.3">
      <c r="H256" s="98" t="s">
        <v>124</v>
      </c>
      <c r="I256" s="99"/>
      <c r="J256" s="100">
        <f>J254*J255</f>
        <v>45928.151041666672</v>
      </c>
      <c r="K256" s="101" t="s">
        <v>113</v>
      </c>
      <c r="L256" s="98" t="s">
        <v>124</v>
      </c>
      <c r="M256" s="99"/>
      <c r="N256" s="100" t="e">
        <f>N254*N255</f>
        <v>#VALUE!</v>
      </c>
      <c r="O256" s="101" t="s">
        <v>113</v>
      </c>
      <c r="P256" s="38" t="s">
        <v>331</v>
      </c>
      <c r="Q256" s="51">
        <f>35*(18*(24*4))/144</f>
        <v>420</v>
      </c>
      <c r="R256" s="35" t="s">
        <v>126</v>
      </c>
      <c r="Y256" s="19"/>
      <c r="AB256">
        <f>SQRT((AB261)^2+(Z257)^2)</f>
        <v>10.512183428976325</v>
      </c>
      <c r="AC256" t="s">
        <v>2</v>
      </c>
      <c r="AF256" s="21"/>
      <c r="AH256" s="32"/>
      <c r="AI256" s="28"/>
      <c r="AJ256" s="28"/>
      <c r="AK256" s="36"/>
      <c r="AL256" s="28"/>
      <c r="AM256" s="28"/>
      <c r="AN256" s="28"/>
      <c r="AQ256" s="21"/>
      <c r="AS256" s="32"/>
      <c r="AT256" s="28"/>
      <c r="AU256" s="28"/>
      <c r="AV256" s="36"/>
      <c r="AW256" s="28"/>
      <c r="AX256" s="28"/>
      <c r="AY256" s="28"/>
      <c r="BB256" s="21"/>
      <c r="BD256" s="67"/>
      <c r="BE256" s="65"/>
      <c r="BF256" s="65"/>
      <c r="BG256" s="69"/>
      <c r="BH256" s="65"/>
      <c r="BI256" s="65"/>
      <c r="BJ256" s="65"/>
      <c r="BK256" s="63"/>
      <c r="BL256" s="63"/>
      <c r="BM256" s="66"/>
    </row>
    <row r="257" spans="8:65" x14ac:dyDescent="0.25">
      <c r="H257" s="4"/>
      <c r="L257" s="4"/>
      <c r="Y257" s="19"/>
      <c r="Z257">
        <f>AA253-2*(AE252/12+0.083)</f>
        <v>4.5006666666666666</v>
      </c>
      <c r="AA257" t="s">
        <v>2</v>
      </c>
      <c r="AF257" s="21"/>
      <c r="AH257" s="32"/>
      <c r="AI257" s="28"/>
      <c r="AJ257" s="28"/>
      <c r="AK257" s="28"/>
      <c r="AL257" s="28"/>
      <c r="AM257" s="28"/>
      <c r="AN257" s="28"/>
      <c r="AP257">
        <v>1.1659999999999999</v>
      </c>
      <c r="AQ257" s="21" t="s">
        <v>125</v>
      </c>
      <c r="AS257" s="32"/>
      <c r="AT257" s="28"/>
      <c r="AU257" s="28"/>
      <c r="AV257" s="28"/>
      <c r="AW257" s="28"/>
      <c r="AX257" s="28"/>
      <c r="AY257" s="28"/>
      <c r="BA257">
        <v>1.1659999999999999</v>
      </c>
      <c r="BB257" s="21" t="s">
        <v>125</v>
      </c>
      <c r="BD257" s="67"/>
      <c r="BE257" s="65"/>
      <c r="BF257" s="65"/>
      <c r="BG257" s="65"/>
      <c r="BH257" s="65"/>
      <c r="BI257" s="65"/>
      <c r="BJ257" s="65"/>
      <c r="BK257" s="63"/>
      <c r="BL257" s="63">
        <v>1.1659999999999999</v>
      </c>
      <c r="BM257" s="66" t="s">
        <v>125</v>
      </c>
    </row>
    <row r="258" spans="8:65" x14ac:dyDescent="0.25">
      <c r="H258" s="14" t="s">
        <v>325</v>
      </c>
      <c r="I258" s="16"/>
      <c r="J258" s="16">
        <f>(5+5)*56/144</f>
        <v>3.8888888888888888</v>
      </c>
      <c r="K258" s="17" t="s">
        <v>126</v>
      </c>
      <c r="L258" s="14" t="s">
        <v>325</v>
      </c>
      <c r="M258" s="16"/>
      <c r="N258" s="16">
        <f>(5+5)*56/144</f>
        <v>3.8888888888888888</v>
      </c>
      <c r="O258" s="17" t="s">
        <v>126</v>
      </c>
      <c r="P258" s="16"/>
      <c r="Q258" s="16"/>
      <c r="R258" s="17"/>
      <c r="S258" s="14" t="s">
        <v>334</v>
      </c>
      <c r="T258" s="16"/>
      <c r="U258" s="16"/>
      <c r="V258" s="17"/>
      <c r="Y258" s="19"/>
      <c r="Z258">
        <f>Z257*12</f>
        <v>54.007999999999996</v>
      </c>
      <c r="AF258" s="21"/>
      <c r="AH258" s="32"/>
      <c r="AI258" s="28"/>
      <c r="AJ258" s="37">
        <f>SQRT(AN255)</f>
        <v>4.771052807178819</v>
      </c>
      <c r="AK258" s="37"/>
      <c r="AL258" s="28"/>
      <c r="AM258" s="37">
        <f>AH259</f>
        <v>5.5030698907266498</v>
      </c>
      <c r="AN258" s="28"/>
      <c r="AP258" s="1">
        <f>0.33*AP257*2</f>
        <v>0.76956000000000002</v>
      </c>
      <c r="AQ258" s="21" t="s">
        <v>126</v>
      </c>
      <c r="AS258" s="32"/>
      <c r="AT258" s="28"/>
      <c r="AU258" s="37">
        <f>SQRT(AY255)</f>
        <v>4.771052807178819</v>
      </c>
      <c r="AV258" s="37"/>
      <c r="AW258" s="28"/>
      <c r="AX258" s="37">
        <f>AS259</f>
        <v>5.5030698907266498</v>
      </c>
      <c r="AY258" s="28"/>
      <c r="BA258" s="1">
        <f>0.33*BA257*2</f>
        <v>0.76956000000000002</v>
      </c>
      <c r="BB258" s="21" t="s">
        <v>126</v>
      </c>
      <c r="BD258" s="67"/>
      <c r="BE258" s="65"/>
      <c r="BF258" s="70">
        <f>SQRT(BJ255)</f>
        <v>5.44762628113281</v>
      </c>
      <c r="BG258" s="70"/>
      <c r="BH258" s="65"/>
      <c r="BI258" s="70">
        <f>BD259</f>
        <v>7.4622848419383061</v>
      </c>
      <c r="BJ258" s="65"/>
      <c r="BK258" s="63"/>
      <c r="BL258" s="71">
        <f>0.33*BL257*2</f>
        <v>0.76956000000000002</v>
      </c>
      <c r="BM258" s="66" t="s">
        <v>126</v>
      </c>
    </row>
    <row r="259" spans="8:65" x14ac:dyDescent="0.25">
      <c r="H259" s="19" t="s">
        <v>187</v>
      </c>
      <c r="J259">
        <f>ROUNDUP((42+44+42)*2*J255,0)</f>
        <v>1280</v>
      </c>
      <c r="K259" s="21" t="s">
        <v>329</v>
      </c>
      <c r="L259" s="19" t="s">
        <v>187</v>
      </c>
      <c r="N259">
        <f>ROUNDUP((42+44+42)*2*N255,0)</f>
        <v>1280</v>
      </c>
      <c r="O259" s="21" t="s">
        <v>329</v>
      </c>
      <c r="Q259">
        <f>((5+5)*(56+90)/2)/144</f>
        <v>5.0694444444444446</v>
      </c>
      <c r="R259" s="21" t="s">
        <v>126</v>
      </c>
      <c r="S259" s="19" t="s">
        <v>186</v>
      </c>
      <c r="U259">
        <f>((5+5)*(55)/144)</f>
        <v>3.8194444444444446</v>
      </c>
      <c r="V259" s="21" t="s">
        <v>126</v>
      </c>
      <c r="Y259" s="19"/>
      <c r="AF259" s="21"/>
      <c r="AH259" s="39">
        <f>SQRT(AL255)</f>
        <v>5.5030698907266498</v>
      </c>
      <c r="AI259" s="40">
        <f>AJ255-2*(AP252/12+0.083)</f>
        <v>4.5006666666666666</v>
      </c>
      <c r="AJ259" s="28"/>
      <c r="AK259" s="28"/>
      <c r="AL259" s="28"/>
      <c r="AM259" s="28"/>
      <c r="AN259" s="28"/>
      <c r="AP259">
        <v>7</v>
      </c>
      <c r="AQ259" s="21" t="s">
        <v>125</v>
      </c>
      <c r="AS259" s="39">
        <f>SQRT(AW255)</f>
        <v>5.5030698907266498</v>
      </c>
      <c r="AT259" s="40">
        <f>AU255-2*(BA252/12+0.083)</f>
        <v>4.5006666666666666</v>
      </c>
      <c r="AU259" s="28"/>
      <c r="AV259" s="28"/>
      <c r="AW259" s="28"/>
      <c r="AX259" s="28"/>
      <c r="AY259" s="28"/>
      <c r="BA259">
        <v>7</v>
      </c>
      <c r="BB259" s="21" t="s">
        <v>125</v>
      </c>
      <c r="BD259" s="72">
        <f>SQRT(BH255)</f>
        <v>7.4622848419383061</v>
      </c>
      <c r="BE259" s="73">
        <f>BF255</f>
        <v>4.583333333333333</v>
      </c>
      <c r="BF259" s="65"/>
      <c r="BG259" s="65"/>
      <c r="BH259" s="65"/>
      <c r="BI259" s="65"/>
      <c r="BJ259" s="65"/>
      <c r="BK259" s="63"/>
      <c r="BL259" s="63">
        <v>7</v>
      </c>
      <c r="BM259" s="66" t="s">
        <v>125</v>
      </c>
    </row>
    <row r="260" spans="8:65" x14ac:dyDescent="0.25">
      <c r="H260" s="19" t="s">
        <v>188</v>
      </c>
      <c r="J260" s="7">
        <f>J258*J259</f>
        <v>4977.7777777777774</v>
      </c>
      <c r="K260" s="21" t="s">
        <v>126</v>
      </c>
      <c r="L260" s="19" t="s">
        <v>188</v>
      </c>
      <c r="N260" s="7">
        <f>N258*N259</f>
        <v>4977.7777777777774</v>
      </c>
      <c r="O260" s="21" t="s">
        <v>126</v>
      </c>
      <c r="Q260">
        <f>ROUNDUP(23*2*5*J255,0)</f>
        <v>1150</v>
      </c>
      <c r="R260" s="21" t="s">
        <v>329</v>
      </c>
      <c r="S260" s="19" t="s">
        <v>187</v>
      </c>
      <c r="U260">
        <f>ROUNDUP(5*5,0)</f>
        <v>25</v>
      </c>
      <c r="V260" s="21" t="s">
        <v>329</v>
      </c>
      <c r="Y260" s="19"/>
      <c r="AF260" s="21"/>
      <c r="AH260" s="32"/>
      <c r="AI260" s="28"/>
      <c r="AJ260" s="28"/>
      <c r="AK260" s="28"/>
      <c r="AL260" s="28"/>
      <c r="AM260" s="28"/>
      <c r="AN260" s="28"/>
      <c r="AP260" s="1">
        <f>0.33*AP259*2</f>
        <v>4.62</v>
      </c>
      <c r="AQ260" s="21" t="s">
        <v>126</v>
      </c>
      <c r="AS260" s="32"/>
      <c r="AT260" s="28"/>
      <c r="AU260" s="28"/>
      <c r="AV260" s="28"/>
      <c r="AW260" s="28"/>
      <c r="AX260" s="28"/>
      <c r="AY260" s="28"/>
      <c r="BA260" s="1">
        <f>0.33*BA259*2</f>
        <v>4.62</v>
      </c>
      <c r="BB260" s="21" t="s">
        <v>126</v>
      </c>
      <c r="BD260" s="67"/>
      <c r="BE260" s="65"/>
      <c r="BF260" s="65"/>
      <c r="BG260" s="65"/>
      <c r="BH260" s="65"/>
      <c r="BI260" s="65"/>
      <c r="BJ260" s="65"/>
      <c r="BK260" s="63"/>
      <c r="BL260" s="71">
        <f>0.33*BL259*2</f>
        <v>4.62</v>
      </c>
      <c r="BM260" s="66" t="s">
        <v>126</v>
      </c>
    </row>
    <row r="261" spans="8:65" x14ac:dyDescent="0.25">
      <c r="H261" s="49" t="s">
        <v>189</v>
      </c>
      <c r="I261" s="3"/>
      <c r="J261" s="3"/>
      <c r="K261" s="44"/>
      <c r="L261" s="49" t="s">
        <v>189</v>
      </c>
      <c r="M261" s="3"/>
      <c r="N261" s="3"/>
      <c r="O261" s="44"/>
      <c r="P261" s="3"/>
      <c r="Q261" s="59">
        <f>Q259*Q260</f>
        <v>5829.8611111111113</v>
      </c>
      <c r="R261" s="44" t="s">
        <v>126</v>
      </c>
      <c r="S261" s="49" t="s">
        <v>188</v>
      </c>
      <c r="T261" s="3"/>
      <c r="U261" s="59">
        <f>U259*U260</f>
        <v>95.486111111111114</v>
      </c>
      <c r="V261" s="44" t="s">
        <v>126</v>
      </c>
      <c r="Y261" s="19"/>
      <c r="AB261" s="27">
        <f>AA251</f>
        <v>9.5</v>
      </c>
      <c r="AF261" s="21"/>
      <c r="AH261" s="32"/>
      <c r="AI261" s="28"/>
      <c r="AJ261" s="28"/>
      <c r="AK261" s="28"/>
      <c r="AL261" s="28"/>
      <c r="AM261" s="28"/>
      <c r="AN261" s="28"/>
      <c r="AQ261" s="21"/>
      <c r="AS261" s="32"/>
      <c r="AT261" s="28"/>
      <c r="AU261" s="28"/>
      <c r="AV261" s="28"/>
      <c r="AW261" s="28"/>
      <c r="AX261" s="28"/>
      <c r="AY261" s="28"/>
      <c r="BB261" s="21"/>
      <c r="BD261" s="67"/>
      <c r="BE261" s="65"/>
      <c r="BF261" s="65"/>
      <c r="BG261" s="65"/>
      <c r="BH261" s="65"/>
      <c r="BI261" s="65"/>
      <c r="BJ261" s="65"/>
      <c r="BK261" s="63"/>
      <c r="BL261" s="63"/>
      <c r="BM261" s="66"/>
    </row>
    <row r="262" spans="8:65" x14ac:dyDescent="0.25">
      <c r="Y262" s="19"/>
      <c r="AF262" s="21"/>
      <c r="AH262" s="32"/>
      <c r="AI262" s="37">
        <f>AJ253/3</f>
        <v>3.1666666666666665</v>
      </c>
      <c r="AJ262" s="37">
        <f>AI262/2</f>
        <v>1.5833333333333333</v>
      </c>
      <c r="AK262" s="28"/>
      <c r="AL262" s="28"/>
      <c r="AM262" s="28"/>
      <c r="AN262" s="28"/>
      <c r="AQ262" s="21"/>
      <c r="AS262" s="32"/>
      <c r="AT262" s="37">
        <f>AU253/3</f>
        <v>3.1666666666666665</v>
      </c>
      <c r="AU262" s="37">
        <f>AT262/2</f>
        <v>1.5833333333333333</v>
      </c>
      <c r="AV262" s="28"/>
      <c r="AW262" s="28"/>
      <c r="AX262" s="28"/>
      <c r="AY262" s="28"/>
      <c r="BB262" s="21"/>
      <c r="BD262" s="67"/>
      <c r="BE262" s="70">
        <f>BF253/3</f>
        <v>5.888866666666666</v>
      </c>
      <c r="BF262" s="70">
        <f>BE262/2</f>
        <v>2.944433333333333</v>
      </c>
      <c r="BG262" s="65"/>
      <c r="BH262" s="65"/>
      <c r="BI262" s="65"/>
      <c r="BJ262" s="65"/>
      <c r="BK262" s="63"/>
      <c r="BL262" s="63"/>
      <c r="BM262" s="66"/>
    </row>
    <row r="263" spans="8:65" x14ac:dyDescent="0.25">
      <c r="H263" s="14" t="s">
        <v>326</v>
      </c>
      <c r="I263" s="16"/>
      <c r="J263" s="88">
        <f>(7+7)*56/144</f>
        <v>5.4444444444444446</v>
      </c>
      <c r="K263" s="17" t="s">
        <v>126</v>
      </c>
      <c r="L263" s="14" t="s">
        <v>326</v>
      </c>
      <c r="M263" s="16"/>
      <c r="N263" s="88">
        <f>(7+7)*56/144</f>
        <v>5.4444444444444446</v>
      </c>
      <c r="O263" s="17" t="s">
        <v>126</v>
      </c>
      <c r="P263" s="16"/>
      <c r="Q263" s="16">
        <f>(9+9)*90/144</f>
        <v>11.25</v>
      </c>
      <c r="R263" s="17" t="s">
        <v>126</v>
      </c>
      <c r="S263" s="14" t="s">
        <v>330</v>
      </c>
      <c r="T263" s="16"/>
      <c r="U263" s="16">
        <f>PI()*(0.67)*8</f>
        <v>16.838936623241292</v>
      </c>
      <c r="V263" s="17" t="s">
        <v>126</v>
      </c>
      <c r="Y263" s="19" t="s">
        <v>129</v>
      </c>
      <c r="AB263" s="27">
        <f>(1*AB261)+(2*AB256)</f>
        <v>30.52436685795265</v>
      </c>
      <c r="AC263" t="s">
        <v>125</v>
      </c>
      <c r="AF263" s="21"/>
      <c r="AH263" s="42"/>
      <c r="AI263" s="43"/>
      <c r="AJ263" s="43"/>
      <c r="AK263" s="43"/>
      <c r="AL263" s="43"/>
      <c r="AM263" s="43"/>
      <c r="AN263" s="43"/>
      <c r="AO263" s="3"/>
      <c r="AP263" s="3"/>
      <c r="AQ263" s="44"/>
      <c r="AS263" s="42"/>
      <c r="AT263" s="43"/>
      <c r="AU263" s="43"/>
      <c r="AV263" s="43"/>
      <c r="AW263" s="43"/>
      <c r="AX263" s="43"/>
      <c r="AY263" s="43"/>
      <c r="AZ263" s="3"/>
      <c r="BA263" s="3"/>
      <c r="BB263" s="44"/>
      <c r="BD263" s="74"/>
      <c r="BE263" s="75"/>
      <c r="BF263" s="75"/>
      <c r="BG263" s="75"/>
      <c r="BH263" s="75"/>
      <c r="BI263" s="75"/>
      <c r="BJ263" s="75"/>
      <c r="BK263" s="76"/>
      <c r="BL263" s="76"/>
      <c r="BM263" s="77"/>
    </row>
    <row r="264" spans="8:65" x14ac:dyDescent="0.25">
      <c r="H264" s="19" t="s">
        <v>187</v>
      </c>
      <c r="J264">
        <f>(2*5)*2</f>
        <v>20</v>
      </c>
      <c r="K264" s="21" t="s">
        <v>329</v>
      </c>
      <c r="L264" s="19" t="s">
        <v>187</v>
      </c>
      <c r="N264">
        <f>(2*5)*2</f>
        <v>20</v>
      </c>
      <c r="O264" s="21" t="s">
        <v>329</v>
      </c>
      <c r="Q264">
        <f>(2*5)*5</f>
        <v>50</v>
      </c>
      <c r="R264" s="21" t="s">
        <v>329</v>
      </c>
      <c r="S264" s="19" t="s">
        <v>328</v>
      </c>
      <c r="U264">
        <v>38</v>
      </c>
      <c r="V264" s="21" t="s">
        <v>329</v>
      </c>
      <c r="Y264" s="19"/>
      <c r="AF264" s="21"/>
      <c r="AH264" s="45"/>
      <c r="AI264" s="46"/>
      <c r="AJ264" s="46" t="s">
        <v>130</v>
      </c>
      <c r="AK264" s="47" t="s">
        <v>318</v>
      </c>
      <c r="AL264" s="46"/>
      <c r="AM264" s="46"/>
      <c r="AN264" s="46"/>
      <c r="AO264" s="16"/>
      <c r="AP264" s="16"/>
      <c r="AQ264" s="17"/>
      <c r="AS264" s="45"/>
      <c r="AT264" s="46"/>
      <c r="AU264" s="46" t="s">
        <v>130</v>
      </c>
      <c r="AV264" s="47" t="s">
        <v>318</v>
      </c>
      <c r="AW264" s="46"/>
      <c r="AX264" s="46"/>
      <c r="AY264" s="46"/>
      <c r="AZ264" s="16"/>
      <c r="BA264" s="16"/>
      <c r="BB264" s="17"/>
      <c r="BD264" s="78"/>
      <c r="BE264" s="79"/>
      <c r="BF264" s="79" t="s">
        <v>130</v>
      </c>
      <c r="BG264" s="80" t="s">
        <v>190</v>
      </c>
      <c r="BH264" s="79"/>
      <c r="BI264" s="79"/>
      <c r="BJ264" s="79"/>
      <c r="BK264" s="60"/>
      <c r="BL264" s="60"/>
      <c r="BM264" s="61"/>
    </row>
    <row r="265" spans="8:65" x14ac:dyDescent="0.25">
      <c r="H265" s="19" t="s">
        <v>188</v>
      </c>
      <c r="J265" s="7">
        <f>J263*J264</f>
        <v>108.88888888888889</v>
      </c>
      <c r="K265" s="21" t="s">
        <v>126</v>
      </c>
      <c r="L265" s="19" t="s">
        <v>188</v>
      </c>
      <c r="N265" s="7">
        <f>N263*N264</f>
        <v>108.88888888888889</v>
      </c>
      <c r="O265" s="21" t="s">
        <v>126</v>
      </c>
      <c r="Q265" s="7">
        <f>Q263*Q264</f>
        <v>562.5</v>
      </c>
      <c r="R265" s="21" t="s">
        <v>126</v>
      </c>
      <c r="S265" s="19" t="s">
        <v>188</v>
      </c>
      <c r="U265" s="7">
        <f>U263*U264</f>
        <v>639.87959168316911</v>
      </c>
      <c r="V265" s="21" t="s">
        <v>126</v>
      </c>
      <c r="Y265" s="48" t="s">
        <v>131</v>
      </c>
      <c r="AB265" s="1">
        <f>0.25*4*AB263</f>
        <v>30.52436685795265</v>
      </c>
      <c r="AC265" t="s">
        <v>126</v>
      </c>
      <c r="AF265" s="21"/>
      <c r="AH265" s="42"/>
      <c r="AI265" s="43"/>
      <c r="AJ265" s="43"/>
      <c r="AK265" s="43">
        <f>AJ253+(2*AH259)+(2*AJ258)</f>
        <v>30.048245395810937</v>
      </c>
      <c r="AL265" s="43" t="s">
        <v>52</v>
      </c>
      <c r="AM265" s="43"/>
      <c r="AN265" s="43"/>
      <c r="AO265" s="3"/>
      <c r="AP265" s="3"/>
      <c r="AQ265" s="44"/>
      <c r="AS265" s="42"/>
      <c r="AT265" s="43"/>
      <c r="AU265" s="43"/>
      <c r="AV265" s="43">
        <f>AU253+(2*AS259)+(2*AU258)</f>
        <v>30.048245395810937</v>
      </c>
      <c r="AW265" s="43" t="s">
        <v>52</v>
      </c>
      <c r="AX265" s="43"/>
      <c r="AY265" s="43"/>
      <c r="AZ265" s="3"/>
      <c r="BA265" s="3"/>
      <c r="BB265" s="44"/>
      <c r="BD265" s="74"/>
      <c r="BE265" s="75"/>
      <c r="BF265" s="75"/>
      <c r="BG265" s="75">
        <f>BF253+(2*BD259)+(2*BF258)+BE259</f>
        <v>48.069755579475569</v>
      </c>
      <c r="BH265" s="75" t="s">
        <v>52</v>
      </c>
      <c r="BI265" s="75"/>
      <c r="BJ265" s="75"/>
      <c r="BK265" s="76"/>
      <c r="BL265" s="76"/>
      <c r="BM265" s="77"/>
    </row>
    <row r="266" spans="8:65" x14ac:dyDescent="0.25">
      <c r="H266" s="49" t="s">
        <v>189</v>
      </c>
      <c r="I266" s="3"/>
      <c r="J266" s="3"/>
      <c r="K266" s="44"/>
      <c r="L266" s="49" t="s">
        <v>189</v>
      </c>
      <c r="M266" s="3"/>
      <c r="N266" s="3"/>
      <c r="O266" s="44"/>
      <c r="P266" s="3"/>
      <c r="Q266" s="3"/>
      <c r="R266" s="44"/>
      <c r="S266" s="49"/>
      <c r="T266" s="3"/>
      <c r="U266" s="3"/>
      <c r="V266" s="44"/>
      <c r="Y266" s="19" t="s">
        <v>132</v>
      </c>
      <c r="AA266" t="s">
        <v>133</v>
      </c>
      <c r="AB266" s="27">
        <f>AB265*1.1</f>
        <v>33.576803543747914</v>
      </c>
      <c r="AC266" t="s">
        <v>126</v>
      </c>
      <c r="AF266" s="21"/>
      <c r="AH266" s="45"/>
      <c r="AI266" s="46"/>
      <c r="AJ266" s="46"/>
      <c r="AK266" s="46"/>
      <c r="AL266" s="46"/>
      <c r="AM266" s="46"/>
      <c r="AN266" s="46"/>
      <c r="AO266" s="16"/>
      <c r="AP266" s="16"/>
      <c r="AQ266" s="17"/>
      <c r="AS266" s="45"/>
      <c r="AT266" s="46"/>
      <c r="AU266" s="46"/>
      <c r="AV266" s="46"/>
      <c r="AW266" s="46"/>
      <c r="AX266" s="46"/>
      <c r="AY266" s="46"/>
      <c r="AZ266" s="16"/>
      <c r="BA266" s="16"/>
      <c r="BB266" s="17"/>
      <c r="BD266" s="78"/>
      <c r="BE266" s="79"/>
      <c r="BF266" s="79"/>
      <c r="BG266" s="79"/>
      <c r="BH266" s="79"/>
      <c r="BI266" s="79"/>
      <c r="BJ266" s="79"/>
      <c r="BK266" s="60"/>
      <c r="BL266" s="60"/>
      <c r="BM266" s="61"/>
    </row>
    <row r="267" spans="8:65" x14ac:dyDescent="0.25">
      <c r="Y267" s="49"/>
      <c r="Z267" s="3"/>
      <c r="AA267" s="3"/>
      <c r="AB267" s="3"/>
      <c r="AC267" s="3"/>
      <c r="AD267" s="3"/>
      <c r="AE267" s="3"/>
      <c r="AF267" s="44"/>
      <c r="AH267" s="32"/>
      <c r="AI267" s="28" t="s">
        <v>134</v>
      </c>
      <c r="AJ267" s="28"/>
      <c r="AK267" s="28">
        <f>AK265*(0.3333*4)</f>
        <v>40.060320761695138</v>
      </c>
      <c r="AL267" s="28" t="s">
        <v>126</v>
      </c>
      <c r="AM267" s="28"/>
      <c r="AN267" s="28"/>
      <c r="AQ267" s="21"/>
      <c r="AS267" s="32"/>
      <c r="AT267" s="28" t="s">
        <v>134</v>
      </c>
      <c r="AU267" s="28"/>
      <c r="AV267" s="28">
        <f>AV265*(0.3333*4)</f>
        <v>40.060320761695138</v>
      </c>
      <c r="AW267" s="28" t="s">
        <v>126</v>
      </c>
      <c r="AX267" s="28"/>
      <c r="AY267" s="28"/>
      <c r="BB267" s="21"/>
      <c r="BD267" s="67"/>
      <c r="BE267" s="65" t="s">
        <v>134</v>
      </c>
      <c r="BF267" s="65"/>
      <c r="BG267" s="65">
        <f>BG265*(0.3333*4)</f>
        <v>64.086598138556823</v>
      </c>
      <c r="BH267" s="65" t="s">
        <v>126</v>
      </c>
      <c r="BI267" s="65"/>
      <c r="BJ267" s="65"/>
      <c r="BK267" s="63"/>
      <c r="BL267" s="63"/>
      <c r="BM267" s="66"/>
    </row>
    <row r="268" spans="8:65" ht="15.05" customHeight="1" x14ac:dyDescent="0.25">
      <c r="H268" s="10" t="s">
        <v>91</v>
      </c>
      <c r="I268" s="10">
        <v>1</v>
      </c>
      <c r="J268" s="10" t="s">
        <v>52</v>
      </c>
      <c r="K268" s="10" t="s">
        <v>91</v>
      </c>
      <c r="L268" s="10" t="s">
        <v>91</v>
      </c>
      <c r="M268" s="10">
        <v>1</v>
      </c>
      <c r="N268" s="10" t="s">
        <v>52</v>
      </c>
      <c r="O268" s="10" t="s">
        <v>91</v>
      </c>
      <c r="P268" s="10" t="s">
        <v>52</v>
      </c>
      <c r="Q268" s="10" t="s">
        <v>91</v>
      </c>
      <c r="R268" s="10">
        <f>16/12</f>
        <v>1.3333333333333333</v>
      </c>
      <c r="S268" s="10" t="s">
        <v>52</v>
      </c>
      <c r="T268" s="10" t="s">
        <v>91</v>
      </c>
      <c r="U268" s="10">
        <f>16/12</f>
        <v>1.3333333333333333</v>
      </c>
      <c r="V268" s="10" t="s">
        <v>52</v>
      </c>
      <c r="AH268" s="42"/>
      <c r="AI268" s="43" t="s">
        <v>135</v>
      </c>
      <c r="AJ268" s="43"/>
      <c r="AK268" s="43"/>
      <c r="AL268" s="43"/>
      <c r="AM268" s="43"/>
      <c r="AN268" s="43"/>
      <c r="AO268" s="3"/>
      <c r="AP268" s="3"/>
      <c r="AQ268" s="44"/>
      <c r="AS268" s="42"/>
      <c r="AT268" s="43" t="s">
        <v>135</v>
      </c>
      <c r="AU268" s="43"/>
      <c r="AV268" s="43"/>
      <c r="AW268" s="43"/>
      <c r="AX268" s="43"/>
      <c r="AY268" s="43"/>
      <c r="AZ268" s="3"/>
      <c r="BA268" s="3"/>
      <c r="BB268" s="44"/>
      <c r="BD268" s="74"/>
      <c r="BE268" s="75" t="s">
        <v>135</v>
      </c>
      <c r="BF268" s="75"/>
      <c r="BG268" s="75"/>
      <c r="BH268" s="75"/>
      <c r="BI268" s="75"/>
      <c r="BJ268" s="75"/>
      <c r="BK268" s="76"/>
      <c r="BL268" s="76"/>
      <c r="BM268" s="77"/>
    </row>
    <row r="269" spans="8:65" x14ac:dyDescent="0.25">
      <c r="H269" s="10" t="s">
        <v>100</v>
      </c>
      <c r="I269" s="41">
        <f>AB263</f>
        <v>30.52436685795265</v>
      </c>
      <c r="J269" s="10" t="s">
        <v>52</v>
      </c>
      <c r="K269" s="10" t="s">
        <v>100</v>
      </c>
      <c r="L269" s="10" t="s">
        <v>100</v>
      </c>
      <c r="M269" s="41">
        <f>AF263</f>
        <v>0</v>
      </c>
      <c r="N269" s="10" t="s">
        <v>52</v>
      </c>
      <c r="O269" s="10" t="s">
        <v>100</v>
      </c>
      <c r="P269" s="10" t="s">
        <v>52</v>
      </c>
      <c r="Q269" s="10" t="s">
        <v>100</v>
      </c>
      <c r="R269" s="10">
        <f>AV265</f>
        <v>30.048245395810937</v>
      </c>
      <c r="S269" s="10" t="s">
        <v>52</v>
      </c>
      <c r="T269" s="10" t="s">
        <v>100</v>
      </c>
      <c r="U269" s="10">
        <f>BG265</f>
        <v>48.069755579475569</v>
      </c>
      <c r="V269" s="10" t="s">
        <v>52</v>
      </c>
      <c r="AH269" s="14"/>
      <c r="AI269" s="16"/>
      <c r="AJ269" s="16"/>
      <c r="AK269" s="16"/>
      <c r="AL269" s="16"/>
      <c r="AM269" s="16"/>
      <c r="AN269" s="16"/>
      <c r="AO269" s="16"/>
      <c r="AP269" s="16"/>
      <c r="AQ269" s="17"/>
      <c r="AS269" s="14"/>
      <c r="AT269" s="16"/>
      <c r="AU269" s="16"/>
      <c r="AV269" s="16"/>
      <c r="AW269" s="16"/>
      <c r="AX269" s="16"/>
      <c r="AY269" s="16"/>
      <c r="AZ269" s="16"/>
      <c r="BA269" s="16"/>
      <c r="BB269" s="17"/>
      <c r="BD269" s="81"/>
      <c r="BE269" s="60"/>
      <c r="BF269" s="60"/>
      <c r="BG269" s="60"/>
      <c r="BH269" s="60"/>
      <c r="BI269" s="60"/>
      <c r="BJ269" s="60"/>
      <c r="BK269" s="60"/>
      <c r="BL269" s="60"/>
      <c r="BM269" s="61"/>
    </row>
    <row r="270" spans="8:65" x14ac:dyDescent="0.25">
      <c r="H270" s="10" t="s">
        <v>106</v>
      </c>
      <c r="I270" s="33" t="s">
        <v>193</v>
      </c>
      <c r="J270" s="35"/>
      <c r="K270" s="10" t="s">
        <v>106</v>
      </c>
      <c r="L270" s="10" t="s">
        <v>106</v>
      </c>
      <c r="M270" s="33" t="s">
        <v>193</v>
      </c>
      <c r="N270" s="35"/>
      <c r="O270" s="10" t="s">
        <v>106</v>
      </c>
      <c r="P270" s="35"/>
      <c r="Q270" s="10" t="s">
        <v>106</v>
      </c>
      <c r="R270" s="33" t="s">
        <v>320</v>
      </c>
      <c r="S270" s="35"/>
      <c r="T270" s="10" t="s">
        <v>106</v>
      </c>
      <c r="U270" s="33" t="s">
        <v>127</v>
      </c>
      <c r="V270" s="35"/>
      <c r="Y270" s="14"/>
      <c r="Z270" s="15" t="s">
        <v>314</v>
      </c>
      <c r="AA270" s="16"/>
      <c r="AB270" s="16"/>
      <c r="AC270" s="16"/>
      <c r="AD270" s="16"/>
      <c r="AE270" s="16"/>
      <c r="AF270" s="17"/>
      <c r="AH270" s="19"/>
      <c r="AI270" s="222" t="s">
        <v>136</v>
      </c>
      <c r="AQ270" s="21"/>
      <c r="AS270" s="19"/>
      <c r="AT270" s="222" t="s">
        <v>136</v>
      </c>
      <c r="BB270" s="21"/>
      <c r="BD270" s="62"/>
      <c r="BE270" s="211" t="s">
        <v>136</v>
      </c>
      <c r="BF270" s="63"/>
      <c r="BG270" s="63"/>
      <c r="BH270" s="63"/>
      <c r="BI270" s="63"/>
      <c r="BJ270" s="63"/>
      <c r="BK270" s="63"/>
      <c r="BL270" s="63"/>
      <c r="BM270" s="66"/>
    </row>
    <row r="271" spans="8:65" x14ac:dyDescent="0.25">
      <c r="H271" s="10" t="s">
        <v>128</v>
      </c>
      <c r="I271" s="33">
        <f>34*4</f>
        <v>136</v>
      </c>
      <c r="J271" s="35"/>
      <c r="K271" s="10" t="s">
        <v>128</v>
      </c>
      <c r="L271" s="10" t="s">
        <v>128</v>
      </c>
      <c r="M271" s="33">
        <f>34*4</f>
        <v>136</v>
      </c>
      <c r="N271" s="35"/>
      <c r="O271" s="10" t="s">
        <v>128</v>
      </c>
      <c r="P271" s="35"/>
      <c r="Q271" s="10" t="s">
        <v>128</v>
      </c>
      <c r="R271" s="33">
        <v>4</v>
      </c>
      <c r="S271" s="35"/>
      <c r="T271" s="10" t="s">
        <v>128</v>
      </c>
      <c r="U271" s="33">
        <v>0</v>
      </c>
      <c r="V271" s="35"/>
      <c r="Y271" s="19"/>
      <c r="AA271" t="s">
        <v>101</v>
      </c>
      <c r="AH271" s="19"/>
      <c r="AI271" s="222"/>
      <c r="AK271">
        <f>AO249*AK265</f>
        <v>246.39561224564966</v>
      </c>
      <c r="AL271" t="s">
        <v>137</v>
      </c>
      <c r="AQ271" s="21"/>
      <c r="AS271" s="19"/>
      <c r="AT271" s="222"/>
      <c r="AV271">
        <f>AZ249*AV265</f>
        <v>246.39561224564966</v>
      </c>
      <c r="AW271" t="s">
        <v>137</v>
      </c>
      <c r="BB271" s="21"/>
      <c r="BD271" s="62"/>
      <c r="BE271" s="211"/>
      <c r="BF271" s="63"/>
      <c r="BG271" s="63">
        <f>BK249*BG265</f>
        <v>394.17199575169963</v>
      </c>
      <c r="BH271" s="63" t="s">
        <v>137</v>
      </c>
      <c r="BI271" s="63"/>
      <c r="BJ271" s="63"/>
      <c r="BK271" s="63"/>
      <c r="BL271" s="63"/>
      <c r="BM271" s="66"/>
    </row>
    <row r="272" spans="8:65" x14ac:dyDescent="0.25">
      <c r="H272" s="10" t="s">
        <v>112</v>
      </c>
      <c r="I272" s="10">
        <f>I269*I268*I271</f>
        <v>4151.31389268156</v>
      </c>
      <c r="J272" s="10" t="s">
        <v>113</v>
      </c>
      <c r="K272" s="10" t="s">
        <v>112</v>
      </c>
      <c r="L272" s="10" t="s">
        <v>112</v>
      </c>
      <c r="M272" s="10">
        <f>M269*M268*M271</f>
        <v>0</v>
      </c>
      <c r="N272" s="10" t="s">
        <v>113</v>
      </c>
      <c r="O272" s="10" t="s">
        <v>112</v>
      </c>
      <c r="P272" s="10" t="s">
        <v>113</v>
      </c>
      <c r="Q272" s="10" t="s">
        <v>112</v>
      </c>
      <c r="R272" s="10">
        <f>R269*R268*R271</f>
        <v>160.25730877765832</v>
      </c>
      <c r="S272" s="10" t="s">
        <v>113</v>
      </c>
      <c r="T272" s="10" t="s">
        <v>112</v>
      </c>
      <c r="U272" s="10">
        <f>U269*U268*U271</f>
        <v>0</v>
      </c>
      <c r="V272" s="10" t="s">
        <v>113</v>
      </c>
      <c r="Y272" s="19"/>
      <c r="AD272" s="25"/>
      <c r="AF272" s="21"/>
      <c r="AH272" s="49"/>
      <c r="AI272" s="228"/>
      <c r="AJ272" s="3"/>
      <c r="AK272" s="3"/>
      <c r="AL272" s="3"/>
      <c r="AM272" s="3"/>
      <c r="AN272" s="3"/>
      <c r="AO272" s="3"/>
      <c r="AP272" s="3"/>
      <c r="AQ272" s="44"/>
      <c r="AS272" s="49"/>
      <c r="AT272" s="228"/>
      <c r="AU272" s="3"/>
      <c r="AV272" s="3"/>
      <c r="AW272" s="3"/>
      <c r="AX272" s="3"/>
      <c r="AY272" s="3"/>
      <c r="AZ272" s="3"/>
      <c r="BA272" s="3"/>
      <c r="BB272" s="44"/>
      <c r="BD272" s="82"/>
      <c r="BE272" s="218"/>
      <c r="BF272" s="76"/>
      <c r="BG272" s="76"/>
      <c r="BH272" s="76"/>
      <c r="BI272" s="76"/>
      <c r="BJ272" s="76"/>
      <c r="BK272" s="76"/>
      <c r="BL272" s="76"/>
      <c r="BM272" s="77"/>
    </row>
    <row r="273" spans="8:65" x14ac:dyDescent="0.25">
      <c r="H273" s="10" t="s">
        <v>117</v>
      </c>
      <c r="I273" s="31">
        <f>I272*1.1</f>
        <v>4566.4452819497164</v>
      </c>
      <c r="J273" s="10" t="s">
        <v>113</v>
      </c>
      <c r="K273" s="10" t="s">
        <v>117</v>
      </c>
      <c r="L273" s="10" t="s">
        <v>117</v>
      </c>
      <c r="M273" s="31">
        <f>M272*1.1</f>
        <v>0</v>
      </c>
      <c r="N273" s="10" t="s">
        <v>113</v>
      </c>
      <c r="O273" s="10" t="s">
        <v>117</v>
      </c>
      <c r="P273" s="10" t="s">
        <v>113</v>
      </c>
      <c r="Q273" s="10" t="s">
        <v>117</v>
      </c>
      <c r="R273" s="31">
        <f>R272*1.1</f>
        <v>176.28303965542418</v>
      </c>
      <c r="S273" s="10" t="s">
        <v>113</v>
      </c>
      <c r="T273" s="10" t="s">
        <v>117</v>
      </c>
      <c r="U273" s="31">
        <f>U272*1.1</f>
        <v>0</v>
      </c>
      <c r="V273" s="10" t="s">
        <v>113</v>
      </c>
      <c r="Y273" s="19"/>
      <c r="Z273" t="s">
        <v>114</v>
      </c>
      <c r="AA273" s="27">
        <v>9.5</v>
      </c>
      <c r="AB273" s="27" t="s">
        <v>52</v>
      </c>
      <c r="AC273" s="27"/>
      <c r="AF273" s="21"/>
      <c r="AH273" s="14"/>
      <c r="AI273" s="16"/>
      <c r="AJ273" s="16"/>
      <c r="AK273" s="16"/>
      <c r="AL273" s="16"/>
      <c r="AM273" s="16"/>
      <c r="AN273" s="16"/>
      <c r="AO273" s="16"/>
      <c r="AP273" s="16"/>
      <c r="AQ273" s="17"/>
      <c r="AS273" s="14"/>
      <c r="AT273" s="16"/>
      <c r="AU273" s="16"/>
      <c r="AV273" s="16"/>
      <c r="AW273" s="16"/>
      <c r="AX273" s="16"/>
      <c r="AY273" s="16"/>
      <c r="AZ273" s="16"/>
      <c r="BA273" s="16"/>
      <c r="BB273" s="17"/>
      <c r="BD273" s="81"/>
      <c r="BE273" s="60"/>
      <c r="BF273" s="60"/>
      <c r="BG273" s="60"/>
      <c r="BH273" s="60"/>
      <c r="BI273" s="60"/>
      <c r="BJ273" s="60"/>
      <c r="BK273" s="60"/>
      <c r="BL273" s="60"/>
      <c r="BM273" s="61"/>
    </row>
    <row r="274" spans="8:65" ht="17.850000000000001" x14ac:dyDescent="0.35">
      <c r="Y274" s="229" t="s">
        <v>315</v>
      </c>
      <c r="Z274" s="28" t="s">
        <v>317</v>
      </c>
      <c r="AA274">
        <f>(60+94)/2</f>
        <v>77</v>
      </c>
      <c r="AB274" t="s">
        <v>92</v>
      </c>
      <c r="AD274" s="25" t="s">
        <v>118</v>
      </c>
      <c r="AE274">
        <v>2</v>
      </c>
      <c r="AF274" s="21" t="s">
        <v>92</v>
      </c>
      <c r="AH274" s="19"/>
      <c r="AI274" s="222" t="s">
        <v>138</v>
      </c>
      <c r="AK274">
        <f>1.1*AK271</f>
        <v>271.03517347021466</v>
      </c>
      <c r="AL274" t="s">
        <v>137</v>
      </c>
      <c r="AQ274" s="21"/>
      <c r="AS274" s="19"/>
      <c r="AT274" s="222" t="s">
        <v>138</v>
      </c>
      <c r="AV274">
        <f>1.1*AV271</f>
        <v>271.03517347021466</v>
      </c>
      <c r="AW274" t="s">
        <v>137</v>
      </c>
      <c r="BB274" s="21"/>
      <c r="BD274" s="62"/>
      <c r="BE274" s="211" t="s">
        <v>138</v>
      </c>
      <c r="BF274" s="63"/>
      <c r="BG274" s="63">
        <f>1.1*BG271</f>
        <v>433.58919532686963</v>
      </c>
      <c r="BH274" s="63" t="s">
        <v>137</v>
      </c>
      <c r="BI274" s="63"/>
      <c r="BJ274" s="63"/>
      <c r="BK274" s="63"/>
      <c r="BL274" s="63"/>
      <c r="BM274" s="66"/>
    </row>
    <row r="275" spans="8:65" x14ac:dyDescent="0.25">
      <c r="H275" s="10" t="s">
        <v>91</v>
      </c>
      <c r="I275" s="10">
        <v>1</v>
      </c>
      <c r="J275" s="10" t="s">
        <v>52</v>
      </c>
      <c r="K275" s="10" t="s">
        <v>91</v>
      </c>
      <c r="L275" s="10" t="s">
        <v>91</v>
      </c>
      <c r="M275" s="10">
        <v>1</v>
      </c>
      <c r="N275" s="10" t="s">
        <v>52</v>
      </c>
      <c r="O275" s="10" t="s">
        <v>91</v>
      </c>
      <c r="P275" s="10" t="s">
        <v>52</v>
      </c>
      <c r="Q275" s="10" t="s">
        <v>91</v>
      </c>
      <c r="R275" s="10">
        <f>(13.14+8)*2/12</f>
        <v>3.5233333333333334</v>
      </c>
      <c r="S275" s="10" t="s">
        <v>52</v>
      </c>
      <c r="T275" s="10" t="s">
        <v>91</v>
      </c>
      <c r="U275" s="10">
        <f>(13.14+8)*2/12</f>
        <v>3.5233333333333334</v>
      </c>
      <c r="V275" s="10" t="s">
        <v>52</v>
      </c>
      <c r="Y275" s="229"/>
      <c r="AA275">
        <f>AA274/12</f>
        <v>6.416666666666667</v>
      </c>
      <c r="AB275" t="s">
        <v>52</v>
      </c>
      <c r="AD275" s="25"/>
      <c r="AF275" s="21"/>
      <c r="AH275" s="49"/>
      <c r="AI275" s="228"/>
      <c r="AJ275" s="3"/>
      <c r="AK275" s="3"/>
      <c r="AL275" s="3"/>
      <c r="AM275" s="3"/>
      <c r="AN275" s="3"/>
      <c r="AO275" s="3"/>
      <c r="AP275" s="3"/>
      <c r="AQ275" s="44"/>
      <c r="AS275" s="49"/>
      <c r="AT275" s="228"/>
      <c r="AU275" s="3"/>
      <c r="AV275" s="3"/>
      <c r="AW275" s="3"/>
      <c r="AX275" s="3"/>
      <c r="AY275" s="3"/>
      <c r="AZ275" s="3"/>
      <c r="BA275" s="3"/>
      <c r="BB275" s="44"/>
      <c r="BD275" s="82"/>
      <c r="BE275" s="218"/>
      <c r="BF275" s="76"/>
      <c r="BG275" s="76"/>
      <c r="BH275" s="76"/>
      <c r="BI275" s="76"/>
      <c r="BJ275" s="76"/>
      <c r="BK275" s="76"/>
      <c r="BL275" s="76"/>
      <c r="BM275" s="77"/>
    </row>
    <row r="276" spans="8:65" x14ac:dyDescent="0.25">
      <c r="H276" s="10" t="s">
        <v>100</v>
      </c>
      <c r="I276" s="41">
        <v>9.5</v>
      </c>
      <c r="J276" s="10" t="s">
        <v>52</v>
      </c>
      <c r="K276" s="10" t="s">
        <v>100</v>
      </c>
      <c r="L276" s="10" t="s">
        <v>100</v>
      </c>
      <c r="M276" s="41">
        <v>9.5</v>
      </c>
      <c r="N276" s="10" t="s">
        <v>52</v>
      </c>
      <c r="O276" s="10" t="s">
        <v>100</v>
      </c>
      <c r="P276" s="10" t="s">
        <v>52</v>
      </c>
      <c r="Q276" s="10" t="s">
        <v>100</v>
      </c>
      <c r="R276" s="41">
        <v>17.920000000000002</v>
      </c>
      <c r="S276" s="10" t="s">
        <v>52</v>
      </c>
      <c r="T276" s="10" t="s">
        <v>100</v>
      </c>
      <c r="U276" s="41">
        <v>17.25</v>
      </c>
      <c r="V276" s="10" t="s">
        <v>52</v>
      </c>
      <c r="Y276" s="19"/>
      <c r="AF276" s="21"/>
      <c r="AH276" s="14"/>
      <c r="AI276" s="16"/>
      <c r="AJ276" s="16"/>
      <c r="AK276" s="16"/>
      <c r="AL276" s="16"/>
      <c r="AM276" s="16"/>
      <c r="AN276" s="16"/>
      <c r="AO276" s="16"/>
      <c r="AP276" s="16"/>
      <c r="AQ276" s="17"/>
      <c r="AS276" s="14"/>
      <c r="AT276" s="16"/>
      <c r="AU276" s="16"/>
      <c r="AV276" s="16"/>
      <c r="AW276" s="16"/>
      <c r="AX276" s="16"/>
      <c r="AY276" s="16"/>
      <c r="AZ276" s="16"/>
      <c r="BA276" s="16"/>
      <c r="BB276" s="17"/>
      <c r="BD276" s="81"/>
      <c r="BE276" s="60"/>
      <c r="BF276" s="60"/>
      <c r="BG276" s="60"/>
      <c r="BH276" s="60"/>
      <c r="BI276" s="60"/>
      <c r="BJ276" s="60"/>
      <c r="BK276" s="60"/>
      <c r="BL276" s="60"/>
      <c r="BM276" s="61"/>
    </row>
    <row r="277" spans="8:65" x14ac:dyDescent="0.25">
      <c r="H277" s="10" t="s">
        <v>106</v>
      </c>
      <c r="I277" s="33" t="s">
        <v>322</v>
      </c>
      <c r="J277" s="35"/>
      <c r="K277" s="10" t="s">
        <v>106</v>
      </c>
      <c r="L277" s="10" t="s">
        <v>106</v>
      </c>
      <c r="M277" s="33" t="s">
        <v>322</v>
      </c>
      <c r="N277" s="35"/>
      <c r="O277" s="10" t="s">
        <v>106</v>
      </c>
      <c r="P277" s="35"/>
      <c r="Q277" s="10" t="s">
        <v>106</v>
      </c>
      <c r="R277" s="33" t="s">
        <v>323</v>
      </c>
      <c r="S277" s="35"/>
      <c r="T277" s="10" t="s">
        <v>106</v>
      </c>
      <c r="U277" s="33" t="s">
        <v>323</v>
      </c>
      <c r="V277" s="35"/>
      <c r="Y277" s="19"/>
      <c r="AF277" s="21"/>
      <c r="AH277" s="19"/>
      <c r="AI277" s="222" t="s">
        <v>139</v>
      </c>
      <c r="AK277">
        <v>4</v>
      </c>
      <c r="AQ277" s="21"/>
      <c r="AS277" s="19"/>
      <c r="AT277" s="222" t="s">
        <v>139</v>
      </c>
      <c r="AV277">
        <v>4</v>
      </c>
      <c r="BB277" s="21"/>
      <c r="BD277" s="62"/>
      <c r="BE277" s="211" t="s">
        <v>139</v>
      </c>
      <c r="BF277" s="63"/>
      <c r="BG277" s="63">
        <v>2</v>
      </c>
      <c r="BH277" s="63"/>
      <c r="BI277" s="63"/>
      <c r="BJ277" s="63"/>
      <c r="BK277" s="63"/>
      <c r="BL277" s="63"/>
      <c r="BM277" s="66"/>
    </row>
    <row r="278" spans="8:65" x14ac:dyDescent="0.25">
      <c r="H278" s="10" t="s">
        <v>128</v>
      </c>
      <c r="I278" s="33">
        <v>61</v>
      </c>
      <c r="J278" s="35"/>
      <c r="K278" s="10" t="s">
        <v>128</v>
      </c>
      <c r="L278" s="10" t="s">
        <v>128</v>
      </c>
      <c r="M278" s="33">
        <v>61</v>
      </c>
      <c r="N278" s="35"/>
      <c r="O278" s="10" t="s">
        <v>128</v>
      </c>
      <c r="P278" s="35"/>
      <c r="Q278" s="10" t="s">
        <v>128</v>
      </c>
      <c r="R278" s="33">
        <v>32</v>
      </c>
      <c r="S278" s="35"/>
      <c r="T278" s="10" t="s">
        <v>128</v>
      </c>
      <c r="U278" s="33">
        <v>88</v>
      </c>
      <c r="V278" s="35"/>
      <c r="Y278" s="19"/>
      <c r="AF278" s="21"/>
      <c r="AH278" s="19"/>
      <c r="AI278" s="222"/>
      <c r="AQ278" s="21"/>
      <c r="AS278" s="19"/>
      <c r="AT278" s="222"/>
      <c r="BB278" s="21"/>
      <c r="BD278" s="62"/>
      <c r="BE278" s="211"/>
      <c r="BF278" s="63"/>
      <c r="BG278" s="63"/>
      <c r="BH278" s="63"/>
      <c r="BI278" s="63"/>
      <c r="BJ278" s="63"/>
      <c r="BK278" s="63"/>
      <c r="BL278" s="63"/>
      <c r="BM278" s="66"/>
    </row>
    <row r="279" spans="8:65" x14ac:dyDescent="0.25">
      <c r="H279" s="10" t="s">
        <v>112</v>
      </c>
      <c r="I279" s="10">
        <f>I276*I275*I278</f>
        <v>579.5</v>
      </c>
      <c r="J279" s="10" t="s">
        <v>113</v>
      </c>
      <c r="K279" s="10" t="s">
        <v>112</v>
      </c>
      <c r="L279" s="10" t="s">
        <v>112</v>
      </c>
      <c r="M279" s="10">
        <f>M276*M275*M278</f>
        <v>579.5</v>
      </c>
      <c r="N279" s="10" t="s">
        <v>113</v>
      </c>
      <c r="O279" s="10" t="s">
        <v>112</v>
      </c>
      <c r="P279" s="10" t="s">
        <v>113</v>
      </c>
      <c r="Q279" s="10" t="s">
        <v>112</v>
      </c>
      <c r="R279" s="10">
        <f>R276*R275*R278</f>
        <v>2020.420266666667</v>
      </c>
      <c r="S279" s="10" t="s">
        <v>113</v>
      </c>
      <c r="T279" s="10" t="s">
        <v>112</v>
      </c>
      <c r="U279" s="10">
        <f>U276*U275*U278</f>
        <v>5348.42</v>
      </c>
      <c r="V279" s="10" t="s">
        <v>113</v>
      </c>
      <c r="Y279" s="19"/>
      <c r="Z279">
        <f>AA275-2*(AE274/12+0.083)</f>
        <v>5.9173333333333336</v>
      </c>
      <c r="AA279" t="s">
        <v>2</v>
      </c>
      <c r="AC279">
        <f>SQRT((AB283)^2+(Z279)^2)</f>
        <v>11.192177347494891</v>
      </c>
      <c r="AD279" t="s">
        <v>2</v>
      </c>
      <c r="AF279" s="21"/>
      <c r="AH279" s="49"/>
      <c r="AI279" s="3"/>
      <c r="AJ279" s="3"/>
      <c r="AK279" s="3"/>
      <c r="AL279" s="3"/>
      <c r="AM279" s="3"/>
      <c r="AN279" s="3"/>
      <c r="AO279" s="3"/>
      <c r="AP279" s="3"/>
      <c r="AQ279" s="44"/>
      <c r="AS279" s="49"/>
      <c r="AT279" s="3"/>
      <c r="AU279" s="3"/>
      <c r="AV279" s="3"/>
      <c r="AW279" s="3"/>
      <c r="AX279" s="3"/>
      <c r="AY279" s="3"/>
      <c r="AZ279" s="3"/>
      <c r="BA279" s="3"/>
      <c r="BB279" s="44"/>
      <c r="BD279" s="82"/>
      <c r="BE279" s="76"/>
      <c r="BF279" s="76"/>
      <c r="BG279" s="76"/>
      <c r="BH279" s="76"/>
      <c r="BI279" s="76"/>
      <c r="BJ279" s="76"/>
      <c r="BK279" s="76"/>
      <c r="BL279" s="76"/>
      <c r="BM279" s="77"/>
    </row>
    <row r="280" spans="8:65" ht="18" customHeight="1" x14ac:dyDescent="0.25">
      <c r="H280" s="10" t="s">
        <v>117</v>
      </c>
      <c r="I280" s="31">
        <f>I279*1.1</f>
        <v>637.45000000000005</v>
      </c>
      <c r="J280" s="10" t="s">
        <v>113</v>
      </c>
      <c r="K280" s="10" t="s">
        <v>117</v>
      </c>
      <c r="L280" s="10" t="s">
        <v>117</v>
      </c>
      <c r="M280" s="31">
        <f>M279*1.1</f>
        <v>637.45000000000005</v>
      </c>
      <c r="N280" s="10" t="s">
        <v>113</v>
      </c>
      <c r="O280" s="10" t="s">
        <v>117</v>
      </c>
      <c r="P280" s="10" t="s">
        <v>113</v>
      </c>
      <c r="Q280" s="10" t="s">
        <v>117</v>
      </c>
      <c r="R280" s="31">
        <f>R279*1.1</f>
        <v>2222.4622933333339</v>
      </c>
      <c r="S280" s="10" t="s">
        <v>113</v>
      </c>
      <c r="T280" s="10" t="s">
        <v>117</v>
      </c>
      <c r="U280" s="31">
        <f>U279*1.1</f>
        <v>5883.2620000000006</v>
      </c>
      <c r="V280" s="10" t="s">
        <v>113</v>
      </c>
      <c r="Y280" s="19"/>
      <c r="Z280">
        <f>Z279*12</f>
        <v>71.00800000000001</v>
      </c>
      <c r="AF280" s="21"/>
      <c r="AH280" s="33"/>
      <c r="AI280" s="53" t="s">
        <v>140</v>
      </c>
      <c r="AJ280" s="34"/>
      <c r="AK280" s="51">
        <f>AK274*AK277</f>
        <v>1084.1406938808586</v>
      </c>
      <c r="AL280" s="34" t="s">
        <v>137</v>
      </c>
      <c r="AM280" s="34"/>
      <c r="AN280" s="34"/>
      <c r="AO280" s="34"/>
      <c r="AP280" s="34"/>
      <c r="AQ280" s="35"/>
      <c r="AS280" s="33"/>
      <c r="AT280" s="53" t="s">
        <v>140</v>
      </c>
      <c r="AU280" s="34"/>
      <c r="AV280" s="51">
        <f>AV274*AV277</f>
        <v>1084.1406938808586</v>
      </c>
      <c r="AW280" s="34" t="s">
        <v>137</v>
      </c>
      <c r="AX280" s="34"/>
      <c r="AY280" s="34"/>
      <c r="AZ280" s="34"/>
      <c r="BA280" s="34"/>
      <c r="BB280" s="35"/>
      <c r="BD280" s="83"/>
      <c r="BE280" s="84" t="s">
        <v>140</v>
      </c>
      <c r="BF280" s="85"/>
      <c r="BG280" s="85">
        <f>BG274*BG277</f>
        <v>867.17839065373926</v>
      </c>
      <c r="BH280" s="85" t="s">
        <v>137</v>
      </c>
      <c r="BI280" s="85"/>
      <c r="BJ280" s="85"/>
      <c r="BK280" s="85"/>
      <c r="BL280" s="85"/>
      <c r="BM280" s="86"/>
    </row>
    <row r="281" spans="8:65" x14ac:dyDescent="0.25">
      <c r="Y281" s="19"/>
      <c r="AF281" s="21"/>
    </row>
    <row r="282" spans="8:65" x14ac:dyDescent="0.25">
      <c r="Y282" s="19"/>
      <c r="AF282" s="21"/>
    </row>
    <row r="283" spans="8:65" ht="44.55" x14ac:dyDescent="0.25">
      <c r="O283" s="5" t="s">
        <v>150</v>
      </c>
      <c r="P283" s="50" t="e">
        <f>J256+Q256+J260+Q261+U261+J265+Q265+U265+I273+O273+R273+U273+O280+R280+U280</f>
        <v>#VALUE!</v>
      </c>
      <c r="Q283" t="s">
        <v>113</v>
      </c>
      <c r="Y283" s="19"/>
      <c r="AB283" s="27">
        <f>AA273</f>
        <v>9.5</v>
      </c>
      <c r="AF283" s="21"/>
    </row>
    <row r="284" spans="8:65" x14ac:dyDescent="0.25">
      <c r="Y284" s="19"/>
      <c r="AF284" s="21"/>
    </row>
    <row r="285" spans="8:65" x14ac:dyDescent="0.25">
      <c r="Y285" s="19" t="s">
        <v>129</v>
      </c>
      <c r="AB285" s="27">
        <f>(1*AB283)+(2*AC279)</f>
        <v>31.884354694989781</v>
      </c>
      <c r="AC285" t="s">
        <v>125</v>
      </c>
      <c r="AF285" s="21"/>
    </row>
    <row r="286" spans="8:65" x14ac:dyDescent="0.25">
      <c r="Y286" s="19"/>
      <c r="AF286" s="21"/>
    </row>
    <row r="287" spans="8:65" x14ac:dyDescent="0.25">
      <c r="Y287" s="48" t="s">
        <v>131</v>
      </c>
      <c r="AB287" s="1">
        <f>0.25*4*AB285</f>
        <v>31.884354694989781</v>
      </c>
      <c r="AC287" t="s">
        <v>126</v>
      </c>
      <c r="AF287" s="21"/>
    </row>
    <row r="288" spans="8:65" x14ac:dyDescent="0.25">
      <c r="Y288" s="19" t="s">
        <v>132</v>
      </c>
      <c r="AA288" t="s">
        <v>133</v>
      </c>
      <c r="AB288" s="27">
        <f>AB287*1.1</f>
        <v>35.072790164488765</v>
      </c>
      <c r="AC288" t="s">
        <v>126</v>
      </c>
      <c r="AF288" s="21"/>
    </row>
    <row r="289" spans="1:32" x14ac:dyDescent="0.25">
      <c r="Y289" s="49"/>
      <c r="Z289" s="3"/>
      <c r="AA289" s="3"/>
      <c r="AB289" s="3"/>
      <c r="AC289" s="3"/>
      <c r="AD289" s="3"/>
      <c r="AE289" s="3"/>
      <c r="AF289" s="44"/>
    </row>
    <row r="301" spans="1:32" x14ac:dyDescent="0.25">
      <c r="A301" s="2" t="s">
        <v>141</v>
      </c>
    </row>
    <row r="303" spans="1:32" x14ac:dyDescent="0.25">
      <c r="A303" t="s">
        <v>143</v>
      </c>
      <c r="D303">
        <v>41.5</v>
      </c>
      <c r="E303" t="s">
        <v>2</v>
      </c>
    </row>
    <row r="304" spans="1:32" x14ac:dyDescent="0.25">
      <c r="A304" t="s">
        <v>146</v>
      </c>
      <c r="D304">
        <v>0</v>
      </c>
      <c r="E304" t="s">
        <v>72</v>
      </c>
    </row>
    <row r="306" spans="1:5" x14ac:dyDescent="0.25">
      <c r="A306" t="s">
        <v>194</v>
      </c>
      <c r="D306" s="1">
        <f>41.5</f>
        <v>41.5</v>
      </c>
      <c r="E306" t="s">
        <v>2</v>
      </c>
    </row>
    <row r="307" spans="1:5" x14ac:dyDescent="0.25">
      <c r="A307" t="s">
        <v>195</v>
      </c>
      <c r="D307" s="3">
        <v>41.5</v>
      </c>
      <c r="E307" s="3" t="s">
        <v>2</v>
      </c>
    </row>
    <row r="308" spans="1:5" x14ac:dyDescent="0.25">
      <c r="A308" t="s">
        <v>147</v>
      </c>
      <c r="D308" s="52">
        <f>SUM(D306:D307)</f>
        <v>83</v>
      </c>
      <c r="E308" s="7" t="s">
        <v>2</v>
      </c>
    </row>
    <row r="312" spans="1:5" x14ac:dyDescent="0.25">
      <c r="A312" s="56" t="s">
        <v>306</v>
      </c>
    </row>
    <row r="314" spans="1:5" x14ac:dyDescent="0.25">
      <c r="A314" t="s">
        <v>307</v>
      </c>
      <c r="B314" t="s">
        <v>308</v>
      </c>
      <c r="C314">
        <v>1</v>
      </c>
      <c r="D314" t="s">
        <v>116</v>
      </c>
    </row>
    <row r="317" spans="1:5" x14ac:dyDescent="0.25">
      <c r="A317" s="56" t="s">
        <v>304</v>
      </c>
    </row>
    <row r="318" spans="1:5" x14ac:dyDescent="0.25">
      <c r="A318" s="56" t="s">
        <v>332</v>
      </c>
    </row>
    <row r="319" spans="1:5" x14ac:dyDescent="0.25">
      <c r="A319" t="s">
        <v>148</v>
      </c>
      <c r="C319">
        <v>5</v>
      </c>
      <c r="D319" t="s">
        <v>116</v>
      </c>
    </row>
    <row r="321" spans="1:5" x14ac:dyDescent="0.25">
      <c r="A321" t="s">
        <v>149</v>
      </c>
      <c r="C321" s="3">
        <v>5</v>
      </c>
      <c r="D321" s="3" t="s">
        <v>116</v>
      </c>
    </row>
    <row r="322" spans="1:5" x14ac:dyDescent="0.25">
      <c r="C322" s="7">
        <f>SUM(C319:C321)</f>
        <v>10</v>
      </c>
      <c r="D322" s="7" t="s">
        <v>116</v>
      </c>
    </row>
    <row r="326" spans="1:5" x14ac:dyDescent="0.25">
      <c r="A326" s="2" t="s">
        <v>41</v>
      </c>
    </row>
    <row r="327" spans="1:5" x14ac:dyDescent="0.25">
      <c r="A327" s="2"/>
    </row>
    <row r="328" spans="1:5" x14ac:dyDescent="0.25">
      <c r="A328" t="s">
        <v>305</v>
      </c>
      <c r="C328">
        <v>0</v>
      </c>
      <c r="D328" t="s">
        <v>278</v>
      </c>
    </row>
    <row r="329" spans="1:5" x14ac:dyDescent="0.25">
      <c r="A329" s="2"/>
    </row>
    <row r="330" spans="1:5" x14ac:dyDescent="0.25">
      <c r="A330" t="s">
        <v>175</v>
      </c>
    </row>
    <row r="331" spans="1:5" x14ac:dyDescent="0.25">
      <c r="A331" t="s">
        <v>37</v>
      </c>
      <c r="D331">
        <v>0</v>
      </c>
      <c r="E331" t="s">
        <v>2</v>
      </c>
    </row>
    <row r="332" spans="1:5" x14ac:dyDescent="0.25">
      <c r="A332" t="s">
        <v>38</v>
      </c>
      <c r="D332">
        <v>0</v>
      </c>
      <c r="E332" t="s">
        <v>2</v>
      </c>
    </row>
    <row r="333" spans="1:5" x14ac:dyDescent="0.25">
      <c r="A333" t="s">
        <v>43</v>
      </c>
      <c r="D333">
        <v>1</v>
      </c>
    </row>
    <row r="334" spans="1:5" x14ac:dyDescent="0.25">
      <c r="A334" t="s">
        <v>42</v>
      </c>
      <c r="C334">
        <f>D331*D332*D333</f>
        <v>0</v>
      </c>
      <c r="D334" t="s">
        <v>40</v>
      </c>
    </row>
    <row r="336" spans="1:5" x14ac:dyDescent="0.25">
      <c r="A336" t="s">
        <v>179</v>
      </c>
    </row>
    <row r="337" spans="1:5" x14ac:dyDescent="0.25">
      <c r="A337" t="s">
        <v>37</v>
      </c>
      <c r="D337">
        <v>0</v>
      </c>
      <c r="E337" t="s">
        <v>2</v>
      </c>
    </row>
    <row r="338" spans="1:5" x14ac:dyDescent="0.25">
      <c r="A338" t="s">
        <v>38</v>
      </c>
      <c r="D338">
        <v>0</v>
      </c>
      <c r="E338" t="s">
        <v>2</v>
      </c>
    </row>
    <row r="339" spans="1:5" x14ac:dyDescent="0.25">
      <c r="A339" t="s">
        <v>43</v>
      </c>
      <c r="D339">
        <v>1</v>
      </c>
    </row>
    <row r="340" spans="1:5" x14ac:dyDescent="0.25">
      <c r="A340" t="s">
        <v>42</v>
      </c>
      <c r="C340">
        <f>D337*D338*D339</f>
        <v>0</v>
      </c>
      <c r="D340" t="s">
        <v>40</v>
      </c>
    </row>
    <row r="342" spans="1:5" x14ac:dyDescent="0.25">
      <c r="A342" t="s">
        <v>182</v>
      </c>
    </row>
    <row r="343" spans="1:5" x14ac:dyDescent="0.25">
      <c r="A343" t="s">
        <v>37</v>
      </c>
      <c r="D343">
        <v>0</v>
      </c>
      <c r="E343" t="s">
        <v>2</v>
      </c>
    </row>
    <row r="344" spans="1:5" x14ac:dyDescent="0.25">
      <c r="A344" t="s">
        <v>38</v>
      </c>
      <c r="D344">
        <v>0</v>
      </c>
      <c r="E344" t="s">
        <v>2</v>
      </c>
    </row>
    <row r="345" spans="1:5" x14ac:dyDescent="0.25">
      <c r="A345" t="s">
        <v>43</v>
      </c>
      <c r="D345">
        <v>1</v>
      </c>
    </row>
    <row r="346" spans="1:5" x14ac:dyDescent="0.25">
      <c r="A346" t="s">
        <v>42</v>
      </c>
      <c r="C346">
        <f>D343*D344*D345</f>
        <v>0</v>
      </c>
      <c r="D346" t="s">
        <v>40</v>
      </c>
    </row>
    <row r="348" spans="1:5" x14ac:dyDescent="0.25">
      <c r="A348" t="s">
        <v>181</v>
      </c>
    </row>
    <row r="349" spans="1:5" x14ac:dyDescent="0.25">
      <c r="A349" t="s">
        <v>37</v>
      </c>
      <c r="D349">
        <v>0</v>
      </c>
      <c r="E349" t="s">
        <v>2</v>
      </c>
    </row>
    <row r="350" spans="1:5" x14ac:dyDescent="0.25">
      <c r="A350" t="s">
        <v>38</v>
      </c>
      <c r="D350">
        <v>0</v>
      </c>
      <c r="E350" t="s">
        <v>2</v>
      </c>
    </row>
    <row r="351" spans="1:5" x14ac:dyDescent="0.25">
      <c r="A351" t="s">
        <v>43</v>
      </c>
      <c r="D351">
        <v>1</v>
      </c>
    </row>
    <row r="352" spans="1:5" x14ac:dyDescent="0.25">
      <c r="A352" t="s">
        <v>42</v>
      </c>
      <c r="C352">
        <f>D349*D350*D351</f>
        <v>0</v>
      </c>
      <c r="D352" t="s">
        <v>40</v>
      </c>
    </row>
    <row r="354" spans="1:5" x14ac:dyDescent="0.25">
      <c r="A354" t="s">
        <v>180</v>
      </c>
      <c r="C354" s="7">
        <f>ROUNDUP(C328+C334+C340+C346+C352,0)</f>
        <v>0</v>
      </c>
      <c r="D354" s="7" t="s">
        <v>40</v>
      </c>
    </row>
    <row r="357" spans="1:5" x14ac:dyDescent="0.25">
      <c r="A357" s="56" t="s">
        <v>335</v>
      </c>
      <c r="B357" s="6"/>
      <c r="C357" s="6"/>
      <c r="D357">
        <v>38</v>
      </c>
      <c r="E357" t="s">
        <v>116</v>
      </c>
    </row>
  </sheetData>
  <mergeCells count="16">
    <mergeCell ref="Y274:Y275"/>
    <mergeCell ref="AI274:AI275"/>
    <mergeCell ref="AT274:AT275"/>
    <mergeCell ref="BE274:BE275"/>
    <mergeCell ref="A25:B26"/>
    <mergeCell ref="A41:B42"/>
    <mergeCell ref="A242:J244"/>
    <mergeCell ref="AH251:AN251"/>
    <mergeCell ref="AS251:AY251"/>
    <mergeCell ref="BD251:BJ251"/>
    <mergeCell ref="AI277:AI278"/>
    <mergeCell ref="AT277:AT278"/>
    <mergeCell ref="BE277:BE278"/>
    <mergeCell ref="AI270:AI272"/>
    <mergeCell ref="AT270:AT272"/>
    <mergeCell ref="BE270:BE272"/>
  </mergeCells>
  <pageMargins left="0.7" right="0.7" top="0.75" bottom="0.75" header="0.3" footer="0.3"/>
  <pageSetup paperSize="17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359"/>
  <sheetViews>
    <sheetView topLeftCell="A366" workbookViewId="0">
      <selection activeCell="C20" sqref="C20"/>
    </sheetView>
  </sheetViews>
  <sheetFormatPr defaultRowHeight="14.85" x14ac:dyDescent="0.25"/>
  <cols>
    <col min="3" max="3" width="20.28515625" customWidth="1"/>
    <col min="4" max="4" width="22" customWidth="1"/>
    <col min="5" max="5" width="10.7109375" customWidth="1"/>
    <col min="8" max="8" width="12.85546875" customWidth="1"/>
    <col min="9" max="9" width="10.42578125" customWidth="1"/>
    <col min="11" max="11" width="12.85546875" customWidth="1"/>
    <col min="12" max="12" width="12.140625" customWidth="1"/>
    <col min="13" max="13" width="14.42578125" customWidth="1"/>
    <col min="14" max="14" width="14" customWidth="1"/>
    <col min="15" max="20" width="12.85546875" customWidth="1"/>
    <col min="22" max="23" width="13.42578125" customWidth="1"/>
    <col min="24" max="24" width="11" customWidth="1"/>
    <col min="32" max="32" width="14.42578125" customWidth="1"/>
    <col min="43" max="43" width="17.28515625" customWidth="1"/>
    <col min="54" max="54" width="16.5703125" customWidth="1"/>
  </cols>
  <sheetData>
    <row r="1" spans="1:13" x14ac:dyDescent="0.25">
      <c r="A1" s="56" t="s">
        <v>44</v>
      </c>
    </row>
    <row r="3" spans="1:13" x14ac:dyDescent="0.25">
      <c r="A3" t="s">
        <v>303</v>
      </c>
      <c r="C3">
        <f>2*(877*2)</f>
        <v>3508</v>
      </c>
    </row>
    <row r="4" spans="1:13" x14ac:dyDescent="0.25">
      <c r="A4" t="s">
        <v>45</v>
      </c>
      <c r="C4">
        <f>84+2*(2*22)</f>
        <v>172</v>
      </c>
    </row>
    <row r="5" spans="1:13" x14ac:dyDescent="0.25">
      <c r="A5" t="s">
        <v>46</v>
      </c>
      <c r="C5" s="3">
        <f>84+2*(2*22)</f>
        <v>172</v>
      </c>
    </row>
    <row r="6" spans="1:13" x14ac:dyDescent="0.25">
      <c r="C6" s="7">
        <f>SUM(C3:C5)</f>
        <v>3852</v>
      </c>
      <c r="D6" t="s">
        <v>116</v>
      </c>
    </row>
    <row r="9" spans="1:13" x14ac:dyDescent="0.25">
      <c r="A9" s="56" t="s">
        <v>284</v>
      </c>
      <c r="K9" t="s">
        <v>277</v>
      </c>
      <c r="L9">
        <v>4.37</v>
      </c>
      <c r="M9" t="s">
        <v>278</v>
      </c>
    </row>
    <row r="10" spans="1:13" x14ac:dyDescent="0.25">
      <c r="A10" s="2"/>
    </row>
    <row r="11" spans="1:13" x14ac:dyDescent="0.25">
      <c r="A11" s="6" t="s">
        <v>291</v>
      </c>
    </row>
    <row r="12" spans="1:13" x14ac:dyDescent="0.25">
      <c r="A12" t="s">
        <v>292</v>
      </c>
      <c r="D12">
        <v>4.37</v>
      </c>
      <c r="E12" t="s">
        <v>278</v>
      </c>
    </row>
    <row r="13" spans="1:13" x14ac:dyDescent="0.25">
      <c r="A13" t="s">
        <v>293</v>
      </c>
      <c r="D13">
        <v>876.2</v>
      </c>
      <c r="E13" t="s">
        <v>2</v>
      </c>
    </row>
    <row r="14" spans="1:13" x14ac:dyDescent="0.25">
      <c r="A14" t="s">
        <v>294</v>
      </c>
      <c r="D14">
        <v>2</v>
      </c>
      <c r="E14" t="s">
        <v>116</v>
      </c>
    </row>
    <row r="15" spans="1:13" x14ac:dyDescent="0.25">
      <c r="A15" t="s">
        <v>56</v>
      </c>
      <c r="D15">
        <f>D12*D13*D14</f>
        <v>7657.9880000000003</v>
      </c>
      <c r="E15" t="s">
        <v>295</v>
      </c>
    </row>
    <row r="16" spans="1:13" x14ac:dyDescent="0.25">
      <c r="D16">
        <f>ROUNDUP(D15/27,0)</f>
        <v>284</v>
      </c>
      <c r="E16" t="s">
        <v>8</v>
      </c>
    </row>
    <row r="18" spans="1:13" x14ac:dyDescent="0.25">
      <c r="A18" s="6" t="s">
        <v>289</v>
      </c>
      <c r="K18" t="s">
        <v>279</v>
      </c>
      <c r="L18">
        <v>41.27</v>
      </c>
      <c r="M18" t="s">
        <v>278</v>
      </c>
    </row>
    <row r="20" spans="1:13" x14ac:dyDescent="0.25">
      <c r="A20" t="s">
        <v>142</v>
      </c>
      <c r="D20">
        <v>3</v>
      </c>
      <c r="E20" t="s">
        <v>2</v>
      </c>
    </row>
    <row r="21" spans="1:13" x14ac:dyDescent="0.25">
      <c r="A21" t="s">
        <v>143</v>
      </c>
      <c r="D21">
        <v>41.5</v>
      </c>
      <c r="E21" t="s">
        <v>2</v>
      </c>
    </row>
    <row r="22" spans="1:13" x14ac:dyDescent="0.25">
      <c r="A22" t="s">
        <v>283</v>
      </c>
      <c r="D22">
        <v>9</v>
      </c>
      <c r="E22" t="s">
        <v>49</v>
      </c>
    </row>
    <row r="23" spans="1:13" x14ac:dyDescent="0.25">
      <c r="A23" t="s">
        <v>287</v>
      </c>
      <c r="D23">
        <v>2.5</v>
      </c>
      <c r="E23" t="s">
        <v>49</v>
      </c>
    </row>
    <row r="24" spans="1:13" x14ac:dyDescent="0.25">
      <c r="A24" t="s">
        <v>144</v>
      </c>
      <c r="D24">
        <v>11.55</v>
      </c>
      <c r="E24" t="s">
        <v>49</v>
      </c>
    </row>
    <row r="25" spans="1:13" x14ac:dyDescent="0.25">
      <c r="A25" s="222" t="s">
        <v>50</v>
      </c>
      <c r="B25" s="222"/>
      <c r="K25" t="s">
        <v>280</v>
      </c>
      <c r="L25" t="s">
        <v>281</v>
      </c>
    </row>
    <row r="26" spans="1:13" x14ac:dyDescent="0.25">
      <c r="A26" s="222"/>
      <c r="B26" s="222"/>
      <c r="D26">
        <v>2.5</v>
      </c>
      <c r="E26" t="s">
        <v>49</v>
      </c>
    </row>
    <row r="27" spans="1:13" x14ac:dyDescent="0.25">
      <c r="A27" t="s">
        <v>145</v>
      </c>
      <c r="D27">
        <v>2</v>
      </c>
      <c r="E27" t="s">
        <v>2</v>
      </c>
    </row>
    <row r="28" spans="1:13" x14ac:dyDescent="0.25">
      <c r="A28" t="s">
        <v>286</v>
      </c>
      <c r="D28">
        <v>1.333</v>
      </c>
      <c r="E28" t="s">
        <v>2</v>
      </c>
    </row>
    <row r="29" spans="1:13" x14ac:dyDescent="0.25">
      <c r="K29" t="s">
        <v>282</v>
      </c>
      <c r="L29">
        <v>63.3</v>
      </c>
      <c r="M29" t="s">
        <v>278</v>
      </c>
    </row>
    <row r="30" spans="1:13" x14ac:dyDescent="0.25">
      <c r="A30" t="s">
        <v>51</v>
      </c>
      <c r="D30">
        <f>(D20*D21*(D24/12))+(3*(D22/12+D28)*D23/12)+(2*(D20*(D22/12+D27+(D28/(2*12))*D26)))</f>
        <v>138.46625</v>
      </c>
      <c r="E30" t="s">
        <v>13</v>
      </c>
    </row>
    <row r="31" spans="1:13" x14ac:dyDescent="0.25">
      <c r="D31">
        <f>D30/27</f>
        <v>5.12837962962963</v>
      </c>
      <c r="E31" t="s">
        <v>8</v>
      </c>
    </row>
    <row r="34" spans="1:5" x14ac:dyDescent="0.25">
      <c r="A34" s="6" t="s">
        <v>290</v>
      </c>
    </row>
    <row r="36" spans="1:5" x14ac:dyDescent="0.25">
      <c r="A36" t="s">
        <v>142</v>
      </c>
      <c r="D36">
        <v>3</v>
      </c>
      <c r="E36" t="s">
        <v>2</v>
      </c>
    </row>
    <row r="37" spans="1:5" x14ac:dyDescent="0.25">
      <c r="A37" t="s">
        <v>143</v>
      </c>
      <c r="D37">
        <v>41.5</v>
      </c>
      <c r="E37" t="s">
        <v>2</v>
      </c>
    </row>
    <row r="38" spans="1:5" x14ac:dyDescent="0.25">
      <c r="A38" t="s">
        <v>283</v>
      </c>
      <c r="D38">
        <v>9</v>
      </c>
      <c r="E38" t="s">
        <v>49</v>
      </c>
    </row>
    <row r="39" spans="1:5" ht="15.05" customHeight="1" x14ac:dyDescent="0.25">
      <c r="A39" t="s">
        <v>287</v>
      </c>
      <c r="D39">
        <v>2.5</v>
      </c>
      <c r="E39" t="s">
        <v>49</v>
      </c>
    </row>
    <row r="40" spans="1:5" x14ac:dyDescent="0.25">
      <c r="A40" t="s">
        <v>144</v>
      </c>
      <c r="D40">
        <v>11.55</v>
      </c>
      <c r="E40" t="s">
        <v>49</v>
      </c>
    </row>
    <row r="41" spans="1:5" x14ac:dyDescent="0.25">
      <c r="A41" s="222" t="s">
        <v>50</v>
      </c>
      <c r="B41" s="222"/>
    </row>
    <row r="42" spans="1:5" x14ac:dyDescent="0.25">
      <c r="A42" s="222"/>
      <c r="B42" s="222"/>
      <c r="D42">
        <v>2.5</v>
      </c>
      <c r="E42" t="s">
        <v>49</v>
      </c>
    </row>
    <row r="43" spans="1:5" x14ac:dyDescent="0.25">
      <c r="A43" t="s">
        <v>145</v>
      </c>
      <c r="D43">
        <v>2</v>
      </c>
      <c r="E43" t="s">
        <v>2</v>
      </c>
    </row>
    <row r="44" spans="1:5" x14ac:dyDescent="0.25">
      <c r="A44" t="s">
        <v>286</v>
      </c>
      <c r="D44">
        <v>1.333</v>
      </c>
      <c r="E44" t="s">
        <v>2</v>
      </c>
    </row>
    <row r="46" spans="1:5" x14ac:dyDescent="0.25">
      <c r="A46" t="s">
        <v>51</v>
      </c>
      <c r="D46">
        <f>(D36*D37*(D40/12))+(3*(D38/12+D44)*D39/12)+(2*(D36*(D38/12+D43+(D44/(2*12))*D42)))</f>
        <v>138.46625</v>
      </c>
      <c r="E46" t="s">
        <v>13</v>
      </c>
    </row>
    <row r="47" spans="1:5" x14ac:dyDescent="0.25">
      <c r="D47">
        <f>D46/27</f>
        <v>5.12837962962963</v>
      </c>
      <c r="E47" t="s">
        <v>8</v>
      </c>
    </row>
    <row r="49" spans="1:5" x14ac:dyDescent="0.25">
      <c r="A49" s="7" t="s">
        <v>28</v>
      </c>
      <c r="B49" s="7"/>
      <c r="C49" s="7"/>
      <c r="D49" s="7">
        <f>ROUNDUP(D16+D31+D47,0)</f>
        <v>295</v>
      </c>
      <c r="E49" s="7" t="s">
        <v>8</v>
      </c>
    </row>
    <row r="51" spans="1:5" x14ac:dyDescent="0.25">
      <c r="A51" s="56" t="s">
        <v>285</v>
      </c>
    </row>
    <row r="53" spans="1:5" x14ac:dyDescent="0.25">
      <c r="A53" s="6" t="s">
        <v>291</v>
      </c>
    </row>
    <row r="54" spans="1:5" x14ac:dyDescent="0.25">
      <c r="A54" t="s">
        <v>292</v>
      </c>
      <c r="D54">
        <v>4.37</v>
      </c>
      <c r="E54" t="s">
        <v>278</v>
      </c>
    </row>
    <row r="55" spans="1:5" x14ac:dyDescent="0.25">
      <c r="A55" t="s">
        <v>293</v>
      </c>
      <c r="D55">
        <v>8</v>
      </c>
      <c r="E55" t="s">
        <v>2</v>
      </c>
    </row>
    <row r="56" spans="1:5" x14ac:dyDescent="0.25">
      <c r="A56" t="s">
        <v>294</v>
      </c>
      <c r="D56">
        <v>4</v>
      </c>
      <c r="E56" t="s">
        <v>116</v>
      </c>
    </row>
    <row r="57" spans="1:5" x14ac:dyDescent="0.25">
      <c r="A57" t="s">
        <v>296</v>
      </c>
      <c r="D57">
        <v>2</v>
      </c>
      <c r="E57" t="s">
        <v>297</v>
      </c>
    </row>
    <row r="58" spans="1:5" x14ac:dyDescent="0.25">
      <c r="A58" t="s">
        <v>298</v>
      </c>
      <c r="D58">
        <v>4</v>
      </c>
      <c r="E58" t="s">
        <v>116</v>
      </c>
    </row>
    <row r="60" spans="1:5" x14ac:dyDescent="0.25">
      <c r="A60" t="s">
        <v>56</v>
      </c>
      <c r="D60">
        <f>(D54*D55*D56/27)+(D57*D58)</f>
        <v>13.179259259259259</v>
      </c>
      <c r="E60" t="s">
        <v>8</v>
      </c>
    </row>
    <row r="63" spans="1:5" x14ac:dyDescent="0.25">
      <c r="A63" s="6" t="s">
        <v>48</v>
      </c>
    </row>
    <row r="65" spans="1:5" x14ac:dyDescent="0.25">
      <c r="A65" t="s">
        <v>54</v>
      </c>
      <c r="D65">
        <v>1.25</v>
      </c>
      <c r="E65" t="s">
        <v>2</v>
      </c>
    </row>
    <row r="66" spans="1:5" x14ac:dyDescent="0.25">
      <c r="A66" t="s">
        <v>55</v>
      </c>
      <c r="D66">
        <v>41.5</v>
      </c>
      <c r="E66" t="s">
        <v>2</v>
      </c>
    </row>
    <row r="67" spans="1:5" x14ac:dyDescent="0.25">
      <c r="A67" t="s">
        <v>288</v>
      </c>
      <c r="D67">
        <v>1.7</v>
      </c>
      <c r="E67" t="s">
        <v>2</v>
      </c>
    </row>
    <row r="69" spans="1:5" x14ac:dyDescent="0.25">
      <c r="A69" t="s">
        <v>56</v>
      </c>
      <c r="D69">
        <f>D65*D66*D67</f>
        <v>88.1875</v>
      </c>
      <c r="E69" t="s">
        <v>13</v>
      </c>
    </row>
    <row r="70" spans="1:5" x14ac:dyDescent="0.25">
      <c r="D70">
        <f>D69/27</f>
        <v>3.2662037037037037</v>
      </c>
      <c r="E70" t="s">
        <v>8</v>
      </c>
    </row>
    <row r="72" spans="1:5" x14ac:dyDescent="0.25">
      <c r="A72" s="6" t="s">
        <v>53</v>
      </c>
    </row>
    <row r="74" spans="1:5" x14ac:dyDescent="0.25">
      <c r="A74" t="s">
        <v>54</v>
      </c>
      <c r="D74">
        <v>1.25</v>
      </c>
      <c r="E74" t="s">
        <v>2</v>
      </c>
    </row>
    <row r="75" spans="1:5" x14ac:dyDescent="0.25">
      <c r="A75" t="s">
        <v>55</v>
      </c>
      <c r="D75">
        <v>41.5</v>
      </c>
      <c r="E75" t="s">
        <v>2</v>
      </c>
    </row>
    <row r="76" spans="1:5" x14ac:dyDescent="0.25">
      <c r="A76" t="s">
        <v>288</v>
      </c>
      <c r="D76">
        <v>1.7</v>
      </c>
      <c r="E76" t="s">
        <v>2</v>
      </c>
    </row>
    <row r="78" spans="1:5" x14ac:dyDescent="0.25">
      <c r="A78" t="s">
        <v>56</v>
      </c>
      <c r="D78">
        <f>D74*D75*D76</f>
        <v>88.1875</v>
      </c>
      <c r="E78" t="s">
        <v>13</v>
      </c>
    </row>
    <row r="79" spans="1:5" x14ac:dyDescent="0.25">
      <c r="D79">
        <f>D78/27</f>
        <v>3.2662037037037037</v>
      </c>
      <c r="E79" t="s">
        <v>8</v>
      </c>
    </row>
    <row r="81" spans="1:5" x14ac:dyDescent="0.25">
      <c r="A81" s="7" t="s">
        <v>57</v>
      </c>
      <c r="B81" s="7"/>
      <c r="C81" s="7"/>
      <c r="D81" s="7">
        <f>ROUNDUP((D60+D70+D79),0)</f>
        <v>20</v>
      </c>
      <c r="E81" s="7" t="s">
        <v>8</v>
      </c>
    </row>
    <row r="85" spans="1:5" x14ac:dyDescent="0.25">
      <c r="B85" s="6"/>
      <c r="C85" s="6"/>
      <c r="D85" s="6"/>
      <c r="E85" s="6"/>
    </row>
    <row r="86" spans="1:5" x14ac:dyDescent="0.25">
      <c r="A86" s="56" t="s">
        <v>58</v>
      </c>
      <c r="B86" s="6"/>
      <c r="C86" s="6"/>
      <c r="D86" s="6"/>
      <c r="E86" s="6"/>
    </row>
    <row r="87" spans="1:5" x14ac:dyDescent="0.25">
      <c r="A87" s="2"/>
    </row>
    <row r="88" spans="1:5" x14ac:dyDescent="0.25">
      <c r="A88" s="3" t="s">
        <v>299</v>
      </c>
      <c r="B88" s="3"/>
    </row>
    <row r="89" spans="1:5" x14ac:dyDescent="0.25">
      <c r="A89" t="s">
        <v>60</v>
      </c>
      <c r="D89">
        <v>876</v>
      </c>
      <c r="E89" t="s">
        <v>2</v>
      </c>
    </row>
    <row r="90" spans="1:5" x14ac:dyDescent="0.25">
      <c r="A90" t="s">
        <v>248</v>
      </c>
      <c r="D90">
        <v>10.5</v>
      </c>
      <c r="E90" t="s">
        <v>2</v>
      </c>
    </row>
    <row r="91" spans="1:5" x14ac:dyDescent="0.25">
      <c r="A91" t="s">
        <v>61</v>
      </c>
      <c r="D91">
        <v>2</v>
      </c>
    </row>
    <row r="92" spans="1:5" x14ac:dyDescent="0.25">
      <c r="A92" t="s">
        <v>62</v>
      </c>
      <c r="D92">
        <f>D89*D90*D91</f>
        <v>18396</v>
      </c>
      <c r="E92" t="s">
        <v>40</v>
      </c>
    </row>
    <row r="93" spans="1:5" x14ac:dyDescent="0.25">
      <c r="D93">
        <f>D92/9</f>
        <v>2044</v>
      </c>
      <c r="E93" t="s">
        <v>24</v>
      </c>
    </row>
    <row r="95" spans="1:5" x14ac:dyDescent="0.25">
      <c r="A95" s="6" t="s">
        <v>63</v>
      </c>
    </row>
    <row r="96" spans="1:5" x14ac:dyDescent="0.25">
      <c r="A96" t="s">
        <v>64</v>
      </c>
      <c r="D96">
        <v>0</v>
      </c>
    </row>
    <row r="97" spans="1:5" x14ac:dyDescent="0.25">
      <c r="A97" t="s">
        <v>76</v>
      </c>
      <c r="D97">
        <v>3</v>
      </c>
      <c r="E97" t="s">
        <v>2</v>
      </c>
    </row>
    <row r="98" spans="1:5" x14ac:dyDescent="0.25">
      <c r="A98" t="s">
        <v>65</v>
      </c>
      <c r="D98">
        <f>D97*4</f>
        <v>12</v>
      </c>
      <c r="E98" t="s">
        <v>40</v>
      </c>
    </row>
    <row r="99" spans="1:5" x14ac:dyDescent="0.25">
      <c r="A99" t="s">
        <v>68</v>
      </c>
      <c r="D99">
        <v>2</v>
      </c>
    </row>
    <row r="101" spans="1:5" x14ac:dyDescent="0.25">
      <c r="A101" t="s">
        <v>66</v>
      </c>
      <c r="D101">
        <f>D97*3</f>
        <v>9</v>
      </c>
      <c r="E101" t="s">
        <v>40</v>
      </c>
    </row>
    <row r="102" spans="1:5" x14ac:dyDescent="0.25">
      <c r="A102" t="s">
        <v>69</v>
      </c>
      <c r="D102">
        <v>2</v>
      </c>
    </row>
    <row r="104" spans="1:5" x14ac:dyDescent="0.25">
      <c r="A104" t="s">
        <v>67</v>
      </c>
      <c r="D104">
        <f>D97*(4+5.5)/2</f>
        <v>14.25</v>
      </c>
      <c r="E104" t="s">
        <v>40</v>
      </c>
    </row>
    <row r="105" spans="1:5" x14ac:dyDescent="0.25">
      <c r="A105" t="s">
        <v>70</v>
      </c>
      <c r="D105">
        <v>4</v>
      </c>
    </row>
    <row r="107" spans="1:5" x14ac:dyDescent="0.25">
      <c r="A107" t="s">
        <v>71</v>
      </c>
    </row>
    <row r="108" spans="1:5" x14ac:dyDescent="0.25">
      <c r="A108" t="s">
        <v>73</v>
      </c>
      <c r="D108">
        <f>ATAN(7.5/15)*180/PI()</f>
        <v>26.56505117707799</v>
      </c>
      <c r="E108" t="s">
        <v>72</v>
      </c>
    </row>
    <row r="109" spans="1:5" x14ac:dyDescent="0.25">
      <c r="A109" t="s">
        <v>74</v>
      </c>
      <c r="D109">
        <f>3/COS(D108*PI()/180)</f>
        <v>3.3541019662496847</v>
      </c>
      <c r="E109" t="s">
        <v>2</v>
      </c>
    </row>
    <row r="110" spans="1:5" x14ac:dyDescent="0.25">
      <c r="A110" t="s">
        <v>75</v>
      </c>
      <c r="D110">
        <f>D97*D109</f>
        <v>10.062305898749054</v>
      </c>
      <c r="E110" t="s">
        <v>40</v>
      </c>
    </row>
    <row r="111" spans="1:5" x14ac:dyDescent="0.25">
      <c r="A111" t="s">
        <v>77</v>
      </c>
      <c r="D111">
        <v>2</v>
      </c>
    </row>
    <row r="113" spans="1:8" x14ac:dyDescent="0.25">
      <c r="A113" t="s">
        <v>78</v>
      </c>
      <c r="D113">
        <f>D96*(D98*D99+D101*D102+D104*D105+D110*D111)</f>
        <v>0</v>
      </c>
      <c r="E113" t="s">
        <v>40</v>
      </c>
    </row>
    <row r="114" spans="1:8" x14ac:dyDescent="0.25">
      <c r="D114">
        <f>D113/9</f>
        <v>0</v>
      </c>
      <c r="E114" t="s">
        <v>24</v>
      </c>
    </row>
    <row r="116" spans="1:8" x14ac:dyDescent="0.25">
      <c r="A116" s="3" t="s">
        <v>80</v>
      </c>
      <c r="B116" s="3"/>
      <c r="C116" s="3"/>
      <c r="D116" s="3"/>
      <c r="E116" s="3"/>
      <c r="F116" s="3"/>
      <c r="G116" s="3"/>
      <c r="H116" s="3"/>
    </row>
    <row r="118" spans="1:8" x14ac:dyDescent="0.25">
      <c r="A118" t="s">
        <v>81</v>
      </c>
      <c r="D118">
        <v>2</v>
      </c>
      <c r="E118" t="s">
        <v>2</v>
      </c>
    </row>
    <row r="119" spans="1:8" x14ac:dyDescent="0.25">
      <c r="A119" t="s">
        <v>82</v>
      </c>
      <c r="D119">
        <v>41.5</v>
      </c>
      <c r="E119" t="s">
        <v>2</v>
      </c>
    </row>
    <row r="120" spans="1:8" x14ac:dyDescent="0.25">
      <c r="A120" t="s">
        <v>276</v>
      </c>
      <c r="D120">
        <v>3</v>
      </c>
      <c r="E120" t="s">
        <v>2</v>
      </c>
    </row>
    <row r="121" spans="1:8" x14ac:dyDescent="0.25">
      <c r="A121" t="s">
        <v>88</v>
      </c>
      <c r="D121">
        <v>1.75</v>
      </c>
      <c r="E121" t="s">
        <v>2</v>
      </c>
    </row>
    <row r="122" spans="1:8" x14ac:dyDescent="0.25">
      <c r="A122" t="s">
        <v>275</v>
      </c>
      <c r="D122">
        <v>7.66</v>
      </c>
      <c r="E122" t="s">
        <v>2</v>
      </c>
    </row>
    <row r="124" spans="1:8" x14ac:dyDescent="0.25">
      <c r="A124" t="s">
        <v>84</v>
      </c>
      <c r="D124">
        <f>D119*D120</f>
        <v>124.5</v>
      </c>
      <c r="E124" t="s">
        <v>40</v>
      </c>
    </row>
    <row r="125" spans="1:8" x14ac:dyDescent="0.25">
      <c r="A125" t="s">
        <v>85</v>
      </c>
      <c r="D125">
        <f>D119*D118</f>
        <v>83</v>
      </c>
      <c r="E125" t="s">
        <v>40</v>
      </c>
    </row>
    <row r="126" spans="1:8" x14ac:dyDescent="0.25">
      <c r="A126" t="s">
        <v>86</v>
      </c>
      <c r="D126">
        <f>2*(D118*D120)</f>
        <v>12</v>
      </c>
      <c r="E126" t="s">
        <v>40</v>
      </c>
    </row>
    <row r="128" spans="1:8" ht="15.05" customHeight="1" x14ac:dyDescent="0.25">
      <c r="A128" s="29" t="s">
        <v>300</v>
      </c>
      <c r="B128" s="5"/>
      <c r="D128">
        <f>D122*D119</f>
        <v>317.89</v>
      </c>
      <c r="E128" t="s">
        <v>40</v>
      </c>
    </row>
    <row r="129" spans="1:8" x14ac:dyDescent="0.25">
      <c r="A129" s="5"/>
      <c r="B129" s="5"/>
      <c r="H129" s="54"/>
    </row>
    <row r="130" spans="1:8" x14ac:dyDescent="0.25">
      <c r="A130" s="4"/>
      <c r="B130" s="4"/>
    </row>
    <row r="131" spans="1:8" ht="15.05" customHeight="1" x14ac:dyDescent="0.25">
      <c r="A131" s="29" t="s">
        <v>301</v>
      </c>
      <c r="B131" s="55"/>
      <c r="D131">
        <f>122</f>
        <v>122</v>
      </c>
      <c r="E131" t="s">
        <v>87</v>
      </c>
    </row>
    <row r="132" spans="1:8" x14ac:dyDescent="0.25">
      <c r="A132" s="29" t="s">
        <v>302</v>
      </c>
      <c r="B132" s="55"/>
      <c r="D132">
        <v>2</v>
      </c>
      <c r="E132" t="s">
        <v>116</v>
      </c>
    </row>
    <row r="133" spans="1:8" x14ac:dyDescent="0.25">
      <c r="A133" s="55"/>
      <c r="B133" s="55"/>
    </row>
    <row r="135" spans="1:8" x14ac:dyDescent="0.25">
      <c r="A135" t="s">
        <v>78</v>
      </c>
      <c r="D135">
        <f>D124+D125+D126+D128+(D131*D132)</f>
        <v>781.39</v>
      </c>
      <c r="E135" t="s">
        <v>40</v>
      </c>
    </row>
    <row r="136" spans="1:8" x14ac:dyDescent="0.25">
      <c r="D136">
        <f>D135/9</f>
        <v>86.821111111111108</v>
      </c>
      <c r="E136" t="s">
        <v>24</v>
      </c>
    </row>
    <row r="139" spans="1:8" x14ac:dyDescent="0.25">
      <c r="A139" s="3" t="s">
        <v>89</v>
      </c>
      <c r="B139" s="3"/>
      <c r="C139" s="3"/>
      <c r="D139" s="3"/>
      <c r="E139" s="3"/>
      <c r="F139" s="3"/>
      <c r="G139" s="3"/>
      <c r="H139" s="3"/>
    </row>
    <row r="141" spans="1:8" x14ac:dyDescent="0.25">
      <c r="A141" t="s">
        <v>81</v>
      </c>
      <c r="D141">
        <v>2</v>
      </c>
      <c r="E141" t="s">
        <v>2</v>
      </c>
    </row>
    <row r="142" spans="1:8" x14ac:dyDescent="0.25">
      <c r="A142" t="s">
        <v>82</v>
      </c>
      <c r="D142">
        <v>41.5</v>
      </c>
      <c r="E142" t="s">
        <v>2</v>
      </c>
    </row>
    <row r="143" spans="1:8" x14ac:dyDescent="0.25">
      <c r="A143" t="s">
        <v>276</v>
      </c>
      <c r="D143">
        <v>3</v>
      </c>
      <c r="E143" t="s">
        <v>2</v>
      </c>
    </row>
    <row r="144" spans="1:8" x14ac:dyDescent="0.25">
      <c r="A144" t="s">
        <v>88</v>
      </c>
      <c r="D144">
        <v>1.75</v>
      </c>
      <c r="E144" t="s">
        <v>2</v>
      </c>
    </row>
    <row r="145" spans="1:5" x14ac:dyDescent="0.25">
      <c r="A145" t="s">
        <v>275</v>
      </c>
      <c r="D145">
        <v>7.66</v>
      </c>
      <c r="E145" t="s">
        <v>2</v>
      </c>
    </row>
    <row r="147" spans="1:5" x14ac:dyDescent="0.25">
      <c r="A147" t="s">
        <v>84</v>
      </c>
      <c r="D147">
        <f>D142*D143</f>
        <v>124.5</v>
      </c>
      <c r="E147" t="s">
        <v>40</v>
      </c>
    </row>
    <row r="148" spans="1:5" x14ac:dyDescent="0.25">
      <c r="A148" t="s">
        <v>85</v>
      </c>
      <c r="D148">
        <f>D142*D141</f>
        <v>83</v>
      </c>
      <c r="E148" t="s">
        <v>40</v>
      </c>
    </row>
    <row r="149" spans="1:5" x14ac:dyDescent="0.25">
      <c r="A149" t="s">
        <v>86</v>
      </c>
      <c r="D149">
        <f>2*(D141*D143)</f>
        <v>12</v>
      </c>
      <c r="E149" t="s">
        <v>40</v>
      </c>
    </row>
    <row r="150" spans="1:5" ht="15.05" customHeight="1" x14ac:dyDescent="0.25"/>
    <row r="151" spans="1:5" x14ac:dyDescent="0.25">
      <c r="A151" s="29" t="s">
        <v>300</v>
      </c>
      <c r="B151" s="5"/>
      <c r="D151">
        <f>D145*D142</f>
        <v>317.89</v>
      </c>
      <c r="E151" t="s">
        <v>40</v>
      </c>
    </row>
    <row r="152" spans="1:5" x14ac:dyDescent="0.25">
      <c r="A152" s="5"/>
      <c r="B152" s="5"/>
    </row>
    <row r="153" spans="1:5" ht="15.05" customHeight="1" x14ac:dyDescent="0.25">
      <c r="A153" s="4"/>
      <c r="B153" s="4"/>
    </row>
    <row r="154" spans="1:5" x14ac:dyDescent="0.25">
      <c r="A154" s="29" t="s">
        <v>301</v>
      </c>
      <c r="B154" s="55"/>
      <c r="D154">
        <f>122</f>
        <v>122</v>
      </c>
      <c r="E154" t="s">
        <v>87</v>
      </c>
    </row>
    <row r="155" spans="1:5" x14ac:dyDescent="0.25">
      <c r="A155" s="29" t="s">
        <v>302</v>
      </c>
      <c r="B155" s="55"/>
      <c r="D155">
        <v>2</v>
      </c>
      <c r="E155" t="s">
        <v>116</v>
      </c>
    </row>
    <row r="156" spans="1:5" x14ac:dyDescent="0.25">
      <c r="A156" s="55"/>
      <c r="B156" s="55"/>
    </row>
    <row r="158" spans="1:5" x14ac:dyDescent="0.25">
      <c r="A158" t="s">
        <v>78</v>
      </c>
      <c r="D158">
        <f>D147+D148+D149+D151+(D154*D155)</f>
        <v>781.39</v>
      </c>
      <c r="E158" t="s">
        <v>40</v>
      </c>
    </row>
    <row r="159" spans="1:5" x14ac:dyDescent="0.25">
      <c r="D159">
        <f>D158/9</f>
        <v>86.821111111111108</v>
      </c>
      <c r="E159" t="s">
        <v>24</v>
      </c>
    </row>
    <row r="161" spans="1:8" x14ac:dyDescent="0.25">
      <c r="A161" s="7" t="s">
        <v>90</v>
      </c>
      <c r="B161" s="7"/>
      <c r="C161" s="7"/>
      <c r="D161" s="7">
        <f>ROUNDUP(D93+D114+D136+D159,0)</f>
        <v>2218</v>
      </c>
      <c r="E161" s="7" t="s">
        <v>24</v>
      </c>
    </row>
    <row r="164" spans="1:8" x14ac:dyDescent="0.25">
      <c r="A164" s="56" t="s">
        <v>79</v>
      </c>
    </row>
    <row r="166" spans="1:8" x14ac:dyDescent="0.25">
      <c r="A166" s="3" t="s">
        <v>299</v>
      </c>
      <c r="B166" s="3"/>
    </row>
    <row r="167" spans="1:8" x14ac:dyDescent="0.25">
      <c r="A167" t="s">
        <v>60</v>
      </c>
      <c r="D167">
        <v>876</v>
      </c>
      <c r="E167" t="s">
        <v>2</v>
      </c>
    </row>
    <row r="168" spans="1:8" x14ac:dyDescent="0.25">
      <c r="A168" t="s">
        <v>248</v>
      </c>
      <c r="D168">
        <v>3</v>
      </c>
      <c r="E168" t="s">
        <v>2</v>
      </c>
    </row>
    <row r="169" spans="1:8" x14ac:dyDescent="0.25">
      <c r="A169" t="s">
        <v>61</v>
      </c>
      <c r="D169">
        <v>2</v>
      </c>
    </row>
    <row r="170" spans="1:8" x14ac:dyDescent="0.25">
      <c r="A170" t="s">
        <v>62</v>
      </c>
      <c r="D170">
        <f>D167*D168*D169</f>
        <v>5256</v>
      </c>
      <c r="E170" t="s">
        <v>40</v>
      </c>
    </row>
    <row r="171" spans="1:8" x14ac:dyDescent="0.25">
      <c r="D171">
        <f>D170/9</f>
        <v>584</v>
      </c>
      <c r="E171" t="s">
        <v>24</v>
      </c>
    </row>
    <row r="174" spans="1:8" x14ac:dyDescent="0.25">
      <c r="A174" s="3" t="s">
        <v>80</v>
      </c>
      <c r="B174" s="3"/>
      <c r="C174" s="3"/>
      <c r="D174" s="3"/>
      <c r="E174" s="3"/>
      <c r="F174" s="3"/>
      <c r="G174" s="3"/>
      <c r="H174" s="3"/>
    </row>
    <row r="176" spans="1:8" x14ac:dyDescent="0.25">
      <c r="A176" t="s">
        <v>81</v>
      </c>
      <c r="D176">
        <v>2</v>
      </c>
      <c r="E176" t="s">
        <v>2</v>
      </c>
    </row>
    <row r="177" spans="1:8" x14ac:dyDescent="0.25">
      <c r="A177" t="s">
        <v>82</v>
      </c>
      <c r="D177">
        <v>41.5</v>
      </c>
      <c r="E177" t="s">
        <v>2</v>
      </c>
    </row>
    <row r="178" spans="1:8" x14ac:dyDescent="0.25">
      <c r="A178" t="s">
        <v>276</v>
      </c>
      <c r="D178">
        <v>3</v>
      </c>
      <c r="E178" t="s">
        <v>2</v>
      </c>
    </row>
    <row r="179" spans="1:8" x14ac:dyDescent="0.25">
      <c r="A179" t="s">
        <v>88</v>
      </c>
      <c r="D179">
        <v>1.75</v>
      </c>
      <c r="E179" t="s">
        <v>2</v>
      </c>
    </row>
    <row r="180" spans="1:8" x14ac:dyDescent="0.25">
      <c r="A180" t="s">
        <v>275</v>
      </c>
      <c r="D180">
        <v>7.66</v>
      </c>
      <c r="E180" t="s">
        <v>2</v>
      </c>
    </row>
    <row r="182" spans="1:8" x14ac:dyDescent="0.25">
      <c r="A182" t="s">
        <v>84</v>
      </c>
      <c r="D182">
        <f>D177*D178</f>
        <v>124.5</v>
      </c>
      <c r="E182" t="s">
        <v>40</v>
      </c>
    </row>
    <row r="183" spans="1:8" x14ac:dyDescent="0.25">
      <c r="A183" t="s">
        <v>85</v>
      </c>
      <c r="D183">
        <f>D177*D176</f>
        <v>83</v>
      </c>
      <c r="E183" t="s">
        <v>40</v>
      </c>
    </row>
    <row r="184" spans="1:8" x14ac:dyDescent="0.25">
      <c r="A184" t="s">
        <v>86</v>
      </c>
      <c r="D184">
        <f>2*(D176*D178)</f>
        <v>12</v>
      </c>
      <c r="E184" t="s">
        <v>40</v>
      </c>
    </row>
    <row r="186" spans="1:8" x14ac:dyDescent="0.25">
      <c r="A186" s="29" t="s">
        <v>300</v>
      </c>
      <c r="B186" s="5"/>
      <c r="D186">
        <f>D180*D177</f>
        <v>317.89</v>
      </c>
      <c r="E186" t="s">
        <v>40</v>
      </c>
    </row>
    <row r="187" spans="1:8" x14ac:dyDescent="0.25">
      <c r="A187" s="5"/>
      <c r="B187" s="5"/>
      <c r="H187" s="54"/>
    </row>
    <row r="188" spans="1:8" x14ac:dyDescent="0.25">
      <c r="A188" s="4"/>
      <c r="B188" s="4"/>
    </row>
    <row r="189" spans="1:8" x14ac:dyDescent="0.25">
      <c r="A189" s="29" t="s">
        <v>301</v>
      </c>
      <c r="B189" s="55"/>
      <c r="D189">
        <f>122</f>
        <v>122</v>
      </c>
      <c r="E189" t="s">
        <v>87</v>
      </c>
    </row>
    <row r="190" spans="1:8" x14ac:dyDescent="0.25">
      <c r="A190" s="29" t="s">
        <v>302</v>
      </c>
      <c r="B190" s="55"/>
      <c r="D190">
        <v>2</v>
      </c>
      <c r="E190" t="s">
        <v>116</v>
      </c>
    </row>
    <row r="191" spans="1:8" x14ac:dyDescent="0.25">
      <c r="A191" s="55"/>
      <c r="B191" s="55"/>
    </row>
    <row r="193" spans="1:8" x14ac:dyDescent="0.25">
      <c r="A193" t="s">
        <v>78</v>
      </c>
      <c r="D193">
        <f>D182+D183+D184+D186+(D189*D190)</f>
        <v>781.39</v>
      </c>
      <c r="E193" t="s">
        <v>40</v>
      </c>
    </row>
    <row r="194" spans="1:8" x14ac:dyDescent="0.25">
      <c r="D194">
        <f>D193/9</f>
        <v>86.821111111111108</v>
      </c>
      <c r="E194" t="s">
        <v>24</v>
      </c>
    </row>
    <row r="197" spans="1:8" x14ac:dyDescent="0.25">
      <c r="A197" s="3" t="s">
        <v>89</v>
      </c>
      <c r="B197" s="3"/>
      <c r="C197" s="3"/>
      <c r="D197" s="3"/>
      <c r="E197" s="3"/>
      <c r="F197" s="3"/>
      <c r="G197" s="3"/>
      <c r="H197" s="3"/>
    </row>
    <row r="199" spans="1:8" x14ac:dyDescent="0.25">
      <c r="A199" t="s">
        <v>81</v>
      </c>
      <c r="D199">
        <v>2</v>
      </c>
      <c r="E199" t="s">
        <v>2</v>
      </c>
    </row>
    <row r="200" spans="1:8" x14ac:dyDescent="0.25">
      <c r="A200" t="s">
        <v>82</v>
      </c>
      <c r="D200">
        <v>41.5</v>
      </c>
      <c r="E200" t="s">
        <v>2</v>
      </c>
    </row>
    <row r="201" spans="1:8" x14ac:dyDescent="0.25">
      <c r="A201" t="s">
        <v>276</v>
      </c>
      <c r="D201">
        <v>3</v>
      </c>
      <c r="E201" t="s">
        <v>2</v>
      </c>
    </row>
    <row r="202" spans="1:8" x14ac:dyDescent="0.25">
      <c r="A202" t="s">
        <v>88</v>
      </c>
      <c r="D202">
        <v>1.75</v>
      </c>
      <c r="E202" t="s">
        <v>2</v>
      </c>
    </row>
    <row r="203" spans="1:8" x14ac:dyDescent="0.25">
      <c r="A203" t="s">
        <v>275</v>
      </c>
      <c r="D203">
        <v>7.66</v>
      </c>
      <c r="E203" t="s">
        <v>2</v>
      </c>
    </row>
    <row r="205" spans="1:8" x14ac:dyDescent="0.25">
      <c r="A205" t="s">
        <v>84</v>
      </c>
      <c r="D205">
        <f>D200*D201</f>
        <v>124.5</v>
      </c>
      <c r="E205" t="s">
        <v>40</v>
      </c>
    </row>
    <row r="206" spans="1:8" x14ac:dyDescent="0.25">
      <c r="A206" t="s">
        <v>85</v>
      </c>
      <c r="D206">
        <f>D200*D199</f>
        <v>83</v>
      </c>
      <c r="E206" t="s">
        <v>40</v>
      </c>
    </row>
    <row r="207" spans="1:8" x14ac:dyDescent="0.25">
      <c r="A207" t="s">
        <v>86</v>
      </c>
      <c r="D207">
        <f>2*(D199*D201)</f>
        <v>12</v>
      </c>
      <c r="E207" t="s">
        <v>40</v>
      </c>
    </row>
    <row r="209" spans="1:5" x14ac:dyDescent="0.25">
      <c r="A209" s="29" t="s">
        <v>300</v>
      </c>
      <c r="B209" s="5"/>
      <c r="D209">
        <f>D203*D200</f>
        <v>317.89</v>
      </c>
      <c r="E209" t="s">
        <v>40</v>
      </c>
    </row>
    <row r="210" spans="1:5" x14ac:dyDescent="0.25">
      <c r="A210" s="5"/>
      <c r="B210" s="5"/>
    </row>
    <row r="211" spans="1:5" x14ac:dyDescent="0.25">
      <c r="A211" s="4"/>
      <c r="B211" s="4"/>
    </row>
    <row r="212" spans="1:5" x14ac:dyDescent="0.25">
      <c r="A212" s="29" t="s">
        <v>301</v>
      </c>
      <c r="B212" s="55"/>
      <c r="D212">
        <f>122</f>
        <v>122</v>
      </c>
      <c r="E212" t="s">
        <v>87</v>
      </c>
    </row>
    <row r="213" spans="1:5" x14ac:dyDescent="0.25">
      <c r="A213" s="29" t="s">
        <v>302</v>
      </c>
      <c r="B213" s="55"/>
      <c r="D213">
        <v>2</v>
      </c>
      <c r="E213" t="s">
        <v>116</v>
      </c>
    </row>
    <row r="214" spans="1:5" x14ac:dyDescent="0.25">
      <c r="A214" s="55"/>
      <c r="B214" s="55"/>
    </row>
    <row r="216" spans="1:5" x14ac:dyDescent="0.25">
      <c r="A216" t="s">
        <v>78</v>
      </c>
      <c r="D216">
        <f>D205+D206+D207+D209+(D212*D213)</f>
        <v>781.39</v>
      </c>
      <c r="E216" t="s">
        <v>40</v>
      </c>
    </row>
    <row r="217" spans="1:5" x14ac:dyDescent="0.25">
      <c r="D217">
        <f>D216/9</f>
        <v>86.821111111111108</v>
      </c>
      <c r="E217" t="s">
        <v>24</v>
      </c>
    </row>
    <row r="220" spans="1:5" x14ac:dyDescent="0.25">
      <c r="A220" s="7" t="s">
        <v>90</v>
      </c>
      <c r="B220" s="7"/>
      <c r="C220" s="7"/>
      <c r="D220" s="7">
        <f>ROUNDUP(D171+D194+D217,0)</f>
        <v>758</v>
      </c>
      <c r="E220" s="7" t="s">
        <v>24</v>
      </c>
    </row>
    <row r="225" spans="1:7" x14ac:dyDescent="0.25">
      <c r="A225" s="2" t="s">
        <v>274</v>
      </c>
    </row>
    <row r="227" spans="1:7" x14ac:dyDescent="0.25">
      <c r="A227" t="s">
        <v>11</v>
      </c>
      <c r="D227">
        <v>25</v>
      </c>
      <c r="E227" t="s">
        <v>2</v>
      </c>
    </row>
    <row r="228" spans="1:7" x14ac:dyDescent="0.25">
      <c r="A228" t="s">
        <v>10</v>
      </c>
      <c r="D228">
        <v>24</v>
      </c>
      <c r="E228" t="s">
        <v>2</v>
      </c>
      <c r="F228" t="s">
        <v>21</v>
      </c>
    </row>
    <row r="229" spans="1:7" x14ac:dyDescent="0.25">
      <c r="A229" t="s">
        <v>12</v>
      </c>
      <c r="D229">
        <v>0</v>
      </c>
    </row>
    <row r="230" spans="1:7" x14ac:dyDescent="0.25">
      <c r="A230" t="s">
        <v>22</v>
      </c>
      <c r="D230">
        <f>D227*D228*D229</f>
        <v>0</v>
      </c>
      <c r="E230" t="s">
        <v>23</v>
      </c>
      <c r="F230">
        <f>D230/9</f>
        <v>0</v>
      </c>
      <c r="G230" t="s">
        <v>24</v>
      </c>
    </row>
    <row r="232" spans="1:7" x14ac:dyDescent="0.25">
      <c r="A232" t="s">
        <v>25</v>
      </c>
      <c r="D232">
        <v>876</v>
      </c>
      <c r="E232" t="s">
        <v>2</v>
      </c>
      <c r="F232" t="s">
        <v>27</v>
      </c>
    </row>
    <row r="233" spans="1:7" x14ac:dyDescent="0.25">
      <c r="A233" t="s">
        <v>26</v>
      </c>
      <c r="D233">
        <v>38.5</v>
      </c>
      <c r="E233" t="s">
        <v>2</v>
      </c>
      <c r="F233" t="s">
        <v>21</v>
      </c>
    </row>
    <row r="234" spans="1:7" x14ac:dyDescent="0.25">
      <c r="A234" t="s">
        <v>36</v>
      </c>
      <c r="D234">
        <f>D232*D233</f>
        <v>33726</v>
      </c>
      <c r="E234" t="s">
        <v>23</v>
      </c>
      <c r="F234">
        <f>D234/9</f>
        <v>3747.3333333333335</v>
      </c>
      <c r="G234" t="s">
        <v>24</v>
      </c>
    </row>
    <row r="236" spans="1:7" x14ac:dyDescent="0.25">
      <c r="A236" s="7" t="s">
        <v>28</v>
      </c>
      <c r="B236" s="7">
        <f>ROUNDUP(F230+F234,0)</f>
        <v>3748</v>
      </c>
      <c r="C236" s="7" t="s">
        <v>24</v>
      </c>
    </row>
    <row r="242" spans="1:62" x14ac:dyDescent="0.25">
      <c r="A242" s="57"/>
    </row>
    <row r="243" spans="1:62" x14ac:dyDescent="0.25">
      <c r="A243" s="230" t="s">
        <v>309</v>
      </c>
      <c r="B243" s="230"/>
      <c r="C243" s="230"/>
      <c r="D243" s="230"/>
      <c r="E243" s="230"/>
      <c r="F243" s="230"/>
      <c r="G243" s="230"/>
      <c r="H243" s="230"/>
      <c r="I243" s="230"/>
      <c r="J243" s="230"/>
    </row>
    <row r="244" spans="1:62" x14ac:dyDescent="0.25">
      <c r="A244" s="230"/>
      <c r="B244" s="230"/>
      <c r="C244" s="230"/>
      <c r="D244" s="230"/>
      <c r="E244" s="230"/>
      <c r="F244" s="230"/>
      <c r="G244" s="230"/>
      <c r="H244" s="230"/>
      <c r="I244" s="230"/>
      <c r="J244" s="230"/>
    </row>
    <row r="245" spans="1:62" x14ac:dyDescent="0.25">
      <c r="A245" s="230"/>
      <c r="B245" s="230"/>
      <c r="C245" s="230"/>
      <c r="D245" s="230"/>
      <c r="E245" s="230"/>
      <c r="F245" s="230"/>
      <c r="G245" s="230"/>
      <c r="H245" s="230"/>
      <c r="I245" s="230"/>
      <c r="J245" s="230"/>
    </row>
    <row r="246" spans="1:62" ht="15.6" x14ac:dyDescent="0.25">
      <c r="AJ246" s="8"/>
    </row>
    <row r="247" spans="1:62" ht="17.850000000000001" x14ac:dyDescent="0.25">
      <c r="H247" s="9" t="s">
        <v>91</v>
      </c>
      <c r="I247" s="10">
        <f>(2*(56+2))+(3*16)-(2*0.375)</f>
        <v>163.25</v>
      </c>
      <c r="J247" s="10" t="s">
        <v>92</v>
      </c>
      <c r="K247" s="9" t="s">
        <v>93</v>
      </c>
      <c r="M247" s="9" t="s">
        <v>91</v>
      </c>
      <c r="N247" s="10">
        <f>(2*((56+90)/2+2))+(3*20)-(2*0.375)</f>
        <v>209.25</v>
      </c>
      <c r="O247" s="10" t="s">
        <v>92</v>
      </c>
      <c r="P247" s="9" t="s">
        <v>93</v>
      </c>
      <c r="Q247" s="9" t="s">
        <v>91</v>
      </c>
      <c r="R247" s="10">
        <f>(2*((56+90)/2+2))+(3*20)-(2*0.375)</f>
        <v>209.25</v>
      </c>
      <c r="S247" s="10" t="s">
        <v>92</v>
      </c>
      <c r="T247" s="9" t="s">
        <v>93</v>
      </c>
    </row>
    <row r="248" spans="1:62" ht="59.4" x14ac:dyDescent="0.25">
      <c r="B248">
        <v>514</v>
      </c>
      <c r="C248" s="11" t="s">
        <v>94</v>
      </c>
      <c r="D248" s="4" t="s">
        <v>95</v>
      </c>
      <c r="E248" t="s">
        <v>40</v>
      </c>
      <c r="F248" s="12">
        <v>103435</v>
      </c>
      <c r="H248" s="58" t="s">
        <v>311</v>
      </c>
      <c r="I248" s="10">
        <f>I247/12</f>
        <v>13.604166666666666</v>
      </c>
      <c r="J248" s="10" t="s">
        <v>52</v>
      </c>
      <c r="K248" s="13"/>
      <c r="M248" s="58" t="s">
        <v>312</v>
      </c>
      <c r="N248" s="10">
        <f>N247/12</f>
        <v>17.4375</v>
      </c>
      <c r="O248" s="10" t="s">
        <v>52</v>
      </c>
      <c r="P248" s="13"/>
      <c r="Q248" s="58" t="s">
        <v>312</v>
      </c>
      <c r="R248" s="10">
        <f>R247/12</f>
        <v>17.4375</v>
      </c>
      <c r="S248" s="10" t="s">
        <v>52</v>
      </c>
      <c r="T248" s="13"/>
    </row>
    <row r="249" spans="1:62" ht="44.55" x14ac:dyDescent="0.25">
      <c r="B249">
        <v>514</v>
      </c>
      <c r="C249" s="11" t="s">
        <v>96</v>
      </c>
      <c r="D249" s="4" t="s">
        <v>97</v>
      </c>
      <c r="E249" t="s">
        <v>40</v>
      </c>
      <c r="F249" s="12">
        <v>103435</v>
      </c>
      <c r="V249" s="14"/>
      <c r="W249" s="15" t="s">
        <v>184</v>
      </c>
      <c r="X249" s="16"/>
      <c r="Y249" s="16"/>
      <c r="Z249" s="16"/>
      <c r="AA249" s="16"/>
      <c r="AB249" s="16"/>
      <c r="AC249" s="17"/>
      <c r="AE249" s="18" t="s">
        <v>185</v>
      </c>
      <c r="AF249" s="16"/>
      <c r="AG249" s="16"/>
      <c r="AH249" s="16"/>
      <c r="AI249" s="16"/>
      <c r="AJ249" s="16"/>
      <c r="AK249" s="16"/>
      <c r="AL249" s="16"/>
      <c r="AM249" s="16"/>
      <c r="AN249" s="17"/>
      <c r="AP249" s="18" t="s">
        <v>205</v>
      </c>
      <c r="AQ249" s="16"/>
      <c r="AR249" s="16"/>
      <c r="AS249" s="16"/>
      <c r="AT249" s="16"/>
      <c r="AU249" s="16"/>
      <c r="AV249" s="16"/>
      <c r="AW249" s="16"/>
      <c r="AX249" s="16"/>
      <c r="AY249" s="17"/>
      <c r="BA249" s="87" t="s">
        <v>205</v>
      </c>
      <c r="BB249" s="60"/>
      <c r="BC249" s="60"/>
      <c r="BD249" s="60"/>
      <c r="BE249" s="60"/>
      <c r="BF249" s="60"/>
      <c r="BG249" s="60"/>
      <c r="BH249" s="60"/>
      <c r="BI249" s="60"/>
      <c r="BJ249" s="61"/>
    </row>
    <row r="250" spans="1:62" ht="59.4" x14ac:dyDescent="0.25">
      <c r="B250">
        <v>514</v>
      </c>
      <c r="C250" s="11" t="s">
        <v>98</v>
      </c>
      <c r="D250" s="4" t="s">
        <v>99</v>
      </c>
      <c r="E250" t="s">
        <v>40</v>
      </c>
      <c r="F250" s="12">
        <v>103435</v>
      </c>
      <c r="H250" s="10" t="s">
        <v>100</v>
      </c>
      <c r="I250" s="10">
        <f>0.75+81.5</f>
        <v>82.25</v>
      </c>
      <c r="J250" s="10" t="s">
        <v>52</v>
      </c>
      <c r="K250" s="10" t="s">
        <v>100</v>
      </c>
      <c r="L250" s="10">
        <v>75</v>
      </c>
      <c r="M250" s="10" t="s">
        <v>52</v>
      </c>
      <c r="N250" s="10" t="s">
        <v>100</v>
      </c>
      <c r="O250" s="10">
        <v>83</v>
      </c>
      <c r="P250" s="10" t="s">
        <v>52</v>
      </c>
      <c r="Q250" s="10" t="s">
        <v>52</v>
      </c>
      <c r="R250" s="10" t="s">
        <v>100</v>
      </c>
      <c r="S250" s="10">
        <v>81.5</v>
      </c>
      <c r="T250" s="10" t="s">
        <v>52</v>
      </c>
      <c r="V250" s="19"/>
      <c r="X250" t="s">
        <v>101</v>
      </c>
      <c r="AE250" s="19"/>
      <c r="AJ250" t="s">
        <v>102</v>
      </c>
      <c r="AL250" s="20">
        <v>8.1999999999999993</v>
      </c>
      <c r="AM250" s="28" t="s">
        <v>103</v>
      </c>
      <c r="AN250" s="21"/>
      <c r="AP250" s="19"/>
      <c r="AU250" t="s">
        <v>102</v>
      </c>
      <c r="AW250" s="20">
        <v>8.1999999999999993</v>
      </c>
      <c r="AX250" s="28" t="s">
        <v>103</v>
      </c>
      <c r="AY250" s="21"/>
      <c r="BA250" s="62"/>
      <c r="BB250" s="63"/>
      <c r="BC250" s="63"/>
      <c r="BD250" s="63"/>
      <c r="BE250" s="63"/>
      <c r="BF250" s="63" t="s">
        <v>102</v>
      </c>
      <c r="BG250" s="63"/>
      <c r="BH250" s="64">
        <v>8.1999999999999993</v>
      </c>
      <c r="BI250" s="65" t="s">
        <v>103</v>
      </c>
      <c r="BJ250" s="66"/>
    </row>
    <row r="251" spans="1:62" ht="44.55" x14ac:dyDescent="0.25">
      <c r="B251">
        <v>514</v>
      </c>
      <c r="C251" s="11" t="s">
        <v>104</v>
      </c>
      <c r="D251" s="4" t="s">
        <v>105</v>
      </c>
      <c r="E251" t="s">
        <v>40</v>
      </c>
      <c r="F251" s="12">
        <v>103435</v>
      </c>
      <c r="H251" s="22" t="s">
        <v>106</v>
      </c>
      <c r="I251" s="23" t="s">
        <v>107</v>
      </c>
      <c r="J251" s="24"/>
      <c r="K251" s="22" t="s">
        <v>106</v>
      </c>
      <c r="L251" s="23" t="s">
        <v>108</v>
      </c>
      <c r="M251" s="24"/>
      <c r="N251" s="22" t="s">
        <v>106</v>
      </c>
      <c r="O251" s="23" t="s">
        <v>310</v>
      </c>
      <c r="P251" s="24"/>
      <c r="Q251" s="24"/>
      <c r="R251" s="22" t="s">
        <v>106</v>
      </c>
      <c r="S251" s="23" t="s">
        <v>310</v>
      </c>
      <c r="T251" s="24"/>
      <c r="V251" s="19"/>
      <c r="AA251" s="25"/>
      <c r="AC251" s="21"/>
      <c r="AE251" s="19"/>
      <c r="AI251" s="28"/>
      <c r="AJ251" s="28"/>
      <c r="AK251" s="28"/>
      <c r="AN251" s="21"/>
      <c r="AP251" s="19"/>
      <c r="AT251" s="28"/>
      <c r="AU251" s="28"/>
      <c r="AV251" s="28"/>
      <c r="AY251" s="21"/>
      <c r="BA251" s="62"/>
      <c r="BB251" s="63"/>
      <c r="BC251" s="63"/>
      <c r="BD251" s="63"/>
      <c r="BE251" s="65"/>
      <c r="BF251" s="65"/>
      <c r="BG251" s="65"/>
      <c r="BH251" s="63"/>
      <c r="BI251" s="63"/>
      <c r="BJ251" s="66"/>
    </row>
    <row r="252" spans="1:62" ht="44.55" x14ac:dyDescent="0.25">
      <c r="B252">
        <v>514</v>
      </c>
      <c r="C252" s="11" t="s">
        <v>109</v>
      </c>
      <c r="D252" s="5" t="s">
        <v>110</v>
      </c>
      <c r="E252" t="s">
        <v>111</v>
      </c>
      <c r="F252" s="26">
        <f>ROUNDUP(J254*J256/60,0)</f>
        <v>74</v>
      </c>
      <c r="H252" s="10" t="s">
        <v>112</v>
      </c>
      <c r="I252" s="10">
        <f>I250*I248</f>
        <v>1118.9427083333333</v>
      </c>
      <c r="J252" s="10" t="s">
        <v>113</v>
      </c>
      <c r="K252" s="10" t="s">
        <v>112</v>
      </c>
      <c r="L252" s="10">
        <f>L250*I248</f>
        <v>1020.3125</v>
      </c>
      <c r="M252" s="10" t="s">
        <v>113</v>
      </c>
      <c r="N252" s="10" t="s">
        <v>112</v>
      </c>
      <c r="O252" s="10">
        <f>O250*N248</f>
        <v>1447.3125</v>
      </c>
      <c r="P252" s="10" t="s">
        <v>113</v>
      </c>
      <c r="Q252" s="10" t="s">
        <v>113</v>
      </c>
      <c r="R252" s="10" t="s">
        <v>112</v>
      </c>
      <c r="S252" s="10">
        <f>S250*R248</f>
        <v>1421.15625</v>
      </c>
      <c r="T252" s="10" t="s">
        <v>113</v>
      </c>
      <c r="V252" s="19"/>
      <c r="W252" t="s">
        <v>114</v>
      </c>
      <c r="X252" s="27">
        <v>9.5</v>
      </c>
      <c r="Y252" s="27" t="s">
        <v>52</v>
      </c>
      <c r="Z252" s="27"/>
      <c r="AC252" s="21"/>
      <c r="AE252" s="226" t="s">
        <v>183</v>
      </c>
      <c r="AF252" s="227"/>
      <c r="AG252" s="227"/>
      <c r="AH252" s="227"/>
      <c r="AI252" s="227"/>
      <c r="AJ252" s="227"/>
      <c r="AK252" s="227"/>
      <c r="AN252" s="21"/>
      <c r="AP252" s="226" t="s">
        <v>192</v>
      </c>
      <c r="AQ252" s="227"/>
      <c r="AR252" s="227"/>
      <c r="AS252" s="227"/>
      <c r="AT252" s="227"/>
      <c r="AU252" s="227"/>
      <c r="AV252" s="227"/>
      <c r="AY252" s="21"/>
      <c r="BA252" s="216" t="s">
        <v>191</v>
      </c>
      <c r="BB252" s="217"/>
      <c r="BC252" s="217"/>
      <c r="BD252" s="217"/>
      <c r="BE252" s="217"/>
      <c r="BF252" s="217"/>
      <c r="BG252" s="217"/>
      <c r="BH252" s="63"/>
      <c r="BI252" s="63"/>
      <c r="BJ252" s="66"/>
    </row>
    <row r="253" spans="1:62" ht="31.2" x14ac:dyDescent="0.35">
      <c r="B253">
        <v>514</v>
      </c>
      <c r="C253" s="29">
        <v>10000</v>
      </c>
      <c r="D253" s="5" t="s">
        <v>115</v>
      </c>
      <c r="E253" t="s">
        <v>116</v>
      </c>
      <c r="F253" s="30">
        <f>ROUNDUP(MAX(F248/1200,(J254*J256/150)),0)</f>
        <v>87</v>
      </c>
      <c r="H253" s="10" t="s">
        <v>117</v>
      </c>
      <c r="I253" s="31">
        <f>I252*1.1</f>
        <v>1230.8369791666667</v>
      </c>
      <c r="J253" s="10" t="s">
        <v>113</v>
      </c>
      <c r="K253" s="10" t="s">
        <v>117</v>
      </c>
      <c r="L253" s="31">
        <f>L252*1.1</f>
        <v>1122.34375</v>
      </c>
      <c r="M253" s="10" t="s">
        <v>113</v>
      </c>
      <c r="N253" s="10" t="s">
        <v>117</v>
      </c>
      <c r="O253" s="31">
        <f>O252*1.1</f>
        <v>1592.04375</v>
      </c>
      <c r="P253" s="10" t="s">
        <v>113</v>
      </c>
      <c r="Q253" s="10" t="s">
        <v>113</v>
      </c>
      <c r="R253" s="10" t="s">
        <v>117</v>
      </c>
      <c r="S253" s="31">
        <f>S252*1.1</f>
        <v>1563.2718750000001</v>
      </c>
      <c r="T253" s="10" t="s">
        <v>113</v>
      </c>
      <c r="V253" s="19" t="s">
        <v>313</v>
      </c>
      <c r="W253" s="28" t="s">
        <v>317</v>
      </c>
      <c r="X253">
        <v>60</v>
      </c>
      <c r="Y253" t="s">
        <v>92</v>
      </c>
      <c r="AA253" s="25" t="s">
        <v>118</v>
      </c>
      <c r="AB253">
        <v>2</v>
      </c>
      <c r="AC253" s="21" t="s">
        <v>92</v>
      </c>
      <c r="AE253" s="32"/>
      <c r="AF253" s="28"/>
      <c r="AG253" s="28" t="s">
        <v>101</v>
      </c>
      <c r="AH253" s="28" t="s">
        <v>119</v>
      </c>
      <c r="AI253" s="28" t="s">
        <v>120</v>
      </c>
      <c r="AJ253" s="28"/>
      <c r="AK253" s="28"/>
      <c r="AL253" s="25" t="s">
        <v>118</v>
      </c>
      <c r="AM253">
        <v>2</v>
      </c>
      <c r="AN253" s="21" t="s">
        <v>92</v>
      </c>
      <c r="AP253" s="32"/>
      <c r="AQ253" s="28"/>
      <c r="AR253" s="28" t="s">
        <v>101</v>
      </c>
      <c r="AS253" s="28" t="s">
        <v>119</v>
      </c>
      <c r="AT253" s="28" t="s">
        <v>120</v>
      </c>
      <c r="AU253" s="28"/>
      <c r="AV253" s="28"/>
      <c r="AW253" s="25" t="s">
        <v>118</v>
      </c>
      <c r="AX253">
        <v>2</v>
      </c>
      <c r="AY253" s="21" t="s">
        <v>92</v>
      </c>
      <c r="BA253" s="67"/>
      <c r="BB253" s="65"/>
      <c r="BC253" s="65" t="s">
        <v>101</v>
      </c>
      <c r="BD253" s="65" t="s">
        <v>119</v>
      </c>
      <c r="BE253" s="65" t="s">
        <v>120</v>
      </c>
      <c r="BF253" s="65"/>
      <c r="BG253" s="65"/>
      <c r="BH253" s="68" t="s">
        <v>118</v>
      </c>
      <c r="BI253" s="63">
        <v>2</v>
      </c>
      <c r="BJ253" s="66" t="s">
        <v>92</v>
      </c>
    </row>
    <row r="254" spans="1:62" x14ac:dyDescent="0.25">
      <c r="H254" s="33" t="s">
        <v>121</v>
      </c>
      <c r="I254" s="34"/>
      <c r="J254" s="10">
        <f>2*I250+4*L250+3*O250+2*S250</f>
        <v>876.5</v>
      </c>
      <c r="K254" s="10" t="s">
        <v>52</v>
      </c>
      <c r="V254" s="19"/>
      <c r="X254">
        <f>X253/12</f>
        <v>5</v>
      </c>
      <c r="Y254" t="s">
        <v>52</v>
      </c>
      <c r="AA254" s="25"/>
      <c r="AC254" s="21"/>
      <c r="AE254" s="32"/>
      <c r="AF254" s="28" t="s">
        <v>114</v>
      </c>
      <c r="AG254" s="28">
        <v>9.5</v>
      </c>
      <c r="AH254" s="28">
        <f>AG254/3</f>
        <v>3.1666666666666665</v>
      </c>
      <c r="AI254" s="28">
        <f>AG254/6</f>
        <v>1.5833333333333333</v>
      </c>
      <c r="AJ254" s="28"/>
      <c r="AK254" s="28"/>
      <c r="AL254" t="s">
        <v>92</v>
      </c>
      <c r="AN254" s="21"/>
      <c r="AP254" s="32"/>
      <c r="AQ254" s="28" t="s">
        <v>114</v>
      </c>
      <c r="AR254" s="28">
        <v>9.5</v>
      </c>
      <c r="AS254" s="28">
        <f>AR254/3</f>
        <v>3.1666666666666665</v>
      </c>
      <c r="AT254" s="28">
        <f>AR254/6</f>
        <v>1.5833333333333333</v>
      </c>
      <c r="AU254" s="28"/>
      <c r="AV254" s="28"/>
      <c r="AW254" t="s">
        <v>92</v>
      </c>
      <c r="AY254" s="21"/>
      <c r="BA254" s="67"/>
      <c r="BB254" s="65" t="s">
        <v>114</v>
      </c>
      <c r="BC254" s="65">
        <v>17.666599999999999</v>
      </c>
      <c r="BD254" s="65">
        <f>BC254/3</f>
        <v>5.888866666666666</v>
      </c>
      <c r="BE254" s="65">
        <f>BC254/6</f>
        <v>2.944433333333333</v>
      </c>
      <c r="BF254" s="65"/>
      <c r="BG254" s="65"/>
      <c r="BH254" s="63" t="s">
        <v>92</v>
      </c>
      <c r="BI254" s="63"/>
      <c r="BJ254" s="66"/>
    </row>
    <row r="255" spans="1:62" x14ac:dyDescent="0.25">
      <c r="H255" s="33" t="s">
        <v>122</v>
      </c>
      <c r="I255" s="35"/>
      <c r="J255" s="10">
        <f>2*I253+4*L253+3*O253+2*S253</f>
        <v>14853.723958333334</v>
      </c>
      <c r="K255" s="10" t="s">
        <v>113</v>
      </c>
      <c r="V255" s="19"/>
      <c r="AC255" s="21"/>
      <c r="AE255" s="32"/>
      <c r="AF255" s="28" t="s">
        <v>321</v>
      </c>
      <c r="AG255" s="28">
        <v>60</v>
      </c>
      <c r="AH255" s="36" t="s">
        <v>92</v>
      </c>
      <c r="AI255" s="28"/>
      <c r="AJ255" s="28"/>
      <c r="AK255" s="28"/>
      <c r="AL255" t="s">
        <v>92</v>
      </c>
      <c r="AN255" s="21"/>
      <c r="AP255" s="32"/>
      <c r="AQ255" s="28" t="s">
        <v>321</v>
      </c>
      <c r="AR255" s="28">
        <v>60</v>
      </c>
      <c r="AS255" s="36" t="s">
        <v>92</v>
      </c>
      <c r="AT255" s="28"/>
      <c r="AU255" s="28"/>
      <c r="AV255" s="28"/>
      <c r="AW255" t="s">
        <v>92</v>
      </c>
      <c r="AY255" s="21"/>
      <c r="BA255" s="67"/>
      <c r="BB255" s="65" t="s">
        <v>321</v>
      </c>
      <c r="BC255" s="65">
        <f>X253-AB253-AB253-1</f>
        <v>55</v>
      </c>
      <c r="BD255" s="69" t="s">
        <v>92</v>
      </c>
      <c r="BE255" s="65"/>
      <c r="BF255" s="65"/>
      <c r="BG255" s="65"/>
      <c r="BH255" s="63" t="s">
        <v>92</v>
      </c>
      <c r="BI255" s="63"/>
      <c r="BJ255" s="66"/>
    </row>
    <row r="256" spans="1:62" x14ac:dyDescent="0.25">
      <c r="H256" s="33" t="s">
        <v>123</v>
      </c>
      <c r="I256" s="35"/>
      <c r="J256" s="10">
        <v>5</v>
      </c>
      <c r="K256" s="10"/>
      <c r="V256" s="19"/>
      <c r="AC256" s="21"/>
      <c r="AE256" s="32"/>
      <c r="AF256" s="28"/>
      <c r="AG256" s="28">
        <f>AG255/12</f>
        <v>5</v>
      </c>
      <c r="AH256" s="36" t="s">
        <v>52</v>
      </c>
      <c r="AI256" s="28">
        <f>AF260^2+AF263^2</f>
        <v>30.283778222222217</v>
      </c>
      <c r="AJ256" s="28"/>
      <c r="AK256" s="37">
        <f>AF260^2+AG263^2</f>
        <v>22.762944888888885</v>
      </c>
      <c r="AL256" t="s">
        <v>92</v>
      </c>
      <c r="AN256" s="21"/>
      <c r="AP256" s="32"/>
      <c r="AQ256" s="28"/>
      <c r="AR256" s="28">
        <f>AR255/12</f>
        <v>5</v>
      </c>
      <c r="AS256" s="36" t="s">
        <v>52</v>
      </c>
      <c r="AT256" s="28">
        <f>AQ260^2+AQ263^2</f>
        <v>30.283778222222217</v>
      </c>
      <c r="AU256" s="28"/>
      <c r="AV256" s="37">
        <f>AQ260^2+AR263^2</f>
        <v>22.762944888888885</v>
      </c>
      <c r="AW256" t="s">
        <v>92</v>
      </c>
      <c r="AY256" s="21"/>
      <c r="BA256" s="67"/>
      <c r="BB256" s="65"/>
      <c r="BC256" s="65">
        <f>BC255/12</f>
        <v>4.583333333333333</v>
      </c>
      <c r="BD256" s="69" t="s">
        <v>52</v>
      </c>
      <c r="BE256" s="65">
        <f>BB260^2+BB263^2</f>
        <v>55.685695062222216</v>
      </c>
      <c r="BF256" s="65"/>
      <c r="BG256" s="70">
        <f>BB260^2+BC263^2</f>
        <v>29.676632098888888</v>
      </c>
      <c r="BH256" s="63" t="s">
        <v>92</v>
      </c>
      <c r="BI256" s="63"/>
      <c r="BJ256" s="66"/>
    </row>
    <row r="257" spans="8:62" ht="44.55" x14ac:dyDescent="0.25">
      <c r="H257" s="38" t="s">
        <v>124</v>
      </c>
      <c r="I257" s="35"/>
      <c r="J257" s="89">
        <f>J255*J256</f>
        <v>74268.619791666672</v>
      </c>
      <c r="K257" s="10" t="s">
        <v>113</v>
      </c>
      <c r="M257" s="38" t="s">
        <v>331</v>
      </c>
      <c r="N257" s="51">
        <f>35*(18*(24*4))/144</f>
        <v>420</v>
      </c>
      <c r="O257" s="35" t="s">
        <v>126</v>
      </c>
      <c r="V257" s="19"/>
      <c r="Y257">
        <f>SQRT((Y262)^2+(W258)^2)</f>
        <v>10.512183428976325</v>
      </c>
      <c r="Z257" t="s">
        <v>2</v>
      </c>
      <c r="AC257" s="21"/>
      <c r="AE257" s="32"/>
      <c r="AF257" s="28"/>
      <c r="AG257" s="28"/>
      <c r="AH257" s="36"/>
      <c r="AI257" s="28"/>
      <c r="AJ257" s="28"/>
      <c r="AK257" s="28"/>
      <c r="AN257" s="21"/>
      <c r="AP257" s="32"/>
      <c r="AQ257" s="28"/>
      <c r="AR257" s="28"/>
      <c r="AS257" s="36"/>
      <c r="AT257" s="28"/>
      <c r="AU257" s="28"/>
      <c r="AV257" s="28"/>
      <c r="AY257" s="21"/>
      <c r="BA257" s="67"/>
      <c r="BB257" s="65"/>
      <c r="BC257" s="65"/>
      <c r="BD257" s="69"/>
      <c r="BE257" s="65"/>
      <c r="BF257" s="65"/>
      <c r="BG257" s="65"/>
      <c r="BH257" s="63"/>
      <c r="BI257" s="63"/>
      <c r="BJ257" s="66"/>
    </row>
    <row r="258" spans="8:62" x14ac:dyDescent="0.25">
      <c r="H258" s="4"/>
      <c r="V258" s="19"/>
      <c r="W258">
        <f>X254-2*(AB253/12+0.083)</f>
        <v>4.5006666666666666</v>
      </c>
      <c r="X258" t="s">
        <v>2</v>
      </c>
      <c r="AC258" s="21"/>
      <c r="AE258" s="32"/>
      <c r="AF258" s="28"/>
      <c r="AG258" s="28"/>
      <c r="AH258" s="28"/>
      <c r="AI258" s="28"/>
      <c r="AJ258" s="28"/>
      <c r="AK258" s="28"/>
      <c r="AM258">
        <v>1.1659999999999999</v>
      </c>
      <c r="AN258" s="21" t="s">
        <v>125</v>
      </c>
      <c r="AP258" s="32"/>
      <c r="AQ258" s="28"/>
      <c r="AR258" s="28"/>
      <c r="AS258" s="28"/>
      <c r="AT258" s="28"/>
      <c r="AU258" s="28"/>
      <c r="AV258" s="28"/>
      <c r="AX258">
        <v>1.1659999999999999</v>
      </c>
      <c r="AY258" s="21" t="s">
        <v>125</v>
      </c>
      <c r="BA258" s="67"/>
      <c r="BB258" s="65"/>
      <c r="BC258" s="65"/>
      <c r="BD258" s="65"/>
      <c r="BE258" s="65"/>
      <c r="BF258" s="65"/>
      <c r="BG258" s="65"/>
      <c r="BH258" s="63"/>
      <c r="BI258" s="63">
        <v>1.1659999999999999</v>
      </c>
      <c r="BJ258" s="66" t="s">
        <v>125</v>
      </c>
    </row>
    <row r="259" spans="8:62" x14ac:dyDescent="0.25">
      <c r="H259" s="14" t="s">
        <v>325</v>
      </c>
      <c r="I259" s="16"/>
      <c r="J259" s="16">
        <f>(5+5)*56/144</f>
        <v>3.8888888888888888</v>
      </c>
      <c r="K259" s="17" t="s">
        <v>126</v>
      </c>
      <c r="L259" s="14" t="s">
        <v>324</v>
      </c>
      <c r="M259" s="16"/>
      <c r="N259" s="16"/>
      <c r="O259" s="17"/>
      <c r="P259" s="14" t="s">
        <v>334</v>
      </c>
      <c r="Q259" s="16"/>
      <c r="R259" s="16"/>
      <c r="S259" s="17"/>
      <c r="V259" s="19"/>
      <c r="W259">
        <f>W258*12</f>
        <v>54.007999999999996</v>
      </c>
      <c r="AC259" s="21"/>
      <c r="AE259" s="32"/>
      <c r="AF259" s="28"/>
      <c r="AG259" s="37">
        <f>SQRT(AK256)</f>
        <v>4.771052807178819</v>
      </c>
      <c r="AH259" s="37"/>
      <c r="AI259" s="28"/>
      <c r="AJ259" s="37">
        <f>AE260</f>
        <v>5.5030698907266498</v>
      </c>
      <c r="AK259" s="28"/>
      <c r="AM259" s="1">
        <f>0.33*AM258*2</f>
        <v>0.76956000000000002</v>
      </c>
      <c r="AN259" s="21" t="s">
        <v>126</v>
      </c>
      <c r="AP259" s="32"/>
      <c r="AQ259" s="28"/>
      <c r="AR259" s="37">
        <f>SQRT(AV256)</f>
        <v>4.771052807178819</v>
      </c>
      <c r="AS259" s="37"/>
      <c r="AT259" s="28"/>
      <c r="AU259" s="37">
        <f>AP260</f>
        <v>5.5030698907266498</v>
      </c>
      <c r="AV259" s="28"/>
      <c r="AX259" s="1">
        <f>0.33*AX258*2</f>
        <v>0.76956000000000002</v>
      </c>
      <c r="AY259" s="21" t="s">
        <v>126</v>
      </c>
      <c r="BA259" s="67"/>
      <c r="BB259" s="65"/>
      <c r="BC259" s="70">
        <f>SQRT(BG256)</f>
        <v>5.44762628113281</v>
      </c>
      <c r="BD259" s="70"/>
      <c r="BE259" s="65"/>
      <c r="BF259" s="70">
        <f>BA260</f>
        <v>7.4622848419383061</v>
      </c>
      <c r="BG259" s="65"/>
      <c r="BH259" s="63"/>
      <c r="BI259" s="71">
        <f>0.33*BI258*2</f>
        <v>0.76956000000000002</v>
      </c>
      <c r="BJ259" s="66" t="s">
        <v>126</v>
      </c>
    </row>
    <row r="260" spans="8:62" x14ac:dyDescent="0.25">
      <c r="H260" s="19" t="s">
        <v>187</v>
      </c>
      <c r="J260">
        <f>ROUNDUP((42+44+42)*2*J256,0)</f>
        <v>1280</v>
      </c>
      <c r="K260" s="21" t="s">
        <v>329</v>
      </c>
      <c r="L260" s="19" t="s">
        <v>186</v>
      </c>
      <c r="N260">
        <f>((5+5)*(56+90)/2)/144</f>
        <v>5.0694444444444446</v>
      </c>
      <c r="O260" s="21" t="s">
        <v>126</v>
      </c>
      <c r="P260" s="19" t="s">
        <v>186</v>
      </c>
      <c r="R260">
        <f>((5+5)*(55)/144)</f>
        <v>3.8194444444444446</v>
      </c>
      <c r="S260" s="21" t="s">
        <v>126</v>
      </c>
      <c r="V260" s="19"/>
      <c r="AC260" s="21"/>
      <c r="AE260" s="39">
        <f>SQRT(AI256)</f>
        <v>5.5030698907266498</v>
      </c>
      <c r="AF260" s="40">
        <f>AG256-2*(AM253/12+0.083)</f>
        <v>4.5006666666666666</v>
      </c>
      <c r="AG260" s="28"/>
      <c r="AH260" s="28"/>
      <c r="AI260" s="28"/>
      <c r="AJ260" s="28"/>
      <c r="AK260" s="28"/>
      <c r="AM260">
        <v>7</v>
      </c>
      <c r="AN260" s="21" t="s">
        <v>125</v>
      </c>
      <c r="AP260" s="39">
        <f>SQRT(AT256)</f>
        <v>5.5030698907266498</v>
      </c>
      <c r="AQ260" s="40">
        <f>AR256-2*(AX253/12+0.083)</f>
        <v>4.5006666666666666</v>
      </c>
      <c r="AR260" s="28"/>
      <c r="AS260" s="28"/>
      <c r="AT260" s="28"/>
      <c r="AU260" s="28"/>
      <c r="AV260" s="28"/>
      <c r="AX260">
        <v>7</v>
      </c>
      <c r="AY260" s="21" t="s">
        <v>125</v>
      </c>
      <c r="BA260" s="72">
        <f>SQRT(BE256)</f>
        <v>7.4622848419383061</v>
      </c>
      <c r="BB260" s="73">
        <f>BC256</f>
        <v>4.583333333333333</v>
      </c>
      <c r="BC260" s="65"/>
      <c r="BD260" s="65"/>
      <c r="BE260" s="65"/>
      <c r="BF260" s="65"/>
      <c r="BG260" s="65"/>
      <c r="BH260" s="63"/>
      <c r="BI260" s="63">
        <v>7</v>
      </c>
      <c r="BJ260" s="66" t="s">
        <v>125</v>
      </c>
    </row>
    <row r="261" spans="8:62" x14ac:dyDescent="0.25">
      <c r="H261" s="19" t="s">
        <v>188</v>
      </c>
      <c r="J261" s="7">
        <f>J259*J260</f>
        <v>4977.7777777777774</v>
      </c>
      <c r="K261" s="21" t="s">
        <v>126</v>
      </c>
      <c r="L261" s="19" t="s">
        <v>187</v>
      </c>
      <c r="N261">
        <f>ROUNDUP(23*2*5*J256,0)</f>
        <v>1150</v>
      </c>
      <c r="O261" s="21" t="s">
        <v>329</v>
      </c>
      <c r="P261" s="19" t="s">
        <v>187</v>
      </c>
      <c r="R261">
        <f>ROUNDUP(5*5,0)</f>
        <v>25</v>
      </c>
      <c r="S261" s="21" t="s">
        <v>329</v>
      </c>
      <c r="V261" s="19"/>
      <c r="AC261" s="21"/>
      <c r="AE261" s="32"/>
      <c r="AF261" s="28"/>
      <c r="AG261" s="28"/>
      <c r="AH261" s="28"/>
      <c r="AI261" s="28"/>
      <c r="AJ261" s="28"/>
      <c r="AK261" s="28"/>
      <c r="AM261" s="1">
        <f>0.33*AM260*2</f>
        <v>4.62</v>
      </c>
      <c r="AN261" s="21" t="s">
        <v>126</v>
      </c>
      <c r="AP261" s="32"/>
      <c r="AQ261" s="28"/>
      <c r="AR261" s="28"/>
      <c r="AS261" s="28"/>
      <c r="AT261" s="28"/>
      <c r="AU261" s="28"/>
      <c r="AV261" s="28"/>
      <c r="AX261" s="1">
        <f>0.33*AX260*2</f>
        <v>4.62</v>
      </c>
      <c r="AY261" s="21" t="s">
        <v>126</v>
      </c>
      <c r="BA261" s="67"/>
      <c r="BB261" s="65"/>
      <c r="BC261" s="65"/>
      <c r="BD261" s="65"/>
      <c r="BE261" s="65"/>
      <c r="BF261" s="65"/>
      <c r="BG261" s="65"/>
      <c r="BH261" s="63"/>
      <c r="BI261" s="71">
        <f>0.33*BI260*2</f>
        <v>4.62</v>
      </c>
      <c r="BJ261" s="66" t="s">
        <v>126</v>
      </c>
    </row>
    <row r="262" spans="8:62" x14ac:dyDescent="0.25">
      <c r="H262" s="49" t="s">
        <v>189</v>
      </c>
      <c r="I262" s="3"/>
      <c r="J262" s="3"/>
      <c r="K262" s="44"/>
      <c r="L262" s="49" t="s">
        <v>188</v>
      </c>
      <c r="M262" s="3"/>
      <c r="N262" s="59">
        <f>N260*N261</f>
        <v>5829.8611111111113</v>
      </c>
      <c r="O262" s="44" t="s">
        <v>126</v>
      </c>
      <c r="P262" s="49" t="s">
        <v>188</v>
      </c>
      <c r="Q262" s="3"/>
      <c r="R262" s="59">
        <f>R260*R261</f>
        <v>95.486111111111114</v>
      </c>
      <c r="S262" s="44" t="s">
        <v>126</v>
      </c>
      <c r="V262" s="19"/>
      <c r="Y262" s="27">
        <f>X252</f>
        <v>9.5</v>
      </c>
      <c r="AC262" s="21"/>
      <c r="AE262" s="32"/>
      <c r="AF262" s="28"/>
      <c r="AG262" s="28"/>
      <c r="AH262" s="28"/>
      <c r="AI262" s="28"/>
      <c r="AJ262" s="28"/>
      <c r="AK262" s="28"/>
      <c r="AN262" s="21"/>
      <c r="AP262" s="32"/>
      <c r="AQ262" s="28"/>
      <c r="AR262" s="28"/>
      <c r="AS262" s="28"/>
      <c r="AT262" s="28"/>
      <c r="AU262" s="28"/>
      <c r="AV262" s="28"/>
      <c r="AY262" s="21"/>
      <c r="BA262" s="67"/>
      <c r="BB262" s="65"/>
      <c r="BC262" s="65"/>
      <c r="BD262" s="65"/>
      <c r="BE262" s="65"/>
      <c r="BF262" s="65"/>
      <c r="BG262" s="65"/>
      <c r="BH262" s="63"/>
      <c r="BI262" s="63"/>
      <c r="BJ262" s="66"/>
    </row>
    <row r="263" spans="8:62" x14ac:dyDescent="0.25">
      <c r="V263" s="19"/>
      <c r="AC263" s="21"/>
      <c r="AE263" s="32"/>
      <c r="AF263" s="37">
        <f>AG254/3</f>
        <v>3.1666666666666665</v>
      </c>
      <c r="AG263" s="37">
        <f>AF263/2</f>
        <v>1.5833333333333333</v>
      </c>
      <c r="AH263" s="28"/>
      <c r="AI263" s="28"/>
      <c r="AJ263" s="28"/>
      <c r="AK263" s="28"/>
      <c r="AN263" s="21"/>
      <c r="AP263" s="32"/>
      <c r="AQ263" s="37">
        <f>AR254/3</f>
        <v>3.1666666666666665</v>
      </c>
      <c r="AR263" s="37">
        <f>AQ263/2</f>
        <v>1.5833333333333333</v>
      </c>
      <c r="AS263" s="28"/>
      <c r="AT263" s="28"/>
      <c r="AU263" s="28"/>
      <c r="AV263" s="28"/>
      <c r="AY263" s="21"/>
      <c r="BA263" s="67"/>
      <c r="BB263" s="70">
        <f>BC254/3</f>
        <v>5.888866666666666</v>
      </c>
      <c r="BC263" s="70">
        <f>BB263/2</f>
        <v>2.944433333333333</v>
      </c>
      <c r="BD263" s="65"/>
      <c r="BE263" s="65"/>
      <c r="BF263" s="65"/>
      <c r="BG263" s="65"/>
      <c r="BH263" s="63"/>
      <c r="BI263" s="63"/>
      <c r="BJ263" s="66"/>
    </row>
    <row r="264" spans="8:62" x14ac:dyDescent="0.25">
      <c r="H264" s="14" t="s">
        <v>326</v>
      </c>
      <c r="I264" s="16"/>
      <c r="J264" s="88">
        <f>(7+7)*56/144</f>
        <v>5.4444444444444446</v>
      </c>
      <c r="K264" s="17" t="s">
        <v>126</v>
      </c>
      <c r="L264" s="14" t="s">
        <v>327</v>
      </c>
      <c r="M264" s="16"/>
      <c r="N264" s="16">
        <f>(9+9)*90/144</f>
        <v>11.25</v>
      </c>
      <c r="O264" s="17" t="s">
        <v>126</v>
      </c>
      <c r="P264" s="14" t="s">
        <v>330</v>
      </c>
      <c r="Q264" s="16"/>
      <c r="R264" s="16">
        <f>PI()*(0.67)*8</f>
        <v>16.838936623241292</v>
      </c>
      <c r="S264" s="17" t="s">
        <v>126</v>
      </c>
      <c r="V264" s="19" t="s">
        <v>129</v>
      </c>
      <c r="Y264" s="27">
        <f>(1*Y262)+(2*Y257)</f>
        <v>30.52436685795265</v>
      </c>
      <c r="Z264" t="s">
        <v>125</v>
      </c>
      <c r="AC264" s="21"/>
      <c r="AE264" s="42"/>
      <c r="AF264" s="43"/>
      <c r="AG264" s="43"/>
      <c r="AH264" s="43"/>
      <c r="AI264" s="43"/>
      <c r="AJ264" s="43"/>
      <c r="AK264" s="43"/>
      <c r="AL264" s="3"/>
      <c r="AM264" s="3"/>
      <c r="AN264" s="44"/>
      <c r="AP264" s="42"/>
      <c r="AQ264" s="43"/>
      <c r="AR264" s="43"/>
      <c r="AS264" s="43"/>
      <c r="AT264" s="43"/>
      <c r="AU264" s="43"/>
      <c r="AV264" s="43"/>
      <c r="AW264" s="3"/>
      <c r="AX264" s="3"/>
      <c r="AY264" s="44"/>
      <c r="BA264" s="74"/>
      <c r="BB264" s="75"/>
      <c r="BC264" s="75"/>
      <c r="BD264" s="75"/>
      <c r="BE264" s="75"/>
      <c r="BF264" s="75"/>
      <c r="BG264" s="75"/>
      <c r="BH264" s="76"/>
      <c r="BI264" s="76"/>
      <c r="BJ264" s="77"/>
    </row>
    <row r="265" spans="8:62" x14ac:dyDescent="0.25">
      <c r="H265" s="19" t="s">
        <v>187</v>
      </c>
      <c r="J265">
        <f>(2*5)*2</f>
        <v>20</v>
      </c>
      <c r="K265" s="21" t="s">
        <v>329</v>
      </c>
      <c r="L265" s="19" t="s">
        <v>187</v>
      </c>
      <c r="N265">
        <f>(2*5)*5</f>
        <v>50</v>
      </c>
      <c r="O265" s="21" t="s">
        <v>329</v>
      </c>
      <c r="P265" s="19" t="s">
        <v>328</v>
      </c>
      <c r="R265">
        <v>38</v>
      </c>
      <c r="S265" s="21" t="s">
        <v>329</v>
      </c>
      <c r="V265" s="19"/>
      <c r="AC265" s="21"/>
      <c r="AE265" s="45"/>
      <c r="AF265" s="46"/>
      <c r="AG265" s="46" t="s">
        <v>130</v>
      </c>
      <c r="AH265" s="47" t="s">
        <v>318</v>
      </c>
      <c r="AI265" s="46"/>
      <c r="AJ265" s="46"/>
      <c r="AK265" s="46"/>
      <c r="AL265" s="16"/>
      <c r="AM265" s="16"/>
      <c r="AN265" s="17"/>
      <c r="AP265" s="45"/>
      <c r="AQ265" s="46"/>
      <c r="AR265" s="46" t="s">
        <v>130</v>
      </c>
      <c r="AS265" s="47" t="s">
        <v>318</v>
      </c>
      <c r="AT265" s="46"/>
      <c r="AU265" s="46"/>
      <c r="AV265" s="46"/>
      <c r="AW265" s="16"/>
      <c r="AX265" s="16"/>
      <c r="AY265" s="17"/>
      <c r="BA265" s="78"/>
      <c r="BB265" s="79"/>
      <c r="BC265" s="79" t="s">
        <v>130</v>
      </c>
      <c r="BD265" s="80" t="s">
        <v>190</v>
      </c>
      <c r="BE265" s="79"/>
      <c r="BF265" s="79"/>
      <c r="BG265" s="79"/>
      <c r="BH265" s="60"/>
      <c r="BI265" s="60"/>
      <c r="BJ265" s="61"/>
    </row>
    <row r="266" spans="8:62" x14ac:dyDescent="0.25">
      <c r="H266" s="19" t="s">
        <v>188</v>
      </c>
      <c r="J266" s="7">
        <f>J264*J265</f>
        <v>108.88888888888889</v>
      </c>
      <c r="K266" s="21" t="s">
        <v>126</v>
      </c>
      <c r="L266" s="19" t="s">
        <v>188</v>
      </c>
      <c r="N266" s="7">
        <f>N264*N265</f>
        <v>562.5</v>
      </c>
      <c r="O266" s="21" t="s">
        <v>126</v>
      </c>
      <c r="P266" s="19" t="s">
        <v>188</v>
      </c>
      <c r="R266" s="7">
        <f>R264*R265</f>
        <v>639.87959168316911</v>
      </c>
      <c r="S266" s="21" t="s">
        <v>126</v>
      </c>
      <c r="V266" s="48" t="s">
        <v>131</v>
      </c>
      <c r="Y266" s="1">
        <f>0.25*4*Y264</f>
        <v>30.52436685795265</v>
      </c>
      <c r="Z266" t="s">
        <v>126</v>
      </c>
      <c r="AC266" s="21"/>
      <c r="AE266" s="42"/>
      <c r="AF266" s="43"/>
      <c r="AG266" s="43"/>
      <c r="AH266" s="43">
        <f>AG254+(2*AE260)+(2*AG259)</f>
        <v>30.048245395810937</v>
      </c>
      <c r="AI266" s="43" t="s">
        <v>52</v>
      </c>
      <c r="AJ266" s="43"/>
      <c r="AK266" s="43"/>
      <c r="AL266" s="3"/>
      <c r="AM266" s="3"/>
      <c r="AN266" s="44"/>
      <c r="AP266" s="42"/>
      <c r="AQ266" s="43"/>
      <c r="AR266" s="43"/>
      <c r="AS266" s="43">
        <f>AR254+(2*AP260)+(2*AR259)</f>
        <v>30.048245395810937</v>
      </c>
      <c r="AT266" s="43" t="s">
        <v>52</v>
      </c>
      <c r="AU266" s="43"/>
      <c r="AV266" s="43"/>
      <c r="AW266" s="3"/>
      <c r="AX266" s="3"/>
      <c r="AY266" s="44"/>
      <c r="BA266" s="74"/>
      <c r="BB266" s="75"/>
      <c r="BC266" s="75"/>
      <c r="BD266" s="75">
        <f>BC254+(2*BA260)+(2*BC259)+BB260</f>
        <v>48.069755579475569</v>
      </c>
      <c r="BE266" s="75" t="s">
        <v>52</v>
      </c>
      <c r="BF266" s="75"/>
      <c r="BG266" s="75"/>
      <c r="BH266" s="76"/>
      <c r="BI266" s="76"/>
      <c r="BJ266" s="77"/>
    </row>
    <row r="267" spans="8:62" x14ac:dyDescent="0.25">
      <c r="H267" s="49" t="s">
        <v>189</v>
      </c>
      <c r="I267" s="3"/>
      <c r="J267" s="3"/>
      <c r="K267" s="44"/>
      <c r="L267" s="49"/>
      <c r="M267" s="3"/>
      <c r="N267" s="3"/>
      <c r="O267" s="44"/>
      <c r="P267" s="49"/>
      <c r="Q267" s="3"/>
      <c r="R267" s="3"/>
      <c r="S267" s="44"/>
      <c r="V267" s="19" t="s">
        <v>132</v>
      </c>
      <c r="X267" t="s">
        <v>133</v>
      </c>
      <c r="Y267" s="27">
        <f>Y266*1.1</f>
        <v>33.576803543747914</v>
      </c>
      <c r="Z267" t="s">
        <v>126</v>
      </c>
      <c r="AC267" s="21"/>
      <c r="AE267" s="45"/>
      <c r="AF267" s="46"/>
      <c r="AG267" s="46"/>
      <c r="AH267" s="46"/>
      <c r="AI267" s="46"/>
      <c r="AJ267" s="46"/>
      <c r="AK267" s="46"/>
      <c r="AL267" s="16"/>
      <c r="AM267" s="16"/>
      <c r="AN267" s="17"/>
      <c r="AP267" s="45"/>
      <c r="AQ267" s="46"/>
      <c r="AR267" s="46"/>
      <c r="AS267" s="46"/>
      <c r="AT267" s="46"/>
      <c r="AU267" s="46"/>
      <c r="AV267" s="46"/>
      <c r="AW267" s="16"/>
      <c r="AX267" s="16"/>
      <c r="AY267" s="17"/>
      <c r="BA267" s="78"/>
      <c r="BB267" s="79"/>
      <c r="BC267" s="79"/>
      <c r="BD267" s="79"/>
      <c r="BE267" s="79"/>
      <c r="BF267" s="79"/>
      <c r="BG267" s="79"/>
      <c r="BH267" s="60"/>
      <c r="BI267" s="60"/>
      <c r="BJ267" s="61"/>
    </row>
    <row r="268" spans="8:62" x14ac:dyDescent="0.25">
      <c r="V268" s="49"/>
      <c r="W268" s="3"/>
      <c r="X268" s="3"/>
      <c r="Y268" s="3"/>
      <c r="Z268" s="3"/>
      <c r="AA268" s="3"/>
      <c r="AB268" s="3"/>
      <c r="AC268" s="44"/>
      <c r="AE268" s="32"/>
      <c r="AF268" s="28" t="s">
        <v>134</v>
      </c>
      <c r="AG268" s="28"/>
      <c r="AH268" s="28">
        <f>AH266*(0.3333*4)</f>
        <v>40.060320761695138</v>
      </c>
      <c r="AI268" s="28" t="s">
        <v>126</v>
      </c>
      <c r="AJ268" s="28"/>
      <c r="AK268" s="28"/>
      <c r="AN268" s="21"/>
      <c r="AP268" s="32"/>
      <c r="AQ268" s="28" t="s">
        <v>134</v>
      </c>
      <c r="AR268" s="28"/>
      <c r="AS268" s="28">
        <f>AS266*(0.3333*4)</f>
        <v>40.060320761695138</v>
      </c>
      <c r="AT268" s="28" t="s">
        <v>126</v>
      </c>
      <c r="AU268" s="28"/>
      <c r="AV268" s="28"/>
      <c r="AY268" s="21"/>
      <c r="BA268" s="67"/>
      <c r="BB268" s="65" t="s">
        <v>134</v>
      </c>
      <c r="BC268" s="65"/>
      <c r="BD268" s="65">
        <f>BD266*(0.3333*4)</f>
        <v>64.086598138556823</v>
      </c>
      <c r="BE268" s="65" t="s">
        <v>126</v>
      </c>
      <c r="BF268" s="65"/>
      <c r="BG268" s="65"/>
      <c r="BH268" s="63"/>
      <c r="BI268" s="63"/>
      <c r="BJ268" s="66"/>
    </row>
    <row r="269" spans="8:62" ht="15.05" customHeight="1" x14ac:dyDescent="0.25">
      <c r="H269" s="10" t="s">
        <v>91</v>
      </c>
      <c r="I269" s="10">
        <v>1</v>
      </c>
      <c r="J269" s="10" t="s">
        <v>52</v>
      </c>
      <c r="K269" s="10" t="s">
        <v>91</v>
      </c>
      <c r="L269" s="10">
        <f>16/12</f>
        <v>1.3333333333333333</v>
      </c>
      <c r="M269" s="10" t="s">
        <v>52</v>
      </c>
      <c r="N269" s="10" t="s">
        <v>91</v>
      </c>
      <c r="O269" s="10">
        <f>16/12</f>
        <v>1.3333333333333333</v>
      </c>
      <c r="P269" s="10" t="s">
        <v>52</v>
      </c>
      <c r="Q269" s="10" t="s">
        <v>91</v>
      </c>
      <c r="R269" s="10">
        <f>16/12</f>
        <v>1.3333333333333333</v>
      </c>
      <c r="S269" s="10" t="s">
        <v>52</v>
      </c>
      <c r="AE269" s="42"/>
      <c r="AF269" s="43" t="s">
        <v>135</v>
      </c>
      <c r="AG269" s="43"/>
      <c r="AH269" s="43"/>
      <c r="AI269" s="43"/>
      <c r="AJ269" s="43"/>
      <c r="AK269" s="43"/>
      <c r="AL269" s="3"/>
      <c r="AM269" s="3"/>
      <c r="AN269" s="44"/>
      <c r="AP269" s="42"/>
      <c r="AQ269" s="43" t="s">
        <v>135</v>
      </c>
      <c r="AR269" s="43"/>
      <c r="AS269" s="43"/>
      <c r="AT269" s="43"/>
      <c r="AU269" s="43"/>
      <c r="AV269" s="43"/>
      <c r="AW269" s="3"/>
      <c r="AX269" s="3"/>
      <c r="AY269" s="44"/>
      <c r="BA269" s="74"/>
      <c r="BB269" s="75" t="s">
        <v>135</v>
      </c>
      <c r="BC269" s="75"/>
      <c r="BD269" s="75"/>
      <c r="BE269" s="75"/>
      <c r="BF269" s="75"/>
      <c r="BG269" s="75"/>
      <c r="BH269" s="76"/>
      <c r="BI269" s="76"/>
      <c r="BJ269" s="77"/>
    </row>
    <row r="270" spans="8:62" x14ac:dyDescent="0.25">
      <c r="H270" s="10" t="s">
        <v>100</v>
      </c>
      <c r="I270" s="41">
        <f>Y264</f>
        <v>30.52436685795265</v>
      </c>
      <c r="J270" s="10" t="s">
        <v>52</v>
      </c>
      <c r="K270" s="10" t="s">
        <v>100</v>
      </c>
      <c r="L270" s="10">
        <f>AH266</f>
        <v>30.048245395810937</v>
      </c>
      <c r="M270" s="10" t="s">
        <v>52</v>
      </c>
      <c r="N270" s="10" t="s">
        <v>100</v>
      </c>
      <c r="O270" s="10">
        <f>AS266</f>
        <v>30.048245395810937</v>
      </c>
      <c r="P270" s="10" t="s">
        <v>52</v>
      </c>
      <c r="Q270" s="10" t="s">
        <v>100</v>
      </c>
      <c r="R270" s="10">
        <f>BD266</f>
        <v>48.069755579475569</v>
      </c>
      <c r="S270" s="10" t="s">
        <v>52</v>
      </c>
      <c r="AE270" s="14"/>
      <c r="AF270" s="16"/>
      <c r="AG270" s="16"/>
      <c r="AH270" s="16"/>
      <c r="AI270" s="16"/>
      <c r="AJ270" s="16"/>
      <c r="AK270" s="16"/>
      <c r="AL270" s="16"/>
      <c r="AM270" s="16"/>
      <c r="AN270" s="17"/>
      <c r="AP270" s="14"/>
      <c r="AQ270" s="16"/>
      <c r="AR270" s="16"/>
      <c r="AS270" s="16"/>
      <c r="AT270" s="16"/>
      <c r="AU270" s="16"/>
      <c r="AV270" s="16"/>
      <c r="AW270" s="16"/>
      <c r="AX270" s="16"/>
      <c r="AY270" s="17"/>
      <c r="BA270" s="81"/>
      <c r="BB270" s="60"/>
      <c r="BC270" s="60"/>
      <c r="BD270" s="60"/>
      <c r="BE270" s="60"/>
      <c r="BF270" s="60"/>
      <c r="BG270" s="60"/>
      <c r="BH270" s="60"/>
      <c r="BI270" s="60"/>
      <c r="BJ270" s="61"/>
    </row>
    <row r="271" spans="8:62" x14ac:dyDescent="0.25">
      <c r="H271" s="10" t="s">
        <v>106</v>
      </c>
      <c r="I271" s="33" t="s">
        <v>193</v>
      </c>
      <c r="J271" s="35"/>
      <c r="K271" s="10" t="s">
        <v>106</v>
      </c>
      <c r="L271" s="33" t="s">
        <v>319</v>
      </c>
      <c r="M271" s="35"/>
      <c r="N271" s="10" t="s">
        <v>106</v>
      </c>
      <c r="O271" s="33" t="s">
        <v>320</v>
      </c>
      <c r="P271" s="35"/>
      <c r="Q271" s="10" t="s">
        <v>106</v>
      </c>
      <c r="R271" s="33" t="s">
        <v>127</v>
      </c>
      <c r="S271" s="35"/>
      <c r="V271" s="14"/>
      <c r="W271" s="15" t="s">
        <v>314</v>
      </c>
      <c r="X271" s="16"/>
      <c r="Y271" s="16"/>
      <c r="Z271" s="16"/>
      <c r="AA271" s="16"/>
      <c r="AB271" s="16"/>
      <c r="AC271" s="17"/>
      <c r="AE271" s="19"/>
      <c r="AF271" s="222" t="s">
        <v>136</v>
      </c>
      <c r="AN271" s="21"/>
      <c r="AP271" s="19"/>
      <c r="AQ271" s="222" t="s">
        <v>136</v>
      </c>
      <c r="AY271" s="21"/>
      <c r="BA271" s="62"/>
      <c r="BB271" s="211" t="s">
        <v>136</v>
      </c>
      <c r="BC271" s="63"/>
      <c r="BD271" s="63"/>
      <c r="BE271" s="63"/>
      <c r="BF271" s="63"/>
      <c r="BG271" s="63"/>
      <c r="BH271" s="63"/>
      <c r="BI271" s="63"/>
      <c r="BJ271" s="66"/>
    </row>
    <row r="272" spans="8:62" x14ac:dyDescent="0.25">
      <c r="H272" s="10" t="s">
        <v>128</v>
      </c>
      <c r="I272" s="33">
        <f>34*4</f>
        <v>136</v>
      </c>
      <c r="J272" s="35"/>
      <c r="K272" s="10" t="s">
        <v>128</v>
      </c>
      <c r="L272" s="33">
        <v>4</v>
      </c>
      <c r="M272" s="35"/>
      <c r="N272" s="10" t="s">
        <v>128</v>
      </c>
      <c r="O272" s="33">
        <v>4</v>
      </c>
      <c r="P272" s="35"/>
      <c r="Q272" s="10" t="s">
        <v>128</v>
      </c>
      <c r="R272" s="33">
        <v>0</v>
      </c>
      <c r="S272" s="35"/>
      <c r="V272" s="19"/>
      <c r="X272" t="s">
        <v>101</v>
      </c>
      <c r="AE272" s="19"/>
      <c r="AF272" s="222"/>
      <c r="AH272">
        <f>AL250*AH266</f>
        <v>246.39561224564966</v>
      </c>
      <c r="AI272" t="s">
        <v>137</v>
      </c>
      <c r="AN272" s="21"/>
      <c r="AP272" s="19"/>
      <c r="AQ272" s="222"/>
      <c r="AS272">
        <f>AW250*AS266</f>
        <v>246.39561224564966</v>
      </c>
      <c r="AT272" t="s">
        <v>137</v>
      </c>
      <c r="AY272" s="21"/>
      <c r="BA272" s="62"/>
      <c r="BB272" s="211"/>
      <c r="BC272" s="63"/>
      <c r="BD272" s="63">
        <f>BH250*BD266</f>
        <v>394.17199575169963</v>
      </c>
      <c r="BE272" s="63" t="s">
        <v>137</v>
      </c>
      <c r="BF272" s="63"/>
      <c r="BG272" s="63"/>
      <c r="BH272" s="63"/>
      <c r="BI272" s="63"/>
      <c r="BJ272" s="66"/>
    </row>
    <row r="273" spans="8:62" x14ac:dyDescent="0.25">
      <c r="H273" s="10" t="s">
        <v>112</v>
      </c>
      <c r="I273" s="10">
        <f>I270*I269*I272</f>
        <v>4151.31389268156</v>
      </c>
      <c r="J273" s="10" t="s">
        <v>113</v>
      </c>
      <c r="K273" s="10" t="s">
        <v>112</v>
      </c>
      <c r="L273" s="10">
        <f>L270*L269*L272</f>
        <v>160.25730877765832</v>
      </c>
      <c r="M273" s="10" t="s">
        <v>113</v>
      </c>
      <c r="N273" s="10" t="s">
        <v>112</v>
      </c>
      <c r="O273" s="10">
        <f>O270*O269*O272</f>
        <v>160.25730877765832</v>
      </c>
      <c r="P273" s="10" t="s">
        <v>113</v>
      </c>
      <c r="Q273" s="10" t="s">
        <v>112</v>
      </c>
      <c r="R273" s="10">
        <f>R270*R269*R272</f>
        <v>0</v>
      </c>
      <c r="S273" s="10" t="s">
        <v>113</v>
      </c>
      <c r="V273" s="19"/>
      <c r="AA273" s="25"/>
      <c r="AC273" s="21"/>
      <c r="AE273" s="49"/>
      <c r="AF273" s="228"/>
      <c r="AG273" s="3"/>
      <c r="AH273" s="3"/>
      <c r="AI273" s="3"/>
      <c r="AJ273" s="3"/>
      <c r="AK273" s="3"/>
      <c r="AL273" s="3"/>
      <c r="AM273" s="3"/>
      <c r="AN273" s="44"/>
      <c r="AP273" s="49"/>
      <c r="AQ273" s="228"/>
      <c r="AR273" s="3"/>
      <c r="AS273" s="3"/>
      <c r="AT273" s="3"/>
      <c r="AU273" s="3"/>
      <c r="AV273" s="3"/>
      <c r="AW273" s="3"/>
      <c r="AX273" s="3"/>
      <c r="AY273" s="44"/>
      <c r="BA273" s="82"/>
      <c r="BB273" s="218"/>
      <c r="BC273" s="76"/>
      <c r="BD273" s="76"/>
      <c r="BE273" s="76"/>
      <c r="BF273" s="76"/>
      <c r="BG273" s="76"/>
      <c r="BH273" s="76"/>
      <c r="BI273" s="76"/>
      <c r="BJ273" s="77"/>
    </row>
    <row r="274" spans="8:62" x14ac:dyDescent="0.25">
      <c r="H274" s="10" t="s">
        <v>117</v>
      </c>
      <c r="I274" s="31">
        <f>I273*1.1</f>
        <v>4566.4452819497164</v>
      </c>
      <c r="J274" s="10" t="s">
        <v>113</v>
      </c>
      <c r="K274" s="10" t="s">
        <v>117</v>
      </c>
      <c r="L274" s="31">
        <f>L273*1.1</f>
        <v>176.28303965542418</v>
      </c>
      <c r="M274" s="10" t="s">
        <v>113</v>
      </c>
      <c r="N274" s="10" t="s">
        <v>117</v>
      </c>
      <c r="O274" s="31">
        <f>O273*1.1</f>
        <v>176.28303965542418</v>
      </c>
      <c r="P274" s="10" t="s">
        <v>113</v>
      </c>
      <c r="Q274" s="10" t="s">
        <v>117</v>
      </c>
      <c r="R274" s="31">
        <f>R273*1.1</f>
        <v>0</v>
      </c>
      <c r="S274" s="10" t="s">
        <v>113</v>
      </c>
      <c r="V274" s="19"/>
      <c r="W274" t="s">
        <v>114</v>
      </c>
      <c r="X274" s="27">
        <v>9.5</v>
      </c>
      <c r="Y274" s="27" t="s">
        <v>52</v>
      </c>
      <c r="Z274" s="27"/>
      <c r="AC274" s="21"/>
      <c r="AE274" s="14"/>
      <c r="AF274" s="16"/>
      <c r="AG274" s="16"/>
      <c r="AH274" s="16"/>
      <c r="AI274" s="16"/>
      <c r="AJ274" s="16"/>
      <c r="AK274" s="16"/>
      <c r="AL274" s="16"/>
      <c r="AM274" s="16"/>
      <c r="AN274" s="17"/>
      <c r="AP274" s="14"/>
      <c r="AQ274" s="16"/>
      <c r="AR274" s="16"/>
      <c r="AS274" s="16"/>
      <c r="AT274" s="16"/>
      <c r="AU274" s="16"/>
      <c r="AV274" s="16"/>
      <c r="AW274" s="16"/>
      <c r="AX274" s="16"/>
      <c r="AY274" s="17"/>
      <c r="BA274" s="81"/>
      <c r="BB274" s="60"/>
      <c r="BC274" s="60"/>
      <c r="BD274" s="60"/>
      <c r="BE274" s="60"/>
      <c r="BF274" s="60"/>
      <c r="BG274" s="60"/>
      <c r="BH274" s="60"/>
      <c r="BI274" s="60"/>
      <c r="BJ274" s="61"/>
    </row>
    <row r="275" spans="8:62" ht="17.850000000000001" x14ac:dyDescent="0.35">
      <c r="V275" s="229" t="s">
        <v>315</v>
      </c>
      <c r="W275" s="28" t="s">
        <v>317</v>
      </c>
      <c r="X275">
        <f>(60+94)/2</f>
        <v>77</v>
      </c>
      <c r="Y275" t="s">
        <v>92</v>
      </c>
      <c r="AA275" s="25" t="s">
        <v>118</v>
      </c>
      <c r="AB275">
        <v>2</v>
      </c>
      <c r="AC275" s="21" t="s">
        <v>92</v>
      </c>
      <c r="AE275" s="19"/>
      <c r="AF275" s="222" t="s">
        <v>138</v>
      </c>
      <c r="AH275">
        <f>1.1*AH272</f>
        <v>271.03517347021466</v>
      </c>
      <c r="AI275" t="s">
        <v>137</v>
      </c>
      <c r="AN275" s="21"/>
      <c r="AP275" s="19"/>
      <c r="AQ275" s="222" t="s">
        <v>138</v>
      </c>
      <c r="AS275">
        <f>1.1*AS272</f>
        <v>271.03517347021466</v>
      </c>
      <c r="AT275" t="s">
        <v>137</v>
      </c>
      <c r="AY275" s="21"/>
      <c r="BA275" s="62"/>
      <c r="BB275" s="211" t="s">
        <v>138</v>
      </c>
      <c r="BC275" s="63"/>
      <c r="BD275" s="63">
        <f>1.1*BD272</f>
        <v>433.58919532686963</v>
      </c>
      <c r="BE275" s="63" t="s">
        <v>137</v>
      </c>
      <c r="BF275" s="63"/>
      <c r="BG275" s="63"/>
      <c r="BH275" s="63"/>
      <c r="BI275" s="63"/>
      <c r="BJ275" s="66"/>
    </row>
    <row r="276" spans="8:62" x14ac:dyDescent="0.25">
      <c r="H276" s="10" t="s">
        <v>91</v>
      </c>
      <c r="I276" s="10">
        <v>1</v>
      </c>
      <c r="J276" s="10" t="s">
        <v>52</v>
      </c>
      <c r="K276" s="10" t="s">
        <v>91</v>
      </c>
      <c r="L276" s="10">
        <v>1</v>
      </c>
      <c r="M276" s="10" t="s">
        <v>52</v>
      </c>
      <c r="N276" s="10" t="s">
        <v>91</v>
      </c>
      <c r="O276" s="10">
        <f>(13.14+8)*2/12</f>
        <v>3.5233333333333334</v>
      </c>
      <c r="P276" s="10" t="s">
        <v>52</v>
      </c>
      <c r="Q276" s="10" t="s">
        <v>91</v>
      </c>
      <c r="R276" s="10">
        <f>(13.14+8)*2/12</f>
        <v>3.5233333333333334</v>
      </c>
      <c r="S276" s="10" t="s">
        <v>52</v>
      </c>
      <c r="V276" s="229"/>
      <c r="X276">
        <f>X275/12</f>
        <v>6.416666666666667</v>
      </c>
      <c r="Y276" t="s">
        <v>52</v>
      </c>
      <c r="AA276" s="25"/>
      <c r="AC276" s="21"/>
      <c r="AE276" s="49"/>
      <c r="AF276" s="228"/>
      <c r="AG276" s="3"/>
      <c r="AH276" s="3"/>
      <c r="AI276" s="3"/>
      <c r="AJ276" s="3"/>
      <c r="AK276" s="3"/>
      <c r="AL276" s="3"/>
      <c r="AM276" s="3"/>
      <c r="AN276" s="44"/>
      <c r="AP276" s="49"/>
      <c r="AQ276" s="228"/>
      <c r="AR276" s="3"/>
      <c r="AS276" s="3"/>
      <c r="AT276" s="3"/>
      <c r="AU276" s="3"/>
      <c r="AV276" s="3"/>
      <c r="AW276" s="3"/>
      <c r="AX276" s="3"/>
      <c r="AY276" s="44"/>
      <c r="BA276" s="82"/>
      <c r="BB276" s="218"/>
      <c r="BC276" s="76"/>
      <c r="BD276" s="76"/>
      <c r="BE276" s="76"/>
      <c r="BF276" s="76"/>
      <c r="BG276" s="76"/>
      <c r="BH276" s="76"/>
      <c r="BI276" s="76"/>
      <c r="BJ276" s="77"/>
    </row>
    <row r="277" spans="8:62" x14ac:dyDescent="0.25">
      <c r="H277" s="10" t="s">
        <v>100</v>
      </c>
      <c r="I277" s="41">
        <v>9.5</v>
      </c>
      <c r="J277" s="10" t="s">
        <v>52</v>
      </c>
      <c r="K277" s="10" t="s">
        <v>100</v>
      </c>
      <c r="L277" s="41">
        <f>Y286</f>
        <v>31.884354694989781</v>
      </c>
      <c r="M277" s="10" t="s">
        <v>52</v>
      </c>
      <c r="N277" s="10" t="s">
        <v>100</v>
      </c>
      <c r="O277" s="41">
        <v>17.920000000000002</v>
      </c>
      <c r="P277" s="10" t="s">
        <v>52</v>
      </c>
      <c r="Q277" s="10" t="s">
        <v>100</v>
      </c>
      <c r="R277" s="41">
        <v>17.25</v>
      </c>
      <c r="S277" s="10" t="s">
        <v>52</v>
      </c>
      <c r="V277" s="19"/>
      <c r="AC277" s="21"/>
      <c r="AE277" s="14"/>
      <c r="AF277" s="16"/>
      <c r="AG277" s="16"/>
      <c r="AH277" s="16"/>
      <c r="AI277" s="16"/>
      <c r="AJ277" s="16"/>
      <c r="AK277" s="16"/>
      <c r="AL277" s="16"/>
      <c r="AM277" s="16"/>
      <c r="AN277" s="17"/>
      <c r="AP277" s="14"/>
      <c r="AQ277" s="16"/>
      <c r="AR277" s="16"/>
      <c r="AS277" s="16"/>
      <c r="AT277" s="16"/>
      <c r="AU277" s="16"/>
      <c r="AV277" s="16"/>
      <c r="AW277" s="16"/>
      <c r="AX277" s="16"/>
      <c r="AY277" s="17"/>
      <c r="BA277" s="81"/>
      <c r="BB277" s="60"/>
      <c r="BC277" s="60"/>
      <c r="BD277" s="60"/>
      <c r="BE277" s="60"/>
      <c r="BF277" s="60"/>
      <c r="BG277" s="60"/>
      <c r="BH277" s="60"/>
      <c r="BI277" s="60"/>
      <c r="BJ277" s="61"/>
    </row>
    <row r="278" spans="8:62" x14ac:dyDescent="0.25">
      <c r="H278" s="10" t="s">
        <v>106</v>
      </c>
      <c r="I278" s="33" t="s">
        <v>322</v>
      </c>
      <c r="J278" s="35"/>
      <c r="K278" s="10" t="s">
        <v>106</v>
      </c>
      <c r="L278" s="33" t="s">
        <v>316</v>
      </c>
      <c r="M278" s="35"/>
      <c r="N278" s="10" t="s">
        <v>106</v>
      </c>
      <c r="O278" s="33" t="s">
        <v>323</v>
      </c>
      <c r="P278" s="35"/>
      <c r="Q278" s="10" t="s">
        <v>106</v>
      </c>
      <c r="R278" s="33" t="s">
        <v>323</v>
      </c>
      <c r="S278" s="35"/>
      <c r="V278" s="19"/>
      <c r="AC278" s="21"/>
      <c r="AE278" s="19"/>
      <c r="AF278" s="222" t="s">
        <v>139</v>
      </c>
      <c r="AH278">
        <v>4</v>
      </c>
      <c r="AN278" s="21"/>
      <c r="AP278" s="19"/>
      <c r="AQ278" s="222" t="s">
        <v>139</v>
      </c>
      <c r="AS278">
        <v>4</v>
      </c>
      <c r="AY278" s="21"/>
      <c r="BA278" s="62"/>
      <c r="BB278" s="211" t="s">
        <v>139</v>
      </c>
      <c r="BC278" s="63"/>
      <c r="BD278" s="63">
        <v>2</v>
      </c>
      <c r="BE278" s="63"/>
      <c r="BF278" s="63"/>
      <c r="BG278" s="63"/>
      <c r="BH278" s="63"/>
      <c r="BI278" s="63"/>
      <c r="BJ278" s="66"/>
    </row>
    <row r="279" spans="8:62" x14ac:dyDescent="0.25">
      <c r="H279" s="10" t="s">
        <v>128</v>
      </c>
      <c r="I279" s="33">
        <v>61</v>
      </c>
      <c r="J279" s="35"/>
      <c r="K279" s="10" t="s">
        <v>128</v>
      </c>
      <c r="L279" s="33">
        <f>25*4</f>
        <v>100</v>
      </c>
      <c r="M279" s="35"/>
      <c r="N279" s="10" t="s">
        <v>128</v>
      </c>
      <c r="O279" s="33">
        <v>32</v>
      </c>
      <c r="P279" s="35"/>
      <c r="Q279" s="10" t="s">
        <v>128</v>
      </c>
      <c r="R279" s="33">
        <v>88</v>
      </c>
      <c r="S279" s="35"/>
      <c r="V279" s="19"/>
      <c r="AC279" s="21"/>
      <c r="AE279" s="19"/>
      <c r="AF279" s="222"/>
      <c r="AN279" s="21"/>
      <c r="AP279" s="19"/>
      <c r="AQ279" s="222"/>
      <c r="AY279" s="21"/>
      <c r="BA279" s="62"/>
      <c r="BB279" s="211"/>
      <c r="BC279" s="63"/>
      <c r="BD279" s="63"/>
      <c r="BE279" s="63"/>
      <c r="BF279" s="63"/>
      <c r="BG279" s="63"/>
      <c r="BH279" s="63"/>
      <c r="BI279" s="63"/>
      <c r="BJ279" s="66"/>
    </row>
    <row r="280" spans="8:62" x14ac:dyDescent="0.25">
      <c r="H280" s="10" t="s">
        <v>112</v>
      </c>
      <c r="I280" s="10">
        <f>I277*I276*I279</f>
        <v>579.5</v>
      </c>
      <c r="J280" s="10" t="s">
        <v>113</v>
      </c>
      <c r="K280" s="10" t="s">
        <v>112</v>
      </c>
      <c r="L280" s="10">
        <f>L277*L276*L279</f>
        <v>3188.4354694989779</v>
      </c>
      <c r="M280" s="10" t="s">
        <v>113</v>
      </c>
      <c r="N280" s="10" t="s">
        <v>112</v>
      </c>
      <c r="O280" s="10">
        <f>O277*O276*O279</f>
        <v>2020.420266666667</v>
      </c>
      <c r="P280" s="10" t="s">
        <v>113</v>
      </c>
      <c r="Q280" s="10" t="s">
        <v>112</v>
      </c>
      <c r="R280" s="10">
        <f>R277*R276*R279</f>
        <v>5348.42</v>
      </c>
      <c r="S280" s="10" t="s">
        <v>113</v>
      </c>
      <c r="V280" s="19"/>
      <c r="W280">
        <f>X276-2*(AB275/12+0.083)</f>
        <v>5.9173333333333336</v>
      </c>
      <c r="X280" t="s">
        <v>2</v>
      </c>
      <c r="Z280">
        <f>SQRT((Y284)^2+(W280)^2)</f>
        <v>11.192177347494891</v>
      </c>
      <c r="AA280" t="s">
        <v>2</v>
      </c>
      <c r="AC280" s="21"/>
      <c r="AE280" s="49"/>
      <c r="AF280" s="3"/>
      <c r="AG280" s="3"/>
      <c r="AH280" s="3"/>
      <c r="AI280" s="3"/>
      <c r="AJ280" s="3"/>
      <c r="AK280" s="3"/>
      <c r="AL280" s="3"/>
      <c r="AM280" s="3"/>
      <c r="AN280" s="44"/>
      <c r="AP280" s="49"/>
      <c r="AQ280" s="3"/>
      <c r="AR280" s="3"/>
      <c r="AS280" s="3"/>
      <c r="AT280" s="3"/>
      <c r="AU280" s="3"/>
      <c r="AV280" s="3"/>
      <c r="AW280" s="3"/>
      <c r="AX280" s="3"/>
      <c r="AY280" s="44"/>
      <c r="BA280" s="82"/>
      <c r="BB280" s="76"/>
      <c r="BC280" s="76"/>
      <c r="BD280" s="76"/>
      <c r="BE280" s="76"/>
      <c r="BF280" s="76"/>
      <c r="BG280" s="76"/>
      <c r="BH280" s="76"/>
      <c r="BI280" s="76"/>
      <c r="BJ280" s="77"/>
    </row>
    <row r="281" spans="8:62" ht="18" customHeight="1" x14ac:dyDescent="0.25">
      <c r="H281" s="10" t="s">
        <v>117</v>
      </c>
      <c r="I281" s="31">
        <f>I280*1.1</f>
        <v>637.45000000000005</v>
      </c>
      <c r="J281" s="10" t="s">
        <v>113</v>
      </c>
      <c r="K281" s="10" t="s">
        <v>117</v>
      </c>
      <c r="L281" s="31">
        <f>L280*1.1</f>
        <v>3507.2790164488761</v>
      </c>
      <c r="M281" s="10" t="s">
        <v>113</v>
      </c>
      <c r="N281" s="10" t="s">
        <v>117</v>
      </c>
      <c r="O281" s="31">
        <f>O280*1.1</f>
        <v>2222.4622933333339</v>
      </c>
      <c r="P281" s="10" t="s">
        <v>113</v>
      </c>
      <c r="Q281" s="10" t="s">
        <v>117</v>
      </c>
      <c r="R281" s="31">
        <f>R280*1.1</f>
        <v>5883.2620000000006</v>
      </c>
      <c r="S281" s="10" t="s">
        <v>113</v>
      </c>
      <c r="V281" s="19"/>
      <c r="W281">
        <f>W280*12</f>
        <v>71.00800000000001</v>
      </c>
      <c r="AC281" s="21"/>
      <c r="AE281" s="33"/>
      <c r="AF281" s="53" t="s">
        <v>140</v>
      </c>
      <c r="AG281" s="34"/>
      <c r="AH281" s="51">
        <f>AH275*AH278</f>
        <v>1084.1406938808586</v>
      </c>
      <c r="AI281" s="34" t="s">
        <v>137</v>
      </c>
      <c r="AJ281" s="34"/>
      <c r="AK281" s="34"/>
      <c r="AL281" s="34"/>
      <c r="AM281" s="34"/>
      <c r="AN281" s="35"/>
      <c r="AP281" s="33"/>
      <c r="AQ281" s="53" t="s">
        <v>140</v>
      </c>
      <c r="AR281" s="34"/>
      <c r="AS281" s="51">
        <f>AS275*AS278</f>
        <v>1084.1406938808586</v>
      </c>
      <c r="AT281" s="34" t="s">
        <v>137</v>
      </c>
      <c r="AU281" s="34"/>
      <c r="AV281" s="34"/>
      <c r="AW281" s="34"/>
      <c r="AX281" s="34"/>
      <c r="AY281" s="35"/>
      <c r="BA281" s="83"/>
      <c r="BB281" s="84" t="s">
        <v>140</v>
      </c>
      <c r="BC281" s="85"/>
      <c r="BD281" s="85">
        <f>BD275*BD278</f>
        <v>867.17839065373926</v>
      </c>
      <c r="BE281" s="85" t="s">
        <v>137</v>
      </c>
      <c r="BF281" s="85"/>
      <c r="BG281" s="85"/>
      <c r="BH281" s="85"/>
      <c r="BI281" s="85"/>
      <c r="BJ281" s="86"/>
    </row>
    <row r="282" spans="8:62" x14ac:dyDescent="0.25">
      <c r="V282" s="19"/>
      <c r="AC282" s="21"/>
    </row>
    <row r="283" spans="8:62" x14ac:dyDescent="0.25">
      <c r="V283" s="19"/>
      <c r="AC283" s="21"/>
    </row>
    <row r="284" spans="8:62" ht="44.55" x14ac:dyDescent="0.25">
      <c r="L284" s="5" t="s">
        <v>150</v>
      </c>
      <c r="M284" s="50">
        <f>J257+N257+J261+N262+R262+J266+N266+R266+I274+L274+O274+R274+L281+O281+R281</f>
        <v>103435.02794328152</v>
      </c>
      <c r="N284" t="s">
        <v>113</v>
      </c>
      <c r="V284" s="19"/>
      <c r="Y284" s="27">
        <f>X274</f>
        <v>9.5</v>
      </c>
      <c r="AC284" s="21"/>
    </row>
    <row r="285" spans="8:62" x14ac:dyDescent="0.25">
      <c r="V285" s="19"/>
      <c r="AC285" s="21"/>
    </row>
    <row r="286" spans="8:62" x14ac:dyDescent="0.25">
      <c r="V286" s="19" t="s">
        <v>129</v>
      </c>
      <c r="Y286" s="27">
        <f>(1*Y284)+(2*Z280)</f>
        <v>31.884354694989781</v>
      </c>
      <c r="Z286" t="s">
        <v>125</v>
      </c>
      <c r="AC286" s="21"/>
    </row>
    <row r="287" spans="8:62" x14ac:dyDescent="0.25">
      <c r="V287" s="19"/>
      <c r="AC287" s="21"/>
    </row>
    <row r="288" spans="8:62" x14ac:dyDescent="0.25">
      <c r="V288" s="48" t="s">
        <v>131</v>
      </c>
      <c r="Y288" s="1">
        <f>0.25*4*Y286</f>
        <v>31.884354694989781</v>
      </c>
      <c r="Z288" t="s">
        <v>126</v>
      </c>
      <c r="AC288" s="21"/>
    </row>
    <row r="289" spans="1:29" x14ac:dyDescent="0.25">
      <c r="V289" s="19" t="s">
        <v>132</v>
      </c>
      <c r="X289" t="s">
        <v>133</v>
      </c>
      <c r="Y289" s="27">
        <f>Y288*1.1</f>
        <v>35.072790164488765</v>
      </c>
      <c r="Z289" t="s">
        <v>126</v>
      </c>
      <c r="AC289" s="21"/>
    </row>
    <row r="290" spans="1:29" x14ac:dyDescent="0.25">
      <c r="V290" s="49"/>
      <c r="W290" s="3"/>
      <c r="X290" s="3"/>
      <c r="Y290" s="3"/>
      <c r="Z290" s="3"/>
      <c r="AA290" s="3"/>
      <c r="AB290" s="3"/>
      <c r="AC290" s="44"/>
    </row>
    <row r="302" spans="1:29" x14ac:dyDescent="0.25">
      <c r="A302" s="2" t="s">
        <v>141</v>
      </c>
    </row>
    <row r="304" spans="1:29" x14ac:dyDescent="0.25">
      <c r="A304" t="s">
        <v>143</v>
      </c>
      <c r="D304">
        <v>41.5</v>
      </c>
      <c r="E304" t="s">
        <v>2</v>
      </c>
    </row>
    <row r="305" spans="1:5" x14ac:dyDescent="0.25">
      <c r="A305" t="s">
        <v>146</v>
      </c>
      <c r="D305">
        <v>0</v>
      </c>
      <c r="E305" t="s">
        <v>72</v>
      </c>
    </row>
    <row r="307" spans="1:5" x14ac:dyDescent="0.25">
      <c r="A307" t="s">
        <v>194</v>
      </c>
      <c r="D307" s="1">
        <f>41.5</f>
        <v>41.5</v>
      </c>
      <c r="E307" t="s">
        <v>2</v>
      </c>
    </row>
    <row r="308" spans="1:5" x14ac:dyDescent="0.25">
      <c r="A308" t="s">
        <v>195</v>
      </c>
      <c r="D308" s="3">
        <v>41.5</v>
      </c>
      <c r="E308" s="3" t="s">
        <v>2</v>
      </c>
    </row>
    <row r="309" spans="1:5" x14ac:dyDescent="0.25">
      <c r="A309" t="s">
        <v>147</v>
      </c>
      <c r="D309" s="52">
        <f>SUM(D307:D308)</f>
        <v>83</v>
      </c>
      <c r="E309" s="7" t="s">
        <v>2</v>
      </c>
    </row>
    <row r="313" spans="1:5" x14ac:dyDescent="0.25">
      <c r="A313" s="56" t="s">
        <v>306</v>
      </c>
    </row>
    <row r="315" spans="1:5" x14ac:dyDescent="0.25">
      <c r="A315" t="s">
        <v>307</v>
      </c>
      <c r="B315" t="s">
        <v>308</v>
      </c>
      <c r="C315">
        <v>1</v>
      </c>
      <c r="D315" t="s">
        <v>116</v>
      </c>
    </row>
    <row r="318" spans="1:5" x14ac:dyDescent="0.25">
      <c r="A318" s="56" t="s">
        <v>304</v>
      </c>
    </row>
    <row r="319" spans="1:5" x14ac:dyDescent="0.25">
      <c r="A319" s="56" t="s">
        <v>332</v>
      </c>
    </row>
    <row r="320" spans="1:5" x14ac:dyDescent="0.25">
      <c r="A320" t="s">
        <v>148</v>
      </c>
      <c r="C320">
        <v>5</v>
      </c>
      <c r="D320" t="s">
        <v>116</v>
      </c>
    </row>
    <row r="322" spans="1:5" x14ac:dyDescent="0.25">
      <c r="A322" t="s">
        <v>149</v>
      </c>
      <c r="C322" s="3">
        <v>5</v>
      </c>
      <c r="D322" s="3" t="s">
        <v>116</v>
      </c>
    </row>
    <row r="323" spans="1:5" x14ac:dyDescent="0.25">
      <c r="C323" s="7">
        <f>SUM(C320:C322)</f>
        <v>10</v>
      </c>
      <c r="D323" s="7" t="s">
        <v>116</v>
      </c>
    </row>
    <row r="327" spans="1:5" x14ac:dyDescent="0.25">
      <c r="A327" s="2" t="s">
        <v>41</v>
      </c>
    </row>
    <row r="328" spans="1:5" x14ac:dyDescent="0.25">
      <c r="A328" s="2"/>
    </row>
    <row r="329" spans="1:5" x14ac:dyDescent="0.25">
      <c r="A329" t="s">
        <v>305</v>
      </c>
      <c r="C329">
        <v>5</v>
      </c>
      <c r="D329" t="s">
        <v>278</v>
      </c>
      <c r="E329" t="s">
        <v>333</v>
      </c>
    </row>
    <row r="330" spans="1:5" x14ac:dyDescent="0.25">
      <c r="A330" s="2"/>
    </row>
    <row r="331" spans="1:5" x14ac:dyDescent="0.25">
      <c r="A331" t="s">
        <v>175</v>
      </c>
    </row>
    <row r="332" spans="1:5" x14ac:dyDescent="0.25">
      <c r="A332" t="s">
        <v>37</v>
      </c>
      <c r="D332">
        <v>0</v>
      </c>
      <c r="E332" t="s">
        <v>2</v>
      </c>
    </row>
    <row r="333" spans="1:5" x14ac:dyDescent="0.25">
      <c r="A333" t="s">
        <v>38</v>
      </c>
      <c r="D333">
        <v>0</v>
      </c>
      <c r="E333" t="s">
        <v>2</v>
      </c>
    </row>
    <row r="334" spans="1:5" x14ac:dyDescent="0.25">
      <c r="A334" t="s">
        <v>43</v>
      </c>
      <c r="D334">
        <v>1</v>
      </c>
    </row>
    <row r="335" spans="1:5" x14ac:dyDescent="0.25">
      <c r="A335" t="s">
        <v>42</v>
      </c>
      <c r="C335">
        <f>D332*D333*D334</f>
        <v>0</v>
      </c>
      <c r="D335" t="s">
        <v>40</v>
      </c>
    </row>
    <row r="337" spans="1:5" x14ac:dyDescent="0.25">
      <c r="A337" t="s">
        <v>179</v>
      </c>
    </row>
    <row r="338" spans="1:5" x14ac:dyDescent="0.25">
      <c r="A338" t="s">
        <v>37</v>
      </c>
      <c r="D338">
        <v>0</v>
      </c>
      <c r="E338" t="s">
        <v>2</v>
      </c>
    </row>
    <row r="339" spans="1:5" x14ac:dyDescent="0.25">
      <c r="A339" t="s">
        <v>38</v>
      </c>
      <c r="D339">
        <v>0</v>
      </c>
      <c r="E339" t="s">
        <v>2</v>
      </c>
    </row>
    <row r="340" spans="1:5" x14ac:dyDescent="0.25">
      <c r="A340" t="s">
        <v>43</v>
      </c>
      <c r="D340">
        <v>1</v>
      </c>
    </row>
    <row r="341" spans="1:5" x14ac:dyDescent="0.25">
      <c r="A341" t="s">
        <v>42</v>
      </c>
      <c r="C341">
        <f>D338*D339*D340</f>
        <v>0</v>
      </c>
      <c r="D341" t="s">
        <v>40</v>
      </c>
    </row>
    <row r="343" spans="1:5" x14ac:dyDescent="0.25">
      <c r="A343" t="s">
        <v>182</v>
      </c>
    </row>
    <row r="344" spans="1:5" x14ac:dyDescent="0.25">
      <c r="A344" t="s">
        <v>37</v>
      </c>
      <c r="D344">
        <v>0</v>
      </c>
      <c r="E344" t="s">
        <v>2</v>
      </c>
    </row>
    <row r="345" spans="1:5" x14ac:dyDescent="0.25">
      <c r="A345" t="s">
        <v>38</v>
      </c>
      <c r="D345">
        <v>0</v>
      </c>
      <c r="E345" t="s">
        <v>2</v>
      </c>
    </row>
    <row r="346" spans="1:5" x14ac:dyDescent="0.25">
      <c r="A346" t="s">
        <v>43</v>
      </c>
      <c r="D346">
        <v>1</v>
      </c>
    </row>
    <row r="347" spans="1:5" x14ac:dyDescent="0.25">
      <c r="A347" t="s">
        <v>42</v>
      </c>
      <c r="C347">
        <f>D344*D345*D346</f>
        <v>0</v>
      </c>
      <c r="D347" t="s">
        <v>40</v>
      </c>
    </row>
    <row r="349" spans="1:5" x14ac:dyDescent="0.25">
      <c r="A349" t="s">
        <v>181</v>
      </c>
    </row>
    <row r="350" spans="1:5" x14ac:dyDescent="0.25">
      <c r="A350" t="s">
        <v>37</v>
      </c>
      <c r="D350">
        <v>0</v>
      </c>
      <c r="E350" t="s">
        <v>2</v>
      </c>
    </row>
    <row r="351" spans="1:5" x14ac:dyDescent="0.25">
      <c r="A351" t="s">
        <v>38</v>
      </c>
      <c r="D351">
        <v>0</v>
      </c>
      <c r="E351" t="s">
        <v>2</v>
      </c>
    </row>
    <row r="352" spans="1:5" x14ac:dyDescent="0.25">
      <c r="A352" t="s">
        <v>43</v>
      </c>
      <c r="D352">
        <v>1</v>
      </c>
    </row>
    <row r="353" spans="1:5" x14ac:dyDescent="0.25">
      <c r="A353" t="s">
        <v>42</v>
      </c>
      <c r="C353">
        <f>D350*D351*D352</f>
        <v>0</v>
      </c>
      <c r="D353" t="s">
        <v>40</v>
      </c>
    </row>
    <row r="355" spans="1:5" x14ac:dyDescent="0.25">
      <c r="A355" t="s">
        <v>180</v>
      </c>
      <c r="C355" s="7">
        <f>ROUNDUP(C329+C335+C341+C347+C353,0)</f>
        <v>5</v>
      </c>
      <c r="D355" s="7" t="s">
        <v>40</v>
      </c>
    </row>
    <row r="359" spans="1:5" x14ac:dyDescent="0.25">
      <c r="A359" s="56" t="s">
        <v>335</v>
      </c>
      <c r="B359" s="6"/>
      <c r="C359" s="6"/>
      <c r="D359">
        <v>38</v>
      </c>
      <c r="E359" t="s">
        <v>116</v>
      </c>
    </row>
  </sheetData>
  <mergeCells count="16">
    <mergeCell ref="AF278:AF279"/>
    <mergeCell ref="A25:B26"/>
    <mergeCell ref="A243:J245"/>
    <mergeCell ref="AE252:AK252"/>
    <mergeCell ref="AF271:AF273"/>
    <mergeCell ref="AF275:AF276"/>
    <mergeCell ref="A41:B42"/>
    <mergeCell ref="V275:V276"/>
    <mergeCell ref="AP252:AV252"/>
    <mergeCell ref="AQ271:AQ273"/>
    <mergeCell ref="AQ275:AQ276"/>
    <mergeCell ref="AQ278:AQ279"/>
    <mergeCell ref="BA252:BG252"/>
    <mergeCell ref="BB271:BB273"/>
    <mergeCell ref="BB275:BB276"/>
    <mergeCell ref="BB278:BB279"/>
  </mergeCells>
  <pageMargins left="0.7" right="0.7" top="0.75" bottom="0.75" header="0.3" footer="0.3"/>
  <pageSetup paperSize="17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20" sqref="C20"/>
    </sheetView>
  </sheetViews>
  <sheetFormatPr defaultRowHeight="14.8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C20" sqref="C20"/>
    </sheetView>
  </sheetViews>
  <sheetFormatPr defaultRowHeight="14.8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94"/>
  <sheetViews>
    <sheetView topLeftCell="A286" workbookViewId="0">
      <selection activeCell="C20" sqref="C20"/>
    </sheetView>
  </sheetViews>
  <sheetFormatPr defaultRowHeight="14.85" x14ac:dyDescent="0.25"/>
  <cols>
    <col min="1" max="1" width="9.28515625" customWidth="1"/>
    <col min="3" max="3" width="14.28515625" customWidth="1"/>
    <col min="4" max="4" width="13" customWidth="1"/>
    <col min="8" max="8" width="10.85546875" customWidth="1"/>
    <col min="11" max="11" width="10.85546875" customWidth="1"/>
    <col min="16" max="16" width="11.28515625" customWidth="1"/>
    <col min="24" max="24" width="10.85546875" customWidth="1"/>
    <col min="25" max="25" width="11.28515625" customWidth="1"/>
    <col min="26" max="26" width="10.42578125" customWidth="1"/>
    <col min="32" max="32" width="12.140625" customWidth="1"/>
  </cols>
  <sheetData>
    <row r="1" spans="1:7" x14ac:dyDescent="0.25">
      <c r="A1" s="2" t="s">
        <v>206</v>
      </c>
    </row>
    <row r="3" spans="1:7" x14ac:dyDescent="0.25">
      <c r="A3" t="s">
        <v>263</v>
      </c>
      <c r="D3">
        <f>30</f>
        <v>30</v>
      </c>
      <c r="E3" t="s">
        <v>2</v>
      </c>
    </row>
    <row r="4" spans="1:7" x14ac:dyDescent="0.25">
      <c r="A4" t="s">
        <v>210</v>
      </c>
      <c r="D4">
        <v>28.25</v>
      </c>
      <c r="E4" t="s">
        <v>2</v>
      </c>
      <c r="F4" t="s">
        <v>208</v>
      </c>
    </row>
    <row r="5" spans="1:7" x14ac:dyDescent="0.25">
      <c r="A5" t="s">
        <v>211</v>
      </c>
      <c r="D5">
        <v>1</v>
      </c>
      <c r="E5" t="s">
        <v>2</v>
      </c>
    </row>
    <row r="6" spans="1:7" x14ac:dyDescent="0.25">
      <c r="A6" t="s">
        <v>212</v>
      </c>
      <c r="D6">
        <f>D3*D4*D5</f>
        <v>847.5</v>
      </c>
      <c r="E6" t="s">
        <v>23</v>
      </c>
      <c r="F6">
        <f>D6/9</f>
        <v>94.166666666666671</v>
      </c>
      <c r="G6" t="s">
        <v>24</v>
      </c>
    </row>
    <row r="8" spans="1:7" x14ac:dyDescent="0.25">
      <c r="A8" t="s">
        <v>264</v>
      </c>
      <c r="D8">
        <v>50</v>
      </c>
      <c r="E8" t="s">
        <v>2</v>
      </c>
    </row>
    <row r="9" spans="1:7" x14ac:dyDescent="0.25">
      <c r="A9" t="s">
        <v>210</v>
      </c>
      <c r="D9">
        <v>28.25</v>
      </c>
      <c r="E9" t="s">
        <v>2</v>
      </c>
      <c r="F9" t="s">
        <v>208</v>
      </c>
    </row>
    <row r="10" spans="1:7" x14ac:dyDescent="0.25">
      <c r="A10" t="s">
        <v>211</v>
      </c>
      <c r="D10">
        <v>1</v>
      </c>
      <c r="E10" t="s">
        <v>2</v>
      </c>
    </row>
    <row r="11" spans="1:7" x14ac:dyDescent="0.25">
      <c r="A11" t="s">
        <v>212</v>
      </c>
      <c r="D11">
        <f>D8*D9*D10</f>
        <v>1412.5</v>
      </c>
      <c r="E11" t="s">
        <v>23</v>
      </c>
      <c r="F11">
        <f>D11/9</f>
        <v>156.94444444444446</v>
      </c>
      <c r="G11" t="s">
        <v>24</v>
      </c>
    </row>
    <row r="13" spans="1:7" x14ac:dyDescent="0.25">
      <c r="A13" t="s">
        <v>11</v>
      </c>
      <c r="D13">
        <v>20</v>
      </c>
      <c r="E13" t="s">
        <v>2</v>
      </c>
    </row>
    <row r="14" spans="1:7" x14ac:dyDescent="0.25">
      <c r="A14" t="s">
        <v>10</v>
      </c>
      <c r="D14">
        <v>28.25</v>
      </c>
      <c r="E14" t="s">
        <v>2</v>
      </c>
      <c r="F14" t="s">
        <v>208</v>
      </c>
    </row>
    <row r="15" spans="1:7" x14ac:dyDescent="0.25">
      <c r="A15" t="s">
        <v>12</v>
      </c>
      <c r="D15">
        <v>2</v>
      </c>
      <c r="E15" t="s">
        <v>2</v>
      </c>
    </row>
    <row r="16" spans="1:7" x14ac:dyDescent="0.25">
      <c r="A16" t="s">
        <v>212</v>
      </c>
      <c r="D16">
        <f>D13*D14*D15</f>
        <v>1130</v>
      </c>
      <c r="E16" t="s">
        <v>23</v>
      </c>
      <c r="F16">
        <f>D16/9</f>
        <v>125.55555555555556</v>
      </c>
      <c r="G16" t="s">
        <v>24</v>
      </c>
    </row>
    <row r="19" spans="1:7" x14ac:dyDescent="0.25">
      <c r="A19" t="s">
        <v>25</v>
      </c>
      <c r="D19">
        <v>124</v>
      </c>
      <c r="E19" t="s">
        <v>2</v>
      </c>
      <c r="F19" t="s">
        <v>27</v>
      </c>
    </row>
    <row r="20" spans="1:7" x14ac:dyDescent="0.25">
      <c r="A20" t="s">
        <v>26</v>
      </c>
      <c r="D20">
        <v>28.25</v>
      </c>
      <c r="E20" t="s">
        <v>2</v>
      </c>
      <c r="F20" t="s">
        <v>208</v>
      </c>
    </row>
    <row r="21" spans="1:7" x14ac:dyDescent="0.25">
      <c r="A21" t="s">
        <v>213</v>
      </c>
      <c r="D21">
        <f>D19*D20</f>
        <v>3503</v>
      </c>
      <c r="E21" t="s">
        <v>23</v>
      </c>
      <c r="F21">
        <f>D21/9</f>
        <v>389.22222222222223</v>
      </c>
      <c r="G21" t="s">
        <v>24</v>
      </c>
    </row>
    <row r="23" spans="1:7" x14ac:dyDescent="0.25">
      <c r="A23" s="7" t="s">
        <v>28</v>
      </c>
      <c r="B23" s="7">
        <f>ROUNDUP(F6+F11+F16+F21,0)</f>
        <v>766</v>
      </c>
      <c r="C23" s="7" t="s">
        <v>24</v>
      </c>
    </row>
    <row r="26" spans="1:7" x14ac:dyDescent="0.25">
      <c r="A26" s="2" t="s">
        <v>214</v>
      </c>
    </row>
    <row r="28" spans="1:7" x14ac:dyDescent="0.25">
      <c r="A28" t="s">
        <v>207</v>
      </c>
      <c r="C28">
        <f>6+6+5</f>
        <v>17</v>
      </c>
      <c r="D28" t="s">
        <v>2</v>
      </c>
    </row>
    <row r="29" spans="1:7" x14ac:dyDescent="0.25">
      <c r="A29" t="s">
        <v>1</v>
      </c>
      <c r="C29">
        <v>4</v>
      </c>
      <c r="D29" t="s">
        <v>2</v>
      </c>
    </row>
    <row r="30" spans="1:7" x14ac:dyDescent="0.25">
      <c r="A30" t="s">
        <v>217</v>
      </c>
      <c r="C30">
        <f>C28*C29</f>
        <v>68</v>
      </c>
      <c r="D30" t="s">
        <v>40</v>
      </c>
    </row>
    <row r="33" spans="1:6" x14ac:dyDescent="0.25">
      <c r="A33" s="2" t="s">
        <v>215</v>
      </c>
      <c r="D33">
        <f>6+6+5</f>
        <v>17</v>
      </c>
      <c r="E33" t="s">
        <v>2</v>
      </c>
    </row>
    <row r="35" spans="1:6" x14ac:dyDescent="0.25">
      <c r="A35" s="2" t="s">
        <v>216</v>
      </c>
    </row>
    <row r="37" spans="1:6" x14ac:dyDescent="0.25">
      <c r="A37" t="s">
        <v>207</v>
      </c>
      <c r="C37">
        <f>6+6+5</f>
        <v>17</v>
      </c>
      <c r="D37" t="s">
        <v>2</v>
      </c>
    </row>
    <row r="38" spans="1:6" x14ac:dyDescent="0.25">
      <c r="A38" t="s">
        <v>1</v>
      </c>
      <c r="C38">
        <v>4</v>
      </c>
      <c r="D38" t="s">
        <v>2</v>
      </c>
    </row>
    <row r="39" spans="1:6" x14ac:dyDescent="0.25">
      <c r="A39" t="s">
        <v>217</v>
      </c>
      <c r="C39">
        <f>C37*C38</f>
        <v>68</v>
      </c>
      <c r="D39" t="s">
        <v>40</v>
      </c>
    </row>
    <row r="41" spans="1:6" x14ac:dyDescent="0.25">
      <c r="A41" s="2" t="s">
        <v>218</v>
      </c>
      <c r="D41">
        <f>6+6+5</f>
        <v>17</v>
      </c>
      <c r="E41" t="s">
        <v>2</v>
      </c>
    </row>
    <row r="44" spans="1:6" x14ac:dyDescent="0.25">
      <c r="A44" s="2" t="s">
        <v>219</v>
      </c>
    </row>
    <row r="46" spans="1:6" x14ac:dyDescent="0.25">
      <c r="A46" t="s">
        <v>263</v>
      </c>
      <c r="D46">
        <v>30</v>
      </c>
      <c r="E46" t="s">
        <v>2</v>
      </c>
    </row>
    <row r="47" spans="1:6" x14ac:dyDescent="0.25">
      <c r="A47" t="s">
        <v>210</v>
      </c>
      <c r="D47">
        <v>28.5</v>
      </c>
      <c r="E47" t="s">
        <v>2</v>
      </c>
      <c r="F47" t="s">
        <v>208</v>
      </c>
    </row>
    <row r="48" spans="1:6" x14ac:dyDescent="0.25">
      <c r="A48" t="s">
        <v>220</v>
      </c>
      <c r="D48">
        <f>1.25/12</f>
        <v>0.10416666666666667</v>
      </c>
      <c r="E48" t="s">
        <v>2</v>
      </c>
    </row>
    <row r="49" spans="1:7" x14ac:dyDescent="0.25">
      <c r="A49" t="s">
        <v>211</v>
      </c>
      <c r="D49">
        <v>1</v>
      </c>
    </row>
    <row r="50" spans="1:7" x14ac:dyDescent="0.25">
      <c r="A50" t="s">
        <v>212</v>
      </c>
      <c r="D50">
        <f>D46*D47*D48*D49</f>
        <v>89.0625</v>
      </c>
      <c r="E50" t="s">
        <v>221</v>
      </c>
      <c r="F50">
        <f>D50/27</f>
        <v>3.2986111111111112</v>
      </c>
      <c r="G50" t="s">
        <v>8</v>
      </c>
    </row>
    <row r="52" spans="1:7" x14ac:dyDescent="0.25">
      <c r="A52" t="s">
        <v>264</v>
      </c>
      <c r="D52">
        <v>50</v>
      </c>
      <c r="E52" t="s">
        <v>2</v>
      </c>
    </row>
    <row r="53" spans="1:7" x14ac:dyDescent="0.25">
      <c r="A53" t="s">
        <v>210</v>
      </c>
      <c r="D53">
        <v>28.5</v>
      </c>
      <c r="E53" t="s">
        <v>2</v>
      </c>
      <c r="F53" t="s">
        <v>208</v>
      </c>
    </row>
    <row r="54" spans="1:7" x14ac:dyDescent="0.25">
      <c r="A54" t="s">
        <v>220</v>
      </c>
      <c r="D54">
        <f>1.25/12</f>
        <v>0.10416666666666667</v>
      </c>
      <c r="E54" t="s">
        <v>2</v>
      </c>
    </row>
    <row r="55" spans="1:7" x14ac:dyDescent="0.25">
      <c r="A55" t="s">
        <v>211</v>
      </c>
      <c r="D55">
        <v>1</v>
      </c>
    </row>
    <row r="56" spans="1:7" x14ac:dyDescent="0.25">
      <c r="A56" t="s">
        <v>212</v>
      </c>
      <c r="D56">
        <f>D52*D53*D54*D55</f>
        <v>148.4375</v>
      </c>
      <c r="E56" t="s">
        <v>221</v>
      </c>
      <c r="F56">
        <f>D56/27</f>
        <v>5.4976851851851851</v>
      </c>
      <c r="G56" t="s">
        <v>8</v>
      </c>
    </row>
    <row r="58" spans="1:7" x14ac:dyDescent="0.25">
      <c r="A58" t="s">
        <v>11</v>
      </c>
      <c r="D58">
        <v>20</v>
      </c>
      <c r="E58" t="s">
        <v>2</v>
      </c>
    </row>
    <row r="59" spans="1:7" x14ac:dyDescent="0.25">
      <c r="A59" t="s">
        <v>10</v>
      </c>
      <c r="D59">
        <v>28.5</v>
      </c>
      <c r="E59" t="s">
        <v>2</v>
      </c>
      <c r="F59" t="s">
        <v>208</v>
      </c>
    </row>
    <row r="60" spans="1:7" x14ac:dyDescent="0.25">
      <c r="A60" t="s">
        <v>220</v>
      </c>
      <c r="D60">
        <f>1.25/12</f>
        <v>0.10416666666666667</v>
      </c>
      <c r="E60" t="s">
        <v>2</v>
      </c>
    </row>
    <row r="61" spans="1:7" x14ac:dyDescent="0.25">
      <c r="A61" t="s">
        <v>12</v>
      </c>
      <c r="D61">
        <v>2</v>
      </c>
      <c r="E61" t="s">
        <v>2</v>
      </c>
    </row>
    <row r="62" spans="1:7" x14ac:dyDescent="0.25">
      <c r="A62" t="s">
        <v>212</v>
      </c>
      <c r="D62">
        <f>D58*D59*D60*D61</f>
        <v>118.75</v>
      </c>
      <c r="E62" t="s">
        <v>221</v>
      </c>
      <c r="F62">
        <f>D62/27</f>
        <v>4.3981481481481479</v>
      </c>
      <c r="G62" t="s">
        <v>8</v>
      </c>
    </row>
    <row r="65" spans="1:7" x14ac:dyDescent="0.25">
      <c r="A65" t="s">
        <v>25</v>
      </c>
      <c r="D65">
        <v>124</v>
      </c>
      <c r="E65" t="s">
        <v>2</v>
      </c>
      <c r="F65" t="s">
        <v>27</v>
      </c>
    </row>
    <row r="66" spans="1:7" x14ac:dyDescent="0.25">
      <c r="A66" t="s">
        <v>26</v>
      </c>
      <c r="D66">
        <v>28.5</v>
      </c>
      <c r="E66" t="s">
        <v>2</v>
      </c>
      <c r="F66" t="s">
        <v>208</v>
      </c>
    </row>
    <row r="67" spans="1:7" x14ac:dyDescent="0.25">
      <c r="A67" t="s">
        <v>220</v>
      </c>
      <c r="D67">
        <f>5/12</f>
        <v>0.41666666666666669</v>
      </c>
      <c r="E67" t="s">
        <v>2</v>
      </c>
    </row>
    <row r="68" spans="1:7" x14ac:dyDescent="0.25">
      <c r="A68" t="s">
        <v>213</v>
      </c>
      <c r="D68">
        <f>D65*D66*D67</f>
        <v>1472.5</v>
      </c>
      <c r="E68" t="s">
        <v>221</v>
      </c>
      <c r="F68">
        <f>D68/27</f>
        <v>54.537037037037038</v>
      </c>
      <c r="G68" t="s">
        <v>8</v>
      </c>
    </row>
    <row r="70" spans="1:7" x14ac:dyDescent="0.25">
      <c r="A70" s="7" t="s">
        <v>28</v>
      </c>
      <c r="B70" s="7">
        <f>ROUNDUP(F50+F56+F62+F68,0)</f>
        <v>68</v>
      </c>
      <c r="C70" s="7" t="s">
        <v>8</v>
      </c>
    </row>
    <row r="72" spans="1:7" x14ac:dyDescent="0.25">
      <c r="A72" s="2" t="s">
        <v>265</v>
      </c>
    </row>
    <row r="74" spans="1:7" x14ac:dyDescent="0.25">
      <c r="A74" t="s">
        <v>263</v>
      </c>
      <c r="D74">
        <v>30</v>
      </c>
      <c r="E74" t="s">
        <v>2</v>
      </c>
    </row>
    <row r="75" spans="1:7" x14ac:dyDescent="0.25">
      <c r="A75" t="s">
        <v>210</v>
      </c>
      <c r="D75">
        <v>28.5</v>
      </c>
      <c r="E75" t="s">
        <v>2</v>
      </c>
      <c r="F75" t="s">
        <v>208</v>
      </c>
    </row>
    <row r="76" spans="1:7" x14ac:dyDescent="0.25">
      <c r="A76" t="s">
        <v>211</v>
      </c>
      <c r="D76">
        <v>1</v>
      </c>
    </row>
    <row r="77" spans="1:7" x14ac:dyDescent="0.25">
      <c r="A77" t="s">
        <v>212</v>
      </c>
      <c r="D77">
        <f>D74*D75*D76</f>
        <v>855</v>
      </c>
      <c r="E77" t="s">
        <v>23</v>
      </c>
      <c r="F77">
        <f>D77/9</f>
        <v>95</v>
      </c>
      <c r="G77" t="s">
        <v>24</v>
      </c>
    </row>
    <row r="79" spans="1:7" x14ac:dyDescent="0.25">
      <c r="A79" t="s">
        <v>264</v>
      </c>
      <c r="D79">
        <v>50</v>
      </c>
      <c r="E79" t="s">
        <v>2</v>
      </c>
    </row>
    <row r="80" spans="1:7" x14ac:dyDescent="0.25">
      <c r="A80" t="s">
        <v>210</v>
      </c>
      <c r="D80">
        <v>28.5</v>
      </c>
      <c r="E80" t="s">
        <v>2</v>
      </c>
      <c r="F80" t="s">
        <v>208</v>
      </c>
    </row>
    <row r="81" spans="1:7" x14ac:dyDescent="0.25">
      <c r="A81" t="s">
        <v>211</v>
      </c>
      <c r="D81">
        <v>1</v>
      </c>
    </row>
    <row r="82" spans="1:7" x14ac:dyDescent="0.25">
      <c r="A82" t="s">
        <v>212</v>
      </c>
      <c r="D82">
        <f>D79*D80*D81</f>
        <v>1425</v>
      </c>
      <c r="E82" t="s">
        <v>23</v>
      </c>
      <c r="F82">
        <f>D82/9</f>
        <v>158.33333333333334</v>
      </c>
      <c r="G82" t="s">
        <v>24</v>
      </c>
    </row>
    <row r="84" spans="1:7" x14ac:dyDescent="0.25">
      <c r="A84" t="s">
        <v>11</v>
      </c>
      <c r="D84">
        <v>20</v>
      </c>
      <c r="E84" t="s">
        <v>2</v>
      </c>
    </row>
    <row r="85" spans="1:7" x14ac:dyDescent="0.25">
      <c r="A85" t="s">
        <v>10</v>
      </c>
      <c r="D85">
        <v>28.5</v>
      </c>
      <c r="E85" t="s">
        <v>2</v>
      </c>
      <c r="F85" t="s">
        <v>208</v>
      </c>
    </row>
    <row r="86" spans="1:7" x14ac:dyDescent="0.25">
      <c r="A86" t="s">
        <v>12</v>
      </c>
      <c r="D86">
        <v>2</v>
      </c>
      <c r="E86" t="s">
        <v>2</v>
      </c>
    </row>
    <row r="87" spans="1:7" x14ac:dyDescent="0.25">
      <c r="A87" t="s">
        <v>212</v>
      </c>
      <c r="D87">
        <f>D84*D85*D86</f>
        <v>1140</v>
      </c>
      <c r="E87" t="s">
        <v>23</v>
      </c>
      <c r="F87">
        <f>D87/9</f>
        <v>126.66666666666667</v>
      </c>
      <c r="G87" t="s">
        <v>24</v>
      </c>
    </row>
    <row r="90" spans="1:7" x14ac:dyDescent="0.25">
      <c r="A90" t="s">
        <v>25</v>
      </c>
      <c r="D90">
        <v>124</v>
      </c>
      <c r="E90" t="s">
        <v>2</v>
      </c>
      <c r="F90" t="s">
        <v>27</v>
      </c>
    </row>
    <row r="91" spans="1:7" x14ac:dyDescent="0.25">
      <c r="A91" t="s">
        <v>26</v>
      </c>
      <c r="D91">
        <v>28.5</v>
      </c>
      <c r="E91" t="s">
        <v>2</v>
      </c>
      <c r="F91" t="s">
        <v>208</v>
      </c>
    </row>
    <row r="92" spans="1:7" x14ac:dyDescent="0.25">
      <c r="A92" t="s">
        <v>213</v>
      </c>
      <c r="D92">
        <f>D90*D91</f>
        <v>3534</v>
      </c>
      <c r="E92" t="s">
        <v>23</v>
      </c>
      <c r="F92">
        <f>D92/9</f>
        <v>392.66666666666669</v>
      </c>
      <c r="G92" t="s">
        <v>24</v>
      </c>
    </row>
    <row r="94" spans="1:7" x14ac:dyDescent="0.25">
      <c r="A94" s="7" t="s">
        <v>28</v>
      </c>
      <c r="B94" s="7">
        <f>ROUNDUP(F77+F82+F87+F92,0)</f>
        <v>773</v>
      </c>
      <c r="C94" s="7" t="s">
        <v>24</v>
      </c>
    </row>
    <row r="96" spans="1:7" x14ac:dyDescent="0.25">
      <c r="A96" t="s">
        <v>268</v>
      </c>
      <c r="D96">
        <v>0.05</v>
      </c>
      <c r="E96" t="s">
        <v>267</v>
      </c>
    </row>
    <row r="98" spans="1:7" x14ac:dyDescent="0.25">
      <c r="A98" t="s">
        <v>266</v>
      </c>
      <c r="D98">
        <f>B94*D96</f>
        <v>38.650000000000006</v>
      </c>
      <c r="E98" t="s">
        <v>269</v>
      </c>
    </row>
    <row r="104" spans="1:7" x14ac:dyDescent="0.25">
      <c r="A104" s="2" t="s">
        <v>261</v>
      </c>
    </row>
    <row r="106" spans="1:7" x14ac:dyDescent="0.25">
      <c r="A106" t="s">
        <v>223</v>
      </c>
      <c r="E106">
        <v>28.5</v>
      </c>
      <c r="F106" t="s">
        <v>2</v>
      </c>
      <c r="G106" t="s">
        <v>227</v>
      </c>
    </row>
    <row r="107" spans="1:7" x14ac:dyDescent="0.25">
      <c r="A107" t="s">
        <v>61</v>
      </c>
      <c r="E107" s="3">
        <v>1</v>
      </c>
      <c r="F107" s="3" t="s">
        <v>116</v>
      </c>
    </row>
    <row r="108" spans="1:7" x14ac:dyDescent="0.25">
      <c r="E108">
        <f>E106*E107</f>
        <v>28.5</v>
      </c>
      <c r="F108" t="s">
        <v>2</v>
      </c>
    </row>
    <row r="110" spans="1:7" x14ac:dyDescent="0.25">
      <c r="A110" t="s">
        <v>224</v>
      </c>
      <c r="E110">
        <v>28.5</v>
      </c>
      <c r="F110" t="s">
        <v>2</v>
      </c>
      <c r="G110" t="s">
        <v>227</v>
      </c>
    </row>
    <row r="111" spans="1:7" x14ac:dyDescent="0.25">
      <c r="A111" t="s">
        <v>61</v>
      </c>
      <c r="E111" s="3">
        <v>2</v>
      </c>
      <c r="F111" s="3" t="s">
        <v>116</v>
      </c>
    </row>
    <row r="112" spans="1:7" x14ac:dyDescent="0.25">
      <c r="E112">
        <f>E110*E111</f>
        <v>57</v>
      </c>
      <c r="F112" t="s">
        <v>2</v>
      </c>
    </row>
    <row r="114" spans="1:7" x14ac:dyDescent="0.25">
      <c r="A114" t="s">
        <v>225</v>
      </c>
      <c r="E114">
        <v>25</v>
      </c>
      <c r="F114" t="s">
        <v>2</v>
      </c>
      <c r="G114" t="s">
        <v>226</v>
      </c>
    </row>
    <row r="115" spans="1:7" x14ac:dyDescent="0.25">
      <c r="A115" t="s">
        <v>61</v>
      </c>
      <c r="E115" s="3">
        <v>2</v>
      </c>
      <c r="F115" s="3" t="s">
        <v>116</v>
      </c>
    </row>
    <row r="116" spans="1:7" x14ac:dyDescent="0.25">
      <c r="E116">
        <f>E114*E115</f>
        <v>50</v>
      </c>
      <c r="F116" t="s">
        <v>2</v>
      </c>
    </row>
    <row r="118" spans="1:7" x14ac:dyDescent="0.25">
      <c r="A118" t="s">
        <v>229</v>
      </c>
      <c r="E118">
        <v>124</v>
      </c>
      <c r="F118" t="s">
        <v>2</v>
      </c>
      <c r="G118" t="s">
        <v>226</v>
      </c>
    </row>
    <row r="119" spans="1:7" x14ac:dyDescent="0.25">
      <c r="A119" t="s">
        <v>61</v>
      </c>
      <c r="E119" s="3">
        <v>2</v>
      </c>
      <c r="F119" s="3" t="s">
        <v>116</v>
      </c>
    </row>
    <row r="120" spans="1:7" x14ac:dyDescent="0.25">
      <c r="E120">
        <f>E118*E119</f>
        <v>248</v>
      </c>
      <c r="F120" t="s">
        <v>2</v>
      </c>
    </row>
    <row r="122" spans="1:7" x14ac:dyDescent="0.25">
      <c r="A122" t="s">
        <v>228</v>
      </c>
      <c r="E122">
        <v>25</v>
      </c>
      <c r="F122" t="s">
        <v>2</v>
      </c>
      <c r="G122" t="s">
        <v>226</v>
      </c>
    </row>
    <row r="123" spans="1:7" x14ac:dyDescent="0.25">
      <c r="A123" t="s">
        <v>61</v>
      </c>
      <c r="E123" s="3">
        <v>2</v>
      </c>
      <c r="F123" s="3" t="s">
        <v>116</v>
      </c>
    </row>
    <row r="124" spans="1:7" x14ac:dyDescent="0.25">
      <c r="E124">
        <f>E122*E123</f>
        <v>50</v>
      </c>
      <c r="F124" t="s">
        <v>2</v>
      </c>
    </row>
    <row r="126" spans="1:7" x14ac:dyDescent="0.25">
      <c r="D126" t="s">
        <v>28</v>
      </c>
      <c r="E126">
        <f>E108+E112+E116+E120+E124</f>
        <v>433.5</v>
      </c>
      <c r="F126" t="s">
        <v>2</v>
      </c>
    </row>
    <row r="130" spans="1:4" x14ac:dyDescent="0.25">
      <c r="A130" s="2" t="s">
        <v>32</v>
      </c>
    </row>
    <row r="132" spans="1:4" x14ac:dyDescent="0.25">
      <c r="A132" t="s">
        <v>271</v>
      </c>
      <c r="C132">
        <f>23*5.25</f>
        <v>120.75</v>
      </c>
      <c r="D132" t="s">
        <v>2</v>
      </c>
    </row>
    <row r="133" spans="1:4" x14ac:dyDescent="0.25">
      <c r="A133" t="s">
        <v>270</v>
      </c>
      <c r="C133" s="3">
        <f>12*5.25</f>
        <v>63</v>
      </c>
      <c r="D133" s="3" t="s">
        <v>2</v>
      </c>
    </row>
    <row r="134" spans="1:4" x14ac:dyDescent="0.25">
      <c r="C134">
        <f>SUM(C132:C133)</f>
        <v>183.75</v>
      </c>
    </row>
    <row r="137" spans="1:4" x14ac:dyDescent="0.25">
      <c r="A137" s="2" t="s">
        <v>230</v>
      </c>
    </row>
    <row r="139" spans="1:4" x14ac:dyDescent="0.25">
      <c r="A139" t="s">
        <v>262</v>
      </c>
      <c r="C139">
        <v>115.5</v>
      </c>
      <c r="D139" t="s">
        <v>2</v>
      </c>
    </row>
    <row r="142" spans="1:4" x14ac:dyDescent="0.25">
      <c r="A142" s="2" t="s">
        <v>272</v>
      </c>
    </row>
    <row r="143" spans="1:4" x14ac:dyDescent="0.25">
      <c r="A143" t="s">
        <v>273</v>
      </c>
      <c r="C143">
        <f>(10+10+16)*0.75*1*(1/27)</f>
        <v>1</v>
      </c>
      <c r="D143" t="s">
        <v>8</v>
      </c>
    </row>
    <row r="146" spans="1:5" x14ac:dyDescent="0.25">
      <c r="A146" s="2"/>
    </row>
    <row r="147" spans="1:5" x14ac:dyDescent="0.25">
      <c r="A147" s="2" t="s">
        <v>58</v>
      </c>
    </row>
    <row r="148" spans="1:5" x14ac:dyDescent="0.25">
      <c r="A148" s="2"/>
    </row>
    <row r="149" spans="1:5" x14ac:dyDescent="0.25">
      <c r="A149" s="3" t="s">
        <v>241</v>
      </c>
      <c r="B149" s="3"/>
    </row>
    <row r="150" spans="1:5" x14ac:dyDescent="0.25">
      <c r="A150" t="s">
        <v>60</v>
      </c>
      <c r="D150">
        <v>124</v>
      </c>
      <c r="E150" t="s">
        <v>2</v>
      </c>
    </row>
    <row r="151" spans="1:5" x14ac:dyDescent="0.25">
      <c r="A151" t="s">
        <v>248</v>
      </c>
      <c r="D151">
        <f>0.75+3+1.5+3+2.25+0.5</f>
        <v>11</v>
      </c>
      <c r="E151" t="s">
        <v>2</v>
      </c>
    </row>
    <row r="152" spans="1:5" x14ac:dyDescent="0.25">
      <c r="A152" t="s">
        <v>61</v>
      </c>
      <c r="D152">
        <v>1</v>
      </c>
    </row>
    <row r="153" spans="1:5" x14ac:dyDescent="0.25">
      <c r="A153" t="s">
        <v>62</v>
      </c>
      <c r="D153">
        <f>D150*D151*D152</f>
        <v>1364</v>
      </c>
      <c r="E153" t="s">
        <v>40</v>
      </c>
    </row>
    <row r="154" spans="1:5" x14ac:dyDescent="0.25">
      <c r="D154">
        <f>D153/9</f>
        <v>151.55555555555554</v>
      </c>
      <c r="E154" t="s">
        <v>24</v>
      </c>
    </row>
    <row r="156" spans="1:5" x14ac:dyDescent="0.25">
      <c r="A156" s="3" t="s">
        <v>246</v>
      </c>
      <c r="B156" s="3"/>
    </row>
    <row r="157" spans="1:5" x14ac:dyDescent="0.25">
      <c r="A157" t="s">
        <v>60</v>
      </c>
      <c r="D157">
        <v>124</v>
      </c>
      <c r="E157" t="s">
        <v>2</v>
      </c>
    </row>
    <row r="158" spans="1:5" x14ac:dyDescent="0.25">
      <c r="A158" t="s">
        <v>247</v>
      </c>
      <c r="D158">
        <f>0.75+0.8333+5.25+3+1+3+2.25+0.5</f>
        <v>16.583300000000001</v>
      </c>
      <c r="E158" t="s">
        <v>2</v>
      </c>
    </row>
    <row r="159" spans="1:5" x14ac:dyDescent="0.25">
      <c r="A159" t="s">
        <v>61</v>
      </c>
      <c r="D159">
        <v>1</v>
      </c>
    </row>
    <row r="160" spans="1:5" x14ac:dyDescent="0.25">
      <c r="A160" t="s">
        <v>62</v>
      </c>
      <c r="D160">
        <f>D157*D158*D159</f>
        <v>2056.3292000000001</v>
      </c>
      <c r="E160" t="s">
        <v>40</v>
      </c>
    </row>
    <row r="161" spans="1:5" x14ac:dyDescent="0.25">
      <c r="D161">
        <f>D160/9</f>
        <v>228.48102222222224</v>
      </c>
      <c r="E161" t="s">
        <v>24</v>
      </c>
    </row>
    <row r="164" spans="1:5" x14ac:dyDescent="0.25">
      <c r="A164" s="6" t="s">
        <v>63</v>
      </c>
    </row>
    <row r="165" spans="1:5" x14ac:dyDescent="0.25">
      <c r="A165" t="s">
        <v>64</v>
      </c>
      <c r="D165">
        <v>1</v>
      </c>
    </row>
    <row r="166" spans="1:5" x14ac:dyDescent="0.25">
      <c r="A166" t="s">
        <v>76</v>
      </c>
      <c r="D166">
        <v>3</v>
      </c>
      <c r="E166" t="s">
        <v>2</v>
      </c>
    </row>
    <row r="167" spans="1:5" x14ac:dyDescent="0.25">
      <c r="A167" t="s">
        <v>65</v>
      </c>
      <c r="D167">
        <f>D166*4.5</f>
        <v>13.5</v>
      </c>
      <c r="E167" t="s">
        <v>40</v>
      </c>
    </row>
    <row r="168" spans="1:5" x14ac:dyDescent="0.25">
      <c r="A168" t="s">
        <v>68</v>
      </c>
      <c r="D168" s="3">
        <v>2</v>
      </c>
      <c r="E168" s="3"/>
    </row>
    <row r="169" spans="1:5" x14ac:dyDescent="0.25">
      <c r="A169" t="s">
        <v>234</v>
      </c>
      <c r="D169">
        <f>D167*D168</f>
        <v>27</v>
      </c>
      <c r="E169" t="s">
        <v>40</v>
      </c>
    </row>
    <row r="170" spans="1:5" x14ac:dyDescent="0.25">
      <c r="D170">
        <f>D169/9</f>
        <v>3</v>
      </c>
      <c r="E170" t="s">
        <v>24</v>
      </c>
    </row>
    <row r="172" spans="1:5" x14ac:dyDescent="0.25">
      <c r="A172" t="s">
        <v>65</v>
      </c>
      <c r="D172">
        <f>4.4*D166</f>
        <v>13.200000000000001</v>
      </c>
      <c r="E172" t="s">
        <v>40</v>
      </c>
    </row>
    <row r="173" spans="1:5" x14ac:dyDescent="0.25">
      <c r="A173" t="s">
        <v>69</v>
      </c>
      <c r="D173" s="3">
        <v>2</v>
      </c>
      <c r="E173" s="3"/>
    </row>
    <row r="174" spans="1:5" x14ac:dyDescent="0.25">
      <c r="A174" t="s">
        <v>234</v>
      </c>
      <c r="D174">
        <f>D172*D173</f>
        <v>26.400000000000002</v>
      </c>
      <c r="E174" t="s">
        <v>40</v>
      </c>
    </row>
    <row r="175" spans="1:5" x14ac:dyDescent="0.25">
      <c r="D175">
        <f>D174/9</f>
        <v>2.9333333333333336</v>
      </c>
      <c r="E175" t="s">
        <v>24</v>
      </c>
    </row>
    <row r="177" spans="1:5" x14ac:dyDescent="0.25">
      <c r="A177" t="s">
        <v>67</v>
      </c>
      <c r="D177">
        <f>D166*(39.42)</f>
        <v>118.26</v>
      </c>
      <c r="E177" t="s">
        <v>40</v>
      </c>
    </row>
    <row r="178" spans="1:5" x14ac:dyDescent="0.25">
      <c r="A178" t="s">
        <v>70</v>
      </c>
      <c r="D178" s="3">
        <v>2</v>
      </c>
      <c r="E178" s="3"/>
    </row>
    <row r="179" spans="1:5" x14ac:dyDescent="0.25">
      <c r="A179" t="s">
        <v>234</v>
      </c>
      <c r="D179">
        <f>D177*D178</f>
        <v>236.52</v>
      </c>
      <c r="E179" t="s">
        <v>40</v>
      </c>
    </row>
    <row r="180" spans="1:5" x14ac:dyDescent="0.25">
      <c r="D180">
        <f>D179/9</f>
        <v>26.28</v>
      </c>
      <c r="E180" t="s">
        <v>24</v>
      </c>
    </row>
    <row r="181" spans="1:5" x14ac:dyDescent="0.25">
      <c r="A181" t="s">
        <v>71</v>
      </c>
    </row>
    <row r="182" spans="1:5" x14ac:dyDescent="0.25">
      <c r="A182" t="s">
        <v>73</v>
      </c>
      <c r="D182">
        <v>0</v>
      </c>
      <c r="E182" t="s">
        <v>72</v>
      </c>
    </row>
    <row r="183" spans="1:5" x14ac:dyDescent="0.25">
      <c r="A183" t="s">
        <v>74</v>
      </c>
      <c r="D183">
        <f>39.5/COS(D182*PI()/180) -3*(PI()*1.5^2)</f>
        <v>18.294249588268897</v>
      </c>
      <c r="E183" t="s">
        <v>2</v>
      </c>
    </row>
    <row r="184" spans="1:5" x14ac:dyDescent="0.25">
      <c r="A184" t="s">
        <v>75</v>
      </c>
      <c r="D184">
        <f>D166*D183</f>
        <v>54.882748764806692</v>
      </c>
      <c r="E184" t="s">
        <v>40</v>
      </c>
    </row>
    <row r="185" spans="1:5" x14ac:dyDescent="0.25">
      <c r="A185" t="s">
        <v>77</v>
      </c>
      <c r="D185">
        <v>1</v>
      </c>
    </row>
    <row r="186" spans="1:5" x14ac:dyDescent="0.25">
      <c r="A186" t="s">
        <v>234</v>
      </c>
      <c r="D186">
        <f>D184*D185</f>
        <v>54.882748764806692</v>
      </c>
      <c r="E186" t="s">
        <v>40</v>
      </c>
    </row>
    <row r="187" spans="1:5" x14ac:dyDescent="0.25">
      <c r="D187">
        <f>D186/9</f>
        <v>6.0980831960896325</v>
      </c>
      <c r="E187" t="s">
        <v>24</v>
      </c>
    </row>
    <row r="189" spans="1:5" x14ac:dyDescent="0.25">
      <c r="A189" t="s">
        <v>231</v>
      </c>
      <c r="D189">
        <f>PI()*D166</f>
        <v>9.4247779607693793</v>
      </c>
      <c r="E189" t="s">
        <v>2</v>
      </c>
    </row>
    <row r="190" spans="1:5" x14ac:dyDescent="0.25">
      <c r="A190" t="s">
        <v>232</v>
      </c>
      <c r="D190">
        <v>15</v>
      </c>
      <c r="E190" t="s">
        <v>2</v>
      </c>
    </row>
    <row r="191" spans="1:5" x14ac:dyDescent="0.25">
      <c r="A191" t="s">
        <v>233</v>
      </c>
      <c r="D191" s="3">
        <v>3</v>
      </c>
      <c r="E191" s="3"/>
    </row>
    <row r="192" spans="1:5" x14ac:dyDescent="0.25">
      <c r="A192" t="s">
        <v>234</v>
      </c>
      <c r="D192">
        <f>D189*D190*D191</f>
        <v>424.11500823462211</v>
      </c>
      <c r="E192" t="s">
        <v>40</v>
      </c>
    </row>
    <row r="193" spans="1:8" x14ac:dyDescent="0.25">
      <c r="D193">
        <f>D192/9</f>
        <v>47.1238898038469</v>
      </c>
      <c r="E193" t="s">
        <v>24</v>
      </c>
    </row>
    <row r="195" spans="1:8" x14ac:dyDescent="0.25">
      <c r="A195" t="s">
        <v>235</v>
      </c>
      <c r="D195">
        <f>D165*(D170+D175+D180+D187+D193)</f>
        <v>85.435306333269864</v>
      </c>
      <c r="E195" t="s">
        <v>24</v>
      </c>
    </row>
    <row r="198" spans="1:8" x14ac:dyDescent="0.25">
      <c r="A198" s="3" t="s">
        <v>243</v>
      </c>
      <c r="B198" s="3"/>
      <c r="C198" s="3"/>
      <c r="D198" s="3"/>
      <c r="E198" s="3"/>
      <c r="F198" s="3"/>
      <c r="G198" s="3"/>
      <c r="H198" s="3"/>
    </row>
    <row r="200" spans="1:8" x14ac:dyDescent="0.25">
      <c r="A200" t="s">
        <v>81</v>
      </c>
      <c r="D200">
        <v>1.833</v>
      </c>
      <c r="E200" t="s">
        <v>2</v>
      </c>
    </row>
    <row r="201" spans="1:8" x14ac:dyDescent="0.25">
      <c r="A201" t="s">
        <v>82</v>
      </c>
      <c r="D201">
        <v>36</v>
      </c>
      <c r="E201" t="s">
        <v>2</v>
      </c>
    </row>
    <row r="202" spans="1:8" x14ac:dyDescent="0.25">
      <c r="A202" t="s">
        <v>83</v>
      </c>
      <c r="D202">
        <v>3.5</v>
      </c>
      <c r="E202" t="s">
        <v>2</v>
      </c>
    </row>
    <row r="203" spans="1:8" x14ac:dyDescent="0.25">
      <c r="A203" t="s">
        <v>236</v>
      </c>
      <c r="D203">
        <v>15</v>
      </c>
      <c r="E203" t="s">
        <v>2</v>
      </c>
    </row>
    <row r="204" spans="1:8" x14ac:dyDescent="0.25">
      <c r="A204" t="s">
        <v>88</v>
      </c>
      <c r="D204">
        <v>1.75</v>
      </c>
      <c r="E204" t="s">
        <v>2</v>
      </c>
    </row>
    <row r="206" spans="1:8" x14ac:dyDescent="0.25">
      <c r="A206" t="s">
        <v>84</v>
      </c>
      <c r="D206">
        <f>D201*D203</f>
        <v>540</v>
      </c>
      <c r="E206" t="s">
        <v>40</v>
      </c>
    </row>
    <row r="207" spans="1:8" x14ac:dyDescent="0.25">
      <c r="A207" t="s">
        <v>85</v>
      </c>
      <c r="D207">
        <f>0</f>
        <v>0</v>
      </c>
      <c r="E207" t="s">
        <v>40</v>
      </c>
    </row>
    <row r="208" spans="1:8" x14ac:dyDescent="0.25">
      <c r="A208" t="s">
        <v>86</v>
      </c>
      <c r="D208">
        <f>0</f>
        <v>0</v>
      </c>
      <c r="E208" t="s">
        <v>40</v>
      </c>
    </row>
    <row r="210" spans="1:8" ht="15.05" customHeight="1" x14ac:dyDescent="0.25">
      <c r="A210" t="s">
        <v>237</v>
      </c>
      <c r="D210">
        <f>0.5*40*(D203+3)</f>
        <v>360</v>
      </c>
      <c r="E210" t="s">
        <v>40</v>
      </c>
    </row>
    <row r="211" spans="1:8" x14ac:dyDescent="0.25">
      <c r="A211" t="s">
        <v>238</v>
      </c>
      <c r="B211" s="4"/>
      <c r="D211" s="3">
        <v>2</v>
      </c>
      <c r="E211" s="3"/>
    </row>
    <row r="212" spans="1:8" x14ac:dyDescent="0.25">
      <c r="B212" s="4"/>
      <c r="D212">
        <f>D210*D211</f>
        <v>720</v>
      </c>
      <c r="E212" t="s">
        <v>40</v>
      </c>
    </row>
    <row r="213" spans="1:8" x14ac:dyDescent="0.25">
      <c r="B213" s="4"/>
    </row>
    <row r="214" spans="1:8" ht="15.05" customHeight="1" x14ac:dyDescent="0.25">
      <c r="A214" t="s">
        <v>240</v>
      </c>
      <c r="D214">
        <f>0.75+3+1.5+3</f>
        <v>8.25</v>
      </c>
      <c r="E214" t="s">
        <v>2</v>
      </c>
    </row>
    <row r="215" spans="1:8" ht="15.05" customHeight="1" x14ac:dyDescent="0.25">
      <c r="A215" t="s">
        <v>239</v>
      </c>
      <c r="D215">
        <v>40</v>
      </c>
      <c r="E215" t="s">
        <v>2</v>
      </c>
    </row>
    <row r="216" spans="1:8" x14ac:dyDescent="0.25">
      <c r="A216" t="s">
        <v>238</v>
      </c>
      <c r="B216" s="4"/>
      <c r="D216" s="3">
        <v>2</v>
      </c>
      <c r="E216" s="3"/>
    </row>
    <row r="217" spans="1:8" x14ac:dyDescent="0.25">
      <c r="B217" s="4"/>
      <c r="D217">
        <f>D214*D216</f>
        <v>16.5</v>
      </c>
      <c r="E217" t="s">
        <v>40</v>
      </c>
    </row>
    <row r="219" spans="1:8" x14ac:dyDescent="0.25">
      <c r="A219" t="s">
        <v>78</v>
      </c>
      <c r="D219">
        <f>D206+D207+D208+D210+D214</f>
        <v>908.25</v>
      </c>
      <c r="E219" t="s">
        <v>40</v>
      </c>
    </row>
    <row r="220" spans="1:8" x14ac:dyDescent="0.25">
      <c r="D220">
        <f>D219/9</f>
        <v>100.91666666666667</v>
      </c>
      <c r="E220" t="s">
        <v>24</v>
      </c>
    </row>
    <row r="223" spans="1:8" x14ac:dyDescent="0.25">
      <c r="A223" s="3" t="s">
        <v>242</v>
      </c>
      <c r="B223" s="3"/>
      <c r="C223" s="3"/>
      <c r="D223" s="3"/>
      <c r="E223" s="3"/>
      <c r="F223" s="3"/>
      <c r="G223" s="3"/>
      <c r="H223" s="3"/>
    </row>
    <row r="225" spans="1:5" x14ac:dyDescent="0.25">
      <c r="A225" t="s">
        <v>81</v>
      </c>
      <c r="D225">
        <v>2</v>
      </c>
      <c r="E225" t="s">
        <v>2</v>
      </c>
    </row>
    <row r="226" spans="1:5" x14ac:dyDescent="0.25">
      <c r="A226" t="s">
        <v>82</v>
      </c>
      <c r="D226">
        <v>36</v>
      </c>
      <c r="E226" t="s">
        <v>2</v>
      </c>
    </row>
    <row r="227" spans="1:5" x14ac:dyDescent="0.25">
      <c r="A227" t="s">
        <v>83</v>
      </c>
      <c r="D227">
        <v>3.5</v>
      </c>
      <c r="E227" t="s">
        <v>2</v>
      </c>
    </row>
    <row r="228" spans="1:5" x14ac:dyDescent="0.25">
      <c r="A228" t="s">
        <v>236</v>
      </c>
      <c r="D228">
        <v>15</v>
      </c>
      <c r="E228" t="s">
        <v>2</v>
      </c>
    </row>
    <row r="229" spans="1:5" x14ac:dyDescent="0.25">
      <c r="A229" t="s">
        <v>88</v>
      </c>
      <c r="D229">
        <v>1.75</v>
      </c>
      <c r="E229" t="s">
        <v>2</v>
      </c>
    </row>
    <row r="231" spans="1:5" x14ac:dyDescent="0.25">
      <c r="A231" t="s">
        <v>84</v>
      </c>
      <c r="D231">
        <f>D226*D228</f>
        <v>540</v>
      </c>
      <c r="E231" t="s">
        <v>40</v>
      </c>
    </row>
    <row r="232" spans="1:5" x14ac:dyDescent="0.25">
      <c r="A232" t="s">
        <v>85</v>
      </c>
      <c r="D232">
        <f>0</f>
        <v>0</v>
      </c>
      <c r="E232" t="s">
        <v>40</v>
      </c>
    </row>
    <row r="233" spans="1:5" x14ac:dyDescent="0.25">
      <c r="A233" t="s">
        <v>86</v>
      </c>
      <c r="D233">
        <f>0</f>
        <v>0</v>
      </c>
      <c r="E233" t="s">
        <v>40</v>
      </c>
    </row>
    <row r="234" spans="1:5" ht="15.05" customHeight="1" x14ac:dyDescent="0.25"/>
    <row r="235" spans="1:5" x14ac:dyDescent="0.25">
      <c r="A235" t="s">
        <v>237</v>
      </c>
      <c r="D235">
        <f>0.5*40*(D228+3)</f>
        <v>360</v>
      </c>
      <c r="E235" t="s">
        <v>40</v>
      </c>
    </row>
    <row r="236" spans="1:5" x14ac:dyDescent="0.25">
      <c r="A236" t="s">
        <v>238</v>
      </c>
      <c r="B236" s="4"/>
      <c r="D236" s="3">
        <v>2</v>
      </c>
      <c r="E236" s="3"/>
    </row>
    <row r="237" spans="1:5" ht="15.05" customHeight="1" x14ac:dyDescent="0.25">
      <c r="B237" s="4"/>
      <c r="D237">
        <f>D235*D236</f>
        <v>720</v>
      </c>
      <c r="E237" t="s">
        <v>40</v>
      </c>
    </row>
    <row r="238" spans="1:5" x14ac:dyDescent="0.25">
      <c r="B238" s="4"/>
    </row>
    <row r="239" spans="1:5" x14ac:dyDescent="0.25">
      <c r="A239" t="s">
        <v>240</v>
      </c>
      <c r="D239">
        <f>0.75+3+1.5+3</f>
        <v>8.25</v>
      </c>
      <c r="E239" t="s">
        <v>2</v>
      </c>
    </row>
    <row r="240" spans="1:5" x14ac:dyDescent="0.25">
      <c r="A240" t="s">
        <v>239</v>
      </c>
      <c r="D240">
        <v>40</v>
      </c>
      <c r="E240" t="s">
        <v>2</v>
      </c>
    </row>
    <row r="241" spans="1:10" x14ac:dyDescent="0.25">
      <c r="A241" t="s">
        <v>238</v>
      </c>
      <c r="B241" s="4"/>
      <c r="D241" s="3">
        <v>2</v>
      </c>
      <c r="E241" s="3"/>
    </row>
    <row r="242" spans="1:10" x14ac:dyDescent="0.25">
      <c r="B242" s="4"/>
      <c r="D242">
        <f>D239*D241</f>
        <v>16.5</v>
      </c>
      <c r="E242" t="s">
        <v>40</v>
      </c>
    </row>
    <row r="244" spans="1:10" x14ac:dyDescent="0.25">
      <c r="A244" t="s">
        <v>78</v>
      </c>
      <c r="D244">
        <f>D231+D232+D233+D235+D239</f>
        <v>908.25</v>
      </c>
      <c r="E244" t="s">
        <v>40</v>
      </c>
    </row>
    <row r="245" spans="1:10" x14ac:dyDescent="0.25">
      <c r="D245">
        <f>D244/9</f>
        <v>100.91666666666667</v>
      </c>
      <c r="E245" t="s">
        <v>24</v>
      </c>
    </row>
    <row r="248" spans="1:10" x14ac:dyDescent="0.25">
      <c r="A248" s="7" t="s">
        <v>90</v>
      </c>
      <c r="B248" s="7"/>
      <c r="C248" s="7"/>
      <c r="D248" s="7">
        <f>D154+D161+D195+D220+D245</f>
        <v>667.3052174443809</v>
      </c>
      <c r="E248" s="7" t="s">
        <v>24</v>
      </c>
    </row>
    <row r="252" spans="1:10" x14ac:dyDescent="0.25">
      <c r="A252" s="2" t="s">
        <v>244</v>
      </c>
      <c r="J252" t="s">
        <v>245</v>
      </c>
    </row>
    <row r="254" spans="1:10" x14ac:dyDescent="0.25">
      <c r="A254" s="2" t="s">
        <v>252</v>
      </c>
    </row>
    <row r="256" spans="1:10" x14ac:dyDescent="0.25">
      <c r="A256" t="s">
        <v>25</v>
      </c>
      <c r="D256">
        <v>124</v>
      </c>
      <c r="E256" t="s">
        <v>2</v>
      </c>
      <c r="F256" t="s">
        <v>27</v>
      </c>
    </row>
    <row r="257" spans="1:7" x14ac:dyDescent="0.25">
      <c r="A257" t="s">
        <v>26</v>
      </c>
      <c r="D257">
        <v>28.5</v>
      </c>
      <c r="E257" t="s">
        <v>2</v>
      </c>
      <c r="F257" t="s">
        <v>208</v>
      </c>
    </row>
    <row r="258" spans="1:7" x14ac:dyDescent="0.25">
      <c r="A258" t="s">
        <v>213</v>
      </c>
      <c r="D258">
        <f>D256*D257</f>
        <v>3534</v>
      </c>
      <c r="E258" t="s">
        <v>23</v>
      </c>
      <c r="F258">
        <f>D258/9</f>
        <v>392.66666666666669</v>
      </c>
      <c r="G258" t="s">
        <v>24</v>
      </c>
    </row>
    <row r="261" spans="1:7" x14ac:dyDescent="0.25">
      <c r="A261" s="2" t="s">
        <v>253</v>
      </c>
    </row>
    <row r="263" spans="1:7" x14ac:dyDescent="0.25">
      <c r="A263" t="s">
        <v>254</v>
      </c>
    </row>
    <row r="264" spans="1:7" x14ac:dyDescent="0.25">
      <c r="A264" t="s">
        <v>255</v>
      </c>
      <c r="D264">
        <v>12</v>
      </c>
    </row>
    <row r="265" spans="1:7" x14ac:dyDescent="0.25">
      <c r="A265" t="s">
        <v>256</v>
      </c>
      <c r="D265">
        <v>122</v>
      </c>
      <c r="E265" t="s">
        <v>2</v>
      </c>
    </row>
    <row r="266" spans="1:7" x14ac:dyDescent="0.25">
      <c r="A266" t="s">
        <v>257</v>
      </c>
      <c r="D266">
        <v>3</v>
      </c>
      <c r="E266" t="s">
        <v>2</v>
      </c>
    </row>
    <row r="268" spans="1:7" x14ac:dyDescent="0.25">
      <c r="A268" t="s">
        <v>258</v>
      </c>
      <c r="D268">
        <f>0.05*(D264*D265*D266)</f>
        <v>219.60000000000002</v>
      </c>
      <c r="E268" t="s">
        <v>40</v>
      </c>
    </row>
    <row r="271" spans="1:7" x14ac:dyDescent="0.25">
      <c r="A271" s="2" t="s">
        <v>259</v>
      </c>
    </row>
    <row r="273" spans="1:5" x14ac:dyDescent="0.25">
      <c r="A273" t="s">
        <v>255</v>
      </c>
      <c r="D273">
        <v>12</v>
      </c>
    </row>
    <row r="274" spans="1:5" x14ac:dyDescent="0.25">
      <c r="A274" t="s">
        <v>256</v>
      </c>
      <c r="D274">
        <v>122</v>
      </c>
      <c r="E274" t="s">
        <v>2</v>
      </c>
    </row>
    <row r="276" spans="1:5" x14ac:dyDescent="0.25">
      <c r="A276" t="s">
        <v>260</v>
      </c>
      <c r="D276">
        <f>(D273-1)*D274</f>
        <v>1342</v>
      </c>
      <c r="E276" t="s">
        <v>2</v>
      </c>
    </row>
    <row r="294" ht="15.05" customHeight="1" x14ac:dyDescent="0.25"/>
  </sheetData>
  <pageMargins left="0.7" right="0.7" top="0.75" bottom="0.75" header="0.3" footer="0.3"/>
  <pageSetup paperSize="17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45"/>
  <sheetViews>
    <sheetView topLeftCell="A119" workbookViewId="0">
      <selection activeCell="C20" sqref="C20"/>
    </sheetView>
  </sheetViews>
  <sheetFormatPr defaultRowHeight="14.85" x14ac:dyDescent="0.25"/>
  <cols>
    <col min="3" max="3" width="11.7109375" customWidth="1"/>
    <col min="4" max="4" width="18.140625" customWidth="1"/>
  </cols>
  <sheetData>
    <row r="1" spans="1:7" x14ac:dyDescent="0.25">
      <c r="A1" s="2" t="s">
        <v>206</v>
      </c>
    </row>
    <row r="3" spans="1:7" x14ac:dyDescent="0.25">
      <c r="A3" t="s">
        <v>209</v>
      </c>
      <c r="D3">
        <v>0</v>
      </c>
      <c r="E3" t="s">
        <v>2</v>
      </c>
    </row>
    <row r="4" spans="1:7" x14ac:dyDescent="0.25">
      <c r="A4" t="s">
        <v>210</v>
      </c>
      <c r="D4">
        <v>25.25</v>
      </c>
      <c r="E4" t="s">
        <v>2</v>
      </c>
      <c r="F4" t="s">
        <v>208</v>
      </c>
    </row>
    <row r="5" spans="1:7" x14ac:dyDescent="0.25">
      <c r="A5" t="s">
        <v>211</v>
      </c>
      <c r="D5">
        <v>2</v>
      </c>
      <c r="E5" t="s">
        <v>2</v>
      </c>
    </row>
    <row r="6" spans="1:7" x14ac:dyDescent="0.25">
      <c r="A6" t="s">
        <v>212</v>
      </c>
      <c r="D6">
        <f>D3*D4*D5</f>
        <v>0</v>
      </c>
      <c r="E6" t="s">
        <v>23</v>
      </c>
      <c r="F6">
        <f>D6/9</f>
        <v>0</v>
      </c>
      <c r="G6" t="s">
        <v>24</v>
      </c>
    </row>
    <row r="8" spans="1:7" x14ac:dyDescent="0.25">
      <c r="A8" t="s">
        <v>11</v>
      </c>
      <c r="D8">
        <v>25</v>
      </c>
      <c r="E8" t="s">
        <v>2</v>
      </c>
    </row>
    <row r="9" spans="1:7" x14ac:dyDescent="0.25">
      <c r="A9" t="s">
        <v>10</v>
      </c>
      <c r="D9">
        <v>25.25</v>
      </c>
      <c r="E9" t="s">
        <v>2</v>
      </c>
      <c r="F9" t="s">
        <v>208</v>
      </c>
    </row>
    <row r="10" spans="1:7" x14ac:dyDescent="0.25">
      <c r="A10" t="s">
        <v>12</v>
      </c>
      <c r="D10">
        <v>2</v>
      </c>
      <c r="E10" t="s">
        <v>2</v>
      </c>
    </row>
    <row r="11" spans="1:7" x14ac:dyDescent="0.25">
      <c r="A11" t="s">
        <v>212</v>
      </c>
      <c r="D11">
        <f>D8*D9*D10</f>
        <v>1262.5</v>
      </c>
      <c r="E11" t="s">
        <v>23</v>
      </c>
      <c r="F11">
        <f>D11/9</f>
        <v>140.27777777777777</v>
      </c>
      <c r="G11" t="s">
        <v>24</v>
      </c>
    </row>
    <row r="14" spans="1:7" x14ac:dyDescent="0.25">
      <c r="A14" t="s">
        <v>25</v>
      </c>
      <c r="D14">
        <v>106.5</v>
      </c>
      <c r="E14" t="s">
        <v>2</v>
      </c>
      <c r="F14" t="s">
        <v>27</v>
      </c>
    </row>
    <row r="15" spans="1:7" x14ac:dyDescent="0.25">
      <c r="A15" t="s">
        <v>26</v>
      </c>
      <c r="D15">
        <v>25.25</v>
      </c>
      <c r="E15" t="s">
        <v>2</v>
      </c>
      <c r="F15" t="s">
        <v>208</v>
      </c>
    </row>
    <row r="16" spans="1:7" x14ac:dyDescent="0.25">
      <c r="A16" t="s">
        <v>213</v>
      </c>
      <c r="D16">
        <f>D14*D15</f>
        <v>2689.125</v>
      </c>
      <c r="E16" t="s">
        <v>23</v>
      </c>
      <c r="F16">
        <f>D16/9</f>
        <v>298.79166666666669</v>
      </c>
      <c r="G16" t="s">
        <v>24</v>
      </c>
    </row>
    <row r="18" spans="1:5" x14ac:dyDescent="0.25">
      <c r="A18" s="7" t="s">
        <v>28</v>
      </c>
      <c r="B18" s="7">
        <f>ROUNDUP(F6+F11+F16,0)</f>
        <v>440</v>
      </c>
      <c r="C18" s="7" t="s">
        <v>24</v>
      </c>
    </row>
    <row r="21" spans="1:5" x14ac:dyDescent="0.25">
      <c r="A21" s="2" t="s">
        <v>214</v>
      </c>
    </row>
    <row r="23" spans="1:5" x14ac:dyDescent="0.25">
      <c r="A23" t="s">
        <v>207</v>
      </c>
      <c r="C23">
        <f>6+5</f>
        <v>11</v>
      </c>
      <c r="D23" t="s">
        <v>2</v>
      </c>
    </row>
    <row r="24" spans="1:5" x14ac:dyDescent="0.25">
      <c r="A24" t="s">
        <v>1</v>
      </c>
      <c r="C24">
        <v>4</v>
      </c>
      <c r="D24" t="s">
        <v>2</v>
      </c>
    </row>
    <row r="25" spans="1:5" x14ac:dyDescent="0.25">
      <c r="A25" t="s">
        <v>217</v>
      </c>
      <c r="C25">
        <f>C23*C24</f>
        <v>44</v>
      </c>
      <c r="D25" t="s">
        <v>40</v>
      </c>
    </row>
    <row r="28" spans="1:5" x14ac:dyDescent="0.25">
      <c r="A28" s="2" t="s">
        <v>215</v>
      </c>
      <c r="D28">
        <f>6+5</f>
        <v>11</v>
      </c>
      <c r="E28" t="s">
        <v>2</v>
      </c>
    </row>
    <row r="30" spans="1:5" x14ac:dyDescent="0.25">
      <c r="A30" s="2" t="s">
        <v>216</v>
      </c>
    </row>
    <row r="32" spans="1:5" x14ac:dyDescent="0.25">
      <c r="A32" t="s">
        <v>207</v>
      </c>
      <c r="C32">
        <f>6+5</f>
        <v>11</v>
      </c>
      <c r="D32" t="s">
        <v>2</v>
      </c>
    </row>
    <row r="33" spans="1:7" x14ac:dyDescent="0.25">
      <c r="A33" t="s">
        <v>1</v>
      </c>
      <c r="C33">
        <v>4</v>
      </c>
      <c r="D33" t="s">
        <v>2</v>
      </c>
    </row>
    <row r="34" spans="1:7" x14ac:dyDescent="0.25">
      <c r="A34" t="s">
        <v>217</v>
      </c>
      <c r="C34">
        <f>C32*C33</f>
        <v>44</v>
      </c>
      <c r="D34" t="s">
        <v>40</v>
      </c>
    </row>
    <row r="36" spans="1:7" x14ac:dyDescent="0.25">
      <c r="A36" s="2" t="s">
        <v>218</v>
      </c>
      <c r="D36">
        <f>6+5</f>
        <v>11</v>
      </c>
      <c r="E36" t="s">
        <v>2</v>
      </c>
    </row>
    <row r="39" spans="1:7" x14ac:dyDescent="0.25">
      <c r="A39" s="2" t="s">
        <v>219</v>
      </c>
    </row>
    <row r="41" spans="1:7" x14ac:dyDescent="0.25">
      <c r="A41" t="s">
        <v>209</v>
      </c>
      <c r="D41">
        <v>25</v>
      </c>
      <c r="E41" t="s">
        <v>2</v>
      </c>
    </row>
    <row r="42" spans="1:7" x14ac:dyDescent="0.25">
      <c r="A42" t="s">
        <v>210</v>
      </c>
      <c r="D42">
        <v>25.25</v>
      </c>
      <c r="E42" t="s">
        <v>2</v>
      </c>
      <c r="F42" t="s">
        <v>208</v>
      </c>
    </row>
    <row r="43" spans="1:7" x14ac:dyDescent="0.25">
      <c r="A43" t="s">
        <v>220</v>
      </c>
      <c r="D43">
        <f>1.25/12</f>
        <v>0.10416666666666667</v>
      </c>
      <c r="E43" t="s">
        <v>2</v>
      </c>
    </row>
    <row r="44" spans="1:7" x14ac:dyDescent="0.25">
      <c r="A44" t="s">
        <v>211</v>
      </c>
      <c r="D44">
        <v>2</v>
      </c>
      <c r="E44" t="s">
        <v>2</v>
      </c>
    </row>
    <row r="45" spans="1:7" x14ac:dyDescent="0.25">
      <c r="A45" t="s">
        <v>212</v>
      </c>
      <c r="D45">
        <f>D41*D42*D43*D44</f>
        <v>131.51041666666669</v>
      </c>
      <c r="E45" t="s">
        <v>221</v>
      </c>
      <c r="F45">
        <f>D45/27</f>
        <v>4.8707561728395072</v>
      </c>
      <c r="G45" t="s">
        <v>8</v>
      </c>
    </row>
    <row r="47" spans="1:7" x14ac:dyDescent="0.25">
      <c r="A47" t="s">
        <v>11</v>
      </c>
      <c r="D47">
        <v>25</v>
      </c>
      <c r="E47" t="s">
        <v>2</v>
      </c>
    </row>
    <row r="48" spans="1:7" x14ac:dyDescent="0.25">
      <c r="A48" t="s">
        <v>10</v>
      </c>
      <c r="D48">
        <v>25.25</v>
      </c>
      <c r="E48" t="s">
        <v>2</v>
      </c>
      <c r="F48" t="s">
        <v>208</v>
      </c>
    </row>
    <row r="49" spans="1:7" x14ac:dyDescent="0.25">
      <c r="A49" t="s">
        <v>220</v>
      </c>
      <c r="D49">
        <f>1.25/12</f>
        <v>0.10416666666666667</v>
      </c>
      <c r="E49" t="s">
        <v>2</v>
      </c>
    </row>
    <row r="50" spans="1:7" x14ac:dyDescent="0.25">
      <c r="A50" t="s">
        <v>12</v>
      </c>
      <c r="D50">
        <v>2</v>
      </c>
      <c r="E50" t="s">
        <v>2</v>
      </c>
    </row>
    <row r="51" spans="1:7" x14ac:dyDescent="0.25">
      <c r="A51" t="s">
        <v>212</v>
      </c>
      <c r="D51">
        <f>D47*D48*D49*D50</f>
        <v>131.51041666666669</v>
      </c>
      <c r="E51" t="s">
        <v>221</v>
      </c>
      <c r="F51">
        <f>D51/27</f>
        <v>4.8707561728395072</v>
      </c>
      <c r="G51" t="s">
        <v>8</v>
      </c>
    </row>
    <row r="54" spans="1:7" x14ac:dyDescent="0.25">
      <c r="A54" t="s">
        <v>25</v>
      </c>
      <c r="D54">
        <v>106.5</v>
      </c>
      <c r="E54" t="s">
        <v>2</v>
      </c>
      <c r="F54" t="s">
        <v>27</v>
      </c>
    </row>
    <row r="55" spans="1:7" x14ac:dyDescent="0.25">
      <c r="A55" t="s">
        <v>26</v>
      </c>
      <c r="D55">
        <v>25.25</v>
      </c>
      <c r="E55" t="s">
        <v>2</v>
      </c>
      <c r="F55" t="s">
        <v>208</v>
      </c>
    </row>
    <row r="56" spans="1:7" x14ac:dyDescent="0.25">
      <c r="A56" t="s">
        <v>220</v>
      </c>
      <c r="D56">
        <f>5/12</f>
        <v>0.41666666666666669</v>
      </c>
      <c r="E56" t="s">
        <v>2</v>
      </c>
    </row>
    <row r="57" spans="1:7" x14ac:dyDescent="0.25">
      <c r="A57" t="s">
        <v>213</v>
      </c>
      <c r="D57">
        <f>D54*D55*D56</f>
        <v>1120.46875</v>
      </c>
      <c r="E57" t="s">
        <v>221</v>
      </c>
      <c r="F57">
        <f>D57/27</f>
        <v>41.498842592592595</v>
      </c>
      <c r="G57" t="s">
        <v>8</v>
      </c>
    </row>
    <row r="59" spans="1:7" x14ac:dyDescent="0.25">
      <c r="A59" s="7" t="s">
        <v>28</v>
      </c>
      <c r="B59" s="7">
        <f>ROUNDUP(F45+F51+F57,0)</f>
        <v>52</v>
      </c>
      <c r="C59" s="7" t="s">
        <v>24</v>
      </c>
    </row>
    <row r="62" spans="1:7" x14ac:dyDescent="0.25">
      <c r="A62" s="2" t="s">
        <v>265</v>
      </c>
    </row>
    <row r="64" spans="1:7" x14ac:dyDescent="0.25">
      <c r="A64" t="s">
        <v>209</v>
      </c>
      <c r="D64">
        <v>25</v>
      </c>
      <c r="E64" t="s">
        <v>2</v>
      </c>
    </row>
    <row r="65" spans="1:7" x14ac:dyDescent="0.25">
      <c r="A65" t="s">
        <v>210</v>
      </c>
      <c r="D65">
        <v>25.25</v>
      </c>
      <c r="E65" t="s">
        <v>2</v>
      </c>
      <c r="F65" t="s">
        <v>208</v>
      </c>
    </row>
    <row r="66" spans="1:7" x14ac:dyDescent="0.25">
      <c r="A66" t="s">
        <v>211</v>
      </c>
      <c r="D66">
        <v>2</v>
      </c>
      <c r="E66" t="s">
        <v>2</v>
      </c>
    </row>
    <row r="67" spans="1:7" x14ac:dyDescent="0.25">
      <c r="A67" t="s">
        <v>212</v>
      </c>
      <c r="D67">
        <f>D64*D65*D66</f>
        <v>1262.5</v>
      </c>
      <c r="E67" t="s">
        <v>23</v>
      </c>
      <c r="F67">
        <f>D67/9</f>
        <v>140.27777777777777</v>
      </c>
      <c r="G67" t="s">
        <v>24</v>
      </c>
    </row>
    <row r="69" spans="1:7" x14ac:dyDescent="0.25">
      <c r="A69" t="s">
        <v>11</v>
      </c>
      <c r="D69">
        <v>25</v>
      </c>
      <c r="E69" t="s">
        <v>2</v>
      </c>
    </row>
    <row r="70" spans="1:7" x14ac:dyDescent="0.25">
      <c r="A70" t="s">
        <v>10</v>
      </c>
      <c r="D70">
        <v>25.25</v>
      </c>
      <c r="E70" t="s">
        <v>2</v>
      </c>
      <c r="F70" t="s">
        <v>208</v>
      </c>
    </row>
    <row r="71" spans="1:7" x14ac:dyDescent="0.25">
      <c r="A71" t="s">
        <v>12</v>
      </c>
      <c r="D71">
        <v>2</v>
      </c>
      <c r="E71" t="s">
        <v>2</v>
      </c>
    </row>
    <row r="72" spans="1:7" x14ac:dyDescent="0.25">
      <c r="A72" t="s">
        <v>212</v>
      </c>
      <c r="D72">
        <f>D69*D70*D71</f>
        <v>1262.5</v>
      </c>
      <c r="E72" t="s">
        <v>23</v>
      </c>
      <c r="F72">
        <f>D72/9</f>
        <v>140.27777777777777</v>
      </c>
      <c r="G72" t="s">
        <v>24</v>
      </c>
    </row>
    <row r="75" spans="1:7" x14ac:dyDescent="0.25">
      <c r="A75" t="s">
        <v>25</v>
      </c>
      <c r="D75">
        <v>106.5</v>
      </c>
      <c r="E75" t="s">
        <v>2</v>
      </c>
      <c r="F75" t="s">
        <v>27</v>
      </c>
    </row>
    <row r="76" spans="1:7" x14ac:dyDescent="0.25">
      <c r="A76" t="s">
        <v>26</v>
      </c>
      <c r="D76">
        <v>25.25</v>
      </c>
      <c r="E76" t="s">
        <v>2</v>
      </c>
      <c r="F76" t="s">
        <v>208</v>
      </c>
    </row>
    <row r="77" spans="1:7" x14ac:dyDescent="0.25">
      <c r="A77" t="s">
        <v>213</v>
      </c>
      <c r="D77">
        <f>D75*D76</f>
        <v>2689.125</v>
      </c>
      <c r="E77" t="s">
        <v>23</v>
      </c>
      <c r="F77">
        <f>D77/9</f>
        <v>298.79166666666669</v>
      </c>
      <c r="G77" t="s">
        <v>24</v>
      </c>
    </row>
    <row r="79" spans="1:7" x14ac:dyDescent="0.25">
      <c r="A79" s="7" t="s">
        <v>28</v>
      </c>
      <c r="B79" s="7">
        <f>ROUNDUP(F67+F72+F77,0)</f>
        <v>580</v>
      </c>
      <c r="C79" s="7" t="s">
        <v>24</v>
      </c>
    </row>
    <row r="81" spans="1:7" x14ac:dyDescent="0.25">
      <c r="A81" t="s">
        <v>268</v>
      </c>
      <c r="D81">
        <v>0.05</v>
      </c>
      <c r="E81" t="s">
        <v>267</v>
      </c>
    </row>
    <row r="83" spans="1:7" x14ac:dyDescent="0.25">
      <c r="A83" t="s">
        <v>266</v>
      </c>
      <c r="D83">
        <f>B79*D81</f>
        <v>29</v>
      </c>
      <c r="E83" t="s">
        <v>269</v>
      </c>
    </row>
    <row r="86" spans="1:7" x14ac:dyDescent="0.25">
      <c r="A86" s="2" t="s">
        <v>261</v>
      </c>
    </row>
    <row r="88" spans="1:7" x14ac:dyDescent="0.25">
      <c r="A88" t="s">
        <v>223</v>
      </c>
      <c r="E88">
        <v>25.25</v>
      </c>
      <c r="F88" t="s">
        <v>2</v>
      </c>
      <c r="G88" t="s">
        <v>227</v>
      </c>
    </row>
    <row r="89" spans="1:7" x14ac:dyDescent="0.25">
      <c r="A89" t="s">
        <v>61</v>
      </c>
      <c r="E89" s="3">
        <v>1</v>
      </c>
      <c r="F89" s="3" t="s">
        <v>116</v>
      </c>
    </row>
    <row r="90" spans="1:7" x14ac:dyDescent="0.25">
      <c r="E90">
        <f>E88*E89</f>
        <v>25.25</v>
      </c>
      <c r="F90" t="s">
        <v>2</v>
      </c>
    </row>
    <row r="92" spans="1:7" x14ac:dyDescent="0.25">
      <c r="A92" t="s">
        <v>224</v>
      </c>
      <c r="E92">
        <v>25.25</v>
      </c>
      <c r="F92" t="s">
        <v>2</v>
      </c>
      <c r="G92" t="s">
        <v>227</v>
      </c>
    </row>
    <row r="93" spans="1:7" x14ac:dyDescent="0.25">
      <c r="A93" t="s">
        <v>61</v>
      </c>
      <c r="E93" s="3">
        <v>2</v>
      </c>
      <c r="F93" s="3" t="s">
        <v>116</v>
      </c>
    </row>
    <row r="94" spans="1:7" x14ac:dyDescent="0.25">
      <c r="E94">
        <f>E92*E93</f>
        <v>50.5</v>
      </c>
      <c r="F94" t="s">
        <v>2</v>
      </c>
    </row>
    <row r="96" spans="1:7" x14ac:dyDescent="0.25">
      <c r="A96" t="s">
        <v>225</v>
      </c>
      <c r="E96">
        <v>25</v>
      </c>
      <c r="F96" t="s">
        <v>2</v>
      </c>
      <c r="G96" t="s">
        <v>226</v>
      </c>
    </row>
    <row r="97" spans="1:11" x14ac:dyDescent="0.25">
      <c r="A97" t="s">
        <v>61</v>
      </c>
      <c r="E97" s="3">
        <v>2</v>
      </c>
      <c r="F97" s="3" t="s">
        <v>116</v>
      </c>
    </row>
    <row r="98" spans="1:11" x14ac:dyDescent="0.25">
      <c r="E98">
        <f>E96*E97</f>
        <v>50</v>
      </c>
      <c r="F98" t="s">
        <v>2</v>
      </c>
    </row>
    <row r="100" spans="1:11" x14ac:dyDescent="0.25">
      <c r="A100" t="s">
        <v>229</v>
      </c>
      <c r="E100">
        <v>106.5</v>
      </c>
      <c r="F100" t="s">
        <v>2</v>
      </c>
      <c r="G100" t="s">
        <v>226</v>
      </c>
    </row>
    <row r="101" spans="1:11" x14ac:dyDescent="0.25">
      <c r="A101" t="s">
        <v>61</v>
      </c>
      <c r="E101" s="3">
        <v>2</v>
      </c>
      <c r="F101" s="3" t="s">
        <v>116</v>
      </c>
    </row>
    <row r="102" spans="1:11" x14ac:dyDescent="0.25">
      <c r="E102">
        <f>E100*E101</f>
        <v>213</v>
      </c>
      <c r="F102" t="s">
        <v>2</v>
      </c>
    </row>
    <row r="104" spans="1:11" x14ac:dyDescent="0.25">
      <c r="A104" t="s">
        <v>228</v>
      </c>
      <c r="E104">
        <v>25</v>
      </c>
      <c r="F104" t="s">
        <v>2</v>
      </c>
      <c r="G104" t="s">
        <v>226</v>
      </c>
    </row>
    <row r="105" spans="1:11" x14ac:dyDescent="0.25">
      <c r="A105" t="s">
        <v>61</v>
      </c>
      <c r="E105" s="3">
        <v>2</v>
      </c>
      <c r="F105" s="3" t="s">
        <v>116</v>
      </c>
    </row>
    <row r="106" spans="1:11" x14ac:dyDescent="0.25">
      <c r="E106">
        <f>E104*E105</f>
        <v>50</v>
      </c>
      <c r="F106" t="s">
        <v>2</v>
      </c>
    </row>
    <row r="108" spans="1:11" x14ac:dyDescent="0.25">
      <c r="D108" t="s">
        <v>28</v>
      </c>
      <c r="E108">
        <f>E90+E94+E98+E102+E106</f>
        <v>388.75</v>
      </c>
      <c r="F108" t="s">
        <v>2</v>
      </c>
    </row>
    <row r="112" spans="1:11" x14ac:dyDescent="0.25">
      <c r="A112" s="2" t="s">
        <v>32</v>
      </c>
      <c r="J112">
        <f>0</f>
        <v>0</v>
      </c>
      <c r="K112" t="s">
        <v>2</v>
      </c>
    </row>
    <row r="119" spans="1:11" x14ac:dyDescent="0.25">
      <c r="A119" s="2" t="s">
        <v>230</v>
      </c>
      <c r="J119">
        <f>0</f>
        <v>0</v>
      </c>
      <c r="K119" t="s">
        <v>2</v>
      </c>
    </row>
    <row r="128" spans="1:11" x14ac:dyDescent="0.25">
      <c r="A128" s="2"/>
    </row>
    <row r="129" spans="1:5" x14ac:dyDescent="0.25">
      <c r="A129" s="2" t="s">
        <v>58</v>
      </c>
    </row>
    <row r="130" spans="1:5" x14ac:dyDescent="0.25">
      <c r="A130" s="2"/>
    </row>
    <row r="131" spans="1:5" x14ac:dyDescent="0.25">
      <c r="A131" s="3" t="s">
        <v>241</v>
      </c>
      <c r="B131" s="3"/>
    </row>
    <row r="132" spans="1:5" x14ac:dyDescent="0.25">
      <c r="A132" t="s">
        <v>60</v>
      </c>
      <c r="D132">
        <v>106.5</v>
      </c>
      <c r="E132" t="s">
        <v>2</v>
      </c>
    </row>
    <row r="133" spans="1:5" x14ac:dyDescent="0.25">
      <c r="A133" t="s">
        <v>248</v>
      </c>
      <c r="D133">
        <f>0.75+3+1.5+3+2.25+0.5</f>
        <v>11</v>
      </c>
      <c r="E133" t="s">
        <v>2</v>
      </c>
    </row>
    <row r="134" spans="1:5" x14ac:dyDescent="0.25">
      <c r="A134" t="s">
        <v>61</v>
      </c>
      <c r="D134">
        <v>1</v>
      </c>
    </row>
    <row r="135" spans="1:5" x14ac:dyDescent="0.25">
      <c r="A135" t="s">
        <v>62</v>
      </c>
      <c r="D135">
        <f>D132*D133*D134</f>
        <v>1171.5</v>
      </c>
      <c r="E135" t="s">
        <v>40</v>
      </c>
    </row>
    <row r="136" spans="1:5" x14ac:dyDescent="0.25">
      <c r="D136">
        <f>D135/9</f>
        <v>130.16666666666666</v>
      </c>
      <c r="E136" t="s">
        <v>24</v>
      </c>
    </row>
    <row r="138" spans="1:5" x14ac:dyDescent="0.25">
      <c r="A138" s="3" t="s">
        <v>246</v>
      </c>
      <c r="B138" s="3"/>
    </row>
    <row r="139" spans="1:5" x14ac:dyDescent="0.25">
      <c r="A139" t="s">
        <v>60</v>
      </c>
      <c r="D139">
        <v>106.5</v>
      </c>
      <c r="E139" t="s">
        <v>2</v>
      </c>
    </row>
    <row r="140" spans="1:5" x14ac:dyDescent="0.25">
      <c r="A140" t="s">
        <v>247</v>
      </c>
      <c r="D140">
        <f>0.75+0.8333+5.25+3+1+3+2.25+0.5</f>
        <v>16.583300000000001</v>
      </c>
      <c r="E140" t="s">
        <v>2</v>
      </c>
    </row>
    <row r="141" spans="1:5" x14ac:dyDescent="0.25">
      <c r="A141" t="s">
        <v>61</v>
      </c>
      <c r="D141">
        <v>1</v>
      </c>
    </row>
    <row r="142" spans="1:5" x14ac:dyDescent="0.25">
      <c r="A142" t="s">
        <v>62</v>
      </c>
      <c r="D142">
        <f>D139*D140*D141</f>
        <v>1766.1214500000001</v>
      </c>
      <c r="E142" t="s">
        <v>40</v>
      </c>
    </row>
    <row r="143" spans="1:5" x14ac:dyDescent="0.25">
      <c r="D143">
        <f>D142/9</f>
        <v>196.23571666666669</v>
      </c>
      <c r="E143" t="s">
        <v>24</v>
      </c>
    </row>
    <row r="144" spans="1:5" x14ac:dyDescent="0.25">
      <c r="A144" s="2"/>
    </row>
    <row r="148" spans="1:8" x14ac:dyDescent="0.25">
      <c r="A148" s="3" t="s">
        <v>243</v>
      </c>
      <c r="B148" s="3"/>
      <c r="C148" s="3"/>
      <c r="D148" s="3"/>
      <c r="E148" s="3"/>
      <c r="F148" s="3"/>
      <c r="G148" s="3"/>
      <c r="H148" s="3"/>
    </row>
    <row r="150" spans="1:8" x14ac:dyDescent="0.25">
      <c r="A150" t="s">
        <v>81</v>
      </c>
      <c r="D150">
        <v>1.833</v>
      </c>
      <c r="E150" t="s">
        <v>2</v>
      </c>
    </row>
    <row r="151" spans="1:8" x14ac:dyDescent="0.25">
      <c r="A151" t="s">
        <v>82</v>
      </c>
      <c r="D151">
        <v>74</v>
      </c>
      <c r="E151" t="s">
        <v>2</v>
      </c>
    </row>
    <row r="152" spans="1:8" x14ac:dyDescent="0.25">
      <c r="A152" t="s">
        <v>83</v>
      </c>
      <c r="D152">
        <v>3.5</v>
      </c>
      <c r="E152" t="s">
        <v>2</v>
      </c>
    </row>
    <row r="153" spans="1:8" x14ac:dyDescent="0.25">
      <c r="A153" t="s">
        <v>236</v>
      </c>
      <c r="D153">
        <v>16</v>
      </c>
      <c r="E153" t="s">
        <v>2</v>
      </c>
    </row>
    <row r="154" spans="1:8" x14ac:dyDescent="0.25">
      <c r="A154" t="s">
        <v>88</v>
      </c>
      <c r="D154">
        <v>1.75</v>
      </c>
      <c r="E154" t="s">
        <v>2</v>
      </c>
    </row>
    <row r="156" spans="1:8" x14ac:dyDescent="0.25">
      <c r="A156" t="s">
        <v>84</v>
      </c>
      <c r="D156">
        <f>D151*D153</f>
        <v>1184</v>
      </c>
      <c r="E156" t="s">
        <v>40</v>
      </c>
    </row>
    <row r="157" spans="1:8" x14ac:dyDescent="0.25">
      <c r="A157" t="s">
        <v>85</v>
      </c>
      <c r="D157">
        <f>0</f>
        <v>0</v>
      </c>
      <c r="E157" t="s">
        <v>40</v>
      </c>
    </row>
    <row r="158" spans="1:8" x14ac:dyDescent="0.25">
      <c r="A158" t="s">
        <v>86</v>
      </c>
      <c r="D158">
        <f>0</f>
        <v>0</v>
      </c>
      <c r="E158" t="s">
        <v>40</v>
      </c>
    </row>
    <row r="160" spans="1:8" x14ac:dyDescent="0.25">
      <c r="A160" t="s">
        <v>249</v>
      </c>
      <c r="D160">
        <f>28*D153</f>
        <v>448</v>
      </c>
      <c r="E160" t="s">
        <v>40</v>
      </c>
    </row>
    <row r="161" spans="1:5" x14ac:dyDescent="0.25">
      <c r="A161" t="s">
        <v>238</v>
      </c>
      <c r="B161" s="4"/>
      <c r="D161" s="3">
        <v>1</v>
      </c>
      <c r="E161" s="3"/>
    </row>
    <row r="162" spans="1:5" x14ac:dyDescent="0.25">
      <c r="B162" s="4"/>
      <c r="D162">
        <f>D160*D161</f>
        <v>448</v>
      </c>
      <c r="E162" t="s">
        <v>40</v>
      </c>
    </row>
    <row r="163" spans="1:5" x14ac:dyDescent="0.25">
      <c r="B163" s="4"/>
    </row>
    <row r="164" spans="1:5" x14ac:dyDescent="0.25">
      <c r="A164" t="s">
        <v>250</v>
      </c>
      <c r="D164">
        <f>0.5*44*20</f>
        <v>440</v>
      </c>
      <c r="E164" t="s">
        <v>40</v>
      </c>
    </row>
    <row r="165" spans="1:5" x14ac:dyDescent="0.25">
      <c r="A165" t="s">
        <v>238</v>
      </c>
      <c r="B165" s="4"/>
      <c r="D165" s="3">
        <v>2</v>
      </c>
      <c r="E165" s="3"/>
    </row>
    <row r="166" spans="1:5" x14ac:dyDescent="0.25">
      <c r="B166" s="4"/>
      <c r="D166">
        <f>D164*D165</f>
        <v>880</v>
      </c>
      <c r="E166" t="s">
        <v>40</v>
      </c>
    </row>
    <row r="167" spans="1:5" x14ac:dyDescent="0.25">
      <c r="B167" s="4"/>
    </row>
    <row r="168" spans="1:5" x14ac:dyDescent="0.25">
      <c r="B168" s="4"/>
    </row>
    <row r="169" spans="1:5" x14ac:dyDescent="0.25">
      <c r="A169" t="s">
        <v>240</v>
      </c>
      <c r="D169">
        <f>0.75+3+1.5+3</f>
        <v>8.25</v>
      </c>
      <c r="E169" t="s">
        <v>2</v>
      </c>
    </row>
    <row r="170" spans="1:5" x14ac:dyDescent="0.25">
      <c r="A170" t="s">
        <v>239</v>
      </c>
      <c r="D170">
        <v>44</v>
      </c>
      <c r="E170" t="s">
        <v>2</v>
      </c>
    </row>
    <row r="171" spans="1:5" x14ac:dyDescent="0.25">
      <c r="A171" t="s">
        <v>238</v>
      </c>
      <c r="B171" s="4"/>
      <c r="D171" s="3">
        <v>2</v>
      </c>
      <c r="E171" s="3"/>
    </row>
    <row r="172" spans="1:5" x14ac:dyDescent="0.25">
      <c r="B172" s="4"/>
      <c r="D172">
        <f>D169*D170*D171</f>
        <v>726</v>
      </c>
      <c r="E172" t="s">
        <v>40</v>
      </c>
    </row>
    <row r="174" spans="1:5" x14ac:dyDescent="0.25">
      <c r="A174" t="s">
        <v>78</v>
      </c>
      <c r="D174">
        <f>D156+D157+D158+D162+D166+D172</f>
        <v>3238</v>
      </c>
      <c r="E174" t="s">
        <v>40</v>
      </c>
    </row>
    <row r="175" spans="1:5" x14ac:dyDescent="0.25">
      <c r="D175">
        <f>D174/9</f>
        <v>359.77777777777777</v>
      </c>
      <c r="E175" t="s">
        <v>24</v>
      </c>
    </row>
    <row r="178" spans="1:8" x14ac:dyDescent="0.25">
      <c r="A178" s="3" t="s">
        <v>242</v>
      </c>
      <c r="B178" s="3"/>
      <c r="C178" s="3"/>
      <c r="D178" s="3"/>
      <c r="E178" s="3"/>
      <c r="F178" s="3"/>
      <c r="G178" s="3"/>
      <c r="H178" s="3"/>
    </row>
    <row r="180" spans="1:8" x14ac:dyDescent="0.25">
      <c r="A180" t="s">
        <v>81</v>
      </c>
      <c r="D180">
        <v>1.833</v>
      </c>
      <c r="E180" t="s">
        <v>2</v>
      </c>
    </row>
    <row r="181" spans="1:8" x14ac:dyDescent="0.25">
      <c r="A181" t="s">
        <v>82</v>
      </c>
      <c r="D181">
        <v>36.83</v>
      </c>
      <c r="E181" t="s">
        <v>2</v>
      </c>
    </row>
    <row r="182" spans="1:8" x14ac:dyDescent="0.25">
      <c r="A182" t="s">
        <v>83</v>
      </c>
      <c r="D182">
        <v>3.5</v>
      </c>
      <c r="E182" t="s">
        <v>2</v>
      </c>
    </row>
    <row r="183" spans="1:8" x14ac:dyDescent="0.25">
      <c r="A183" t="s">
        <v>236</v>
      </c>
      <c r="D183">
        <v>16</v>
      </c>
      <c r="E183" t="s">
        <v>2</v>
      </c>
    </row>
    <row r="184" spans="1:8" x14ac:dyDescent="0.25">
      <c r="A184" t="s">
        <v>88</v>
      </c>
      <c r="D184">
        <v>1.75</v>
      </c>
      <c r="E184" t="s">
        <v>2</v>
      </c>
    </row>
    <row r="186" spans="1:8" x14ac:dyDescent="0.25">
      <c r="A186" t="s">
        <v>84</v>
      </c>
      <c r="D186">
        <f>D181*D183</f>
        <v>589.28</v>
      </c>
      <c r="E186" t="s">
        <v>40</v>
      </c>
    </row>
    <row r="187" spans="1:8" x14ac:dyDescent="0.25">
      <c r="A187" t="s">
        <v>85</v>
      </c>
      <c r="D187">
        <f>0</f>
        <v>0</v>
      </c>
      <c r="E187" t="s">
        <v>40</v>
      </c>
    </row>
    <row r="188" spans="1:8" x14ac:dyDescent="0.25">
      <c r="A188" t="s">
        <v>86</v>
      </c>
      <c r="D188">
        <f>0</f>
        <v>0</v>
      </c>
      <c r="E188" t="s">
        <v>40</v>
      </c>
    </row>
    <row r="190" spans="1:8" x14ac:dyDescent="0.25">
      <c r="A190" t="s">
        <v>249</v>
      </c>
      <c r="D190">
        <f>28*D183</f>
        <v>448</v>
      </c>
      <c r="E190" t="s">
        <v>40</v>
      </c>
    </row>
    <row r="191" spans="1:8" x14ac:dyDescent="0.25">
      <c r="A191" t="s">
        <v>238</v>
      </c>
      <c r="B191" s="4"/>
      <c r="D191" s="3">
        <v>1</v>
      </c>
      <c r="E191" s="3"/>
    </row>
    <row r="192" spans="1:8" x14ac:dyDescent="0.25">
      <c r="B192" s="4"/>
      <c r="D192">
        <f>D190*D191</f>
        <v>448</v>
      </c>
      <c r="E192" t="s">
        <v>40</v>
      </c>
    </row>
    <row r="193" spans="1:5" x14ac:dyDescent="0.25">
      <c r="B193" s="4"/>
    </row>
    <row r="194" spans="1:5" x14ac:dyDescent="0.25">
      <c r="A194" t="s">
        <v>250</v>
      </c>
      <c r="D194">
        <f>0.5*44*20</f>
        <v>440</v>
      </c>
      <c r="E194" t="s">
        <v>40</v>
      </c>
    </row>
    <row r="195" spans="1:5" x14ac:dyDescent="0.25">
      <c r="A195" t="s">
        <v>238</v>
      </c>
      <c r="B195" s="4"/>
      <c r="D195" s="3">
        <v>2</v>
      </c>
      <c r="E195" s="3"/>
    </row>
    <row r="196" spans="1:5" x14ac:dyDescent="0.25">
      <c r="B196" s="4"/>
      <c r="D196">
        <f>D194*D195</f>
        <v>880</v>
      </c>
      <c r="E196" t="s">
        <v>40</v>
      </c>
    </row>
    <row r="197" spans="1:5" x14ac:dyDescent="0.25">
      <c r="B197" s="4"/>
    </row>
    <row r="198" spans="1:5" x14ac:dyDescent="0.25">
      <c r="B198" s="4"/>
    </row>
    <row r="199" spans="1:5" x14ac:dyDescent="0.25">
      <c r="A199" t="s">
        <v>240</v>
      </c>
      <c r="D199">
        <f>0.75+3+1.5+3</f>
        <v>8.25</v>
      </c>
      <c r="E199" t="s">
        <v>2</v>
      </c>
    </row>
    <row r="200" spans="1:5" x14ac:dyDescent="0.25">
      <c r="A200" t="s">
        <v>239</v>
      </c>
      <c r="D200">
        <v>44</v>
      </c>
      <c r="E200" t="s">
        <v>2</v>
      </c>
    </row>
    <row r="201" spans="1:5" x14ac:dyDescent="0.25">
      <c r="A201" t="s">
        <v>238</v>
      </c>
      <c r="B201" s="4"/>
      <c r="D201" s="3">
        <v>2</v>
      </c>
      <c r="E201" s="3"/>
    </row>
    <row r="202" spans="1:5" x14ac:dyDescent="0.25">
      <c r="B202" s="4"/>
      <c r="D202">
        <f>D199*D200*D201</f>
        <v>726</v>
      </c>
      <c r="E202" t="s">
        <v>40</v>
      </c>
    </row>
    <row r="204" spans="1:5" x14ac:dyDescent="0.25">
      <c r="A204" t="s">
        <v>78</v>
      </c>
      <c r="D204">
        <f>D186+D187+D188+D192+D196+D202</f>
        <v>2643.2799999999997</v>
      </c>
      <c r="E204" t="s">
        <v>40</v>
      </c>
    </row>
    <row r="205" spans="1:5" x14ac:dyDescent="0.25">
      <c r="D205">
        <f>D204/9</f>
        <v>293.69777777777773</v>
      </c>
      <c r="E205" t="s">
        <v>24</v>
      </c>
    </row>
    <row r="207" spans="1:5" x14ac:dyDescent="0.25">
      <c r="A207" s="7" t="s">
        <v>90</v>
      </c>
      <c r="B207" s="7"/>
      <c r="C207" s="7"/>
      <c r="D207" s="7">
        <f>D136+D144+D175+D205</f>
        <v>783.64222222222224</v>
      </c>
      <c r="E207" s="7" t="s">
        <v>24</v>
      </c>
    </row>
    <row r="210" spans="1:4" x14ac:dyDescent="0.25">
      <c r="A210" s="2" t="s">
        <v>0</v>
      </c>
    </row>
    <row r="212" spans="1:4" x14ac:dyDescent="0.25">
      <c r="A212" t="s">
        <v>1</v>
      </c>
      <c r="C212">
        <v>1.83</v>
      </c>
      <c r="D212" t="s">
        <v>2</v>
      </c>
    </row>
    <row r="213" spans="1:4" x14ac:dyDescent="0.25">
      <c r="A213" t="s">
        <v>4</v>
      </c>
      <c r="C213">
        <v>25.25</v>
      </c>
      <c r="D213" t="s">
        <v>2</v>
      </c>
    </row>
    <row r="214" spans="1:4" x14ac:dyDescent="0.25">
      <c r="A214" t="s">
        <v>30</v>
      </c>
      <c r="C214">
        <v>5.2</v>
      </c>
      <c r="D214" t="s">
        <v>31</v>
      </c>
    </row>
    <row r="215" spans="1:4" x14ac:dyDescent="0.25">
      <c r="A215" t="s">
        <v>5</v>
      </c>
      <c r="C215" s="1">
        <f>C213/COS(RADIANS(C214))</f>
        <v>25.354348391330529</v>
      </c>
      <c r="D215" t="s">
        <v>2</v>
      </c>
    </row>
    <row r="216" spans="1:4" x14ac:dyDescent="0.25">
      <c r="A216" t="s">
        <v>3</v>
      </c>
      <c r="C216">
        <v>0.20830000000000001</v>
      </c>
      <c r="D216" t="s">
        <v>2</v>
      </c>
    </row>
    <row r="218" spans="1:4" x14ac:dyDescent="0.25">
      <c r="A218" t="s">
        <v>6</v>
      </c>
      <c r="C218">
        <v>1</v>
      </c>
    </row>
    <row r="220" spans="1:4" x14ac:dyDescent="0.25">
      <c r="A220" t="s">
        <v>7</v>
      </c>
      <c r="C220" s="1">
        <f>C212*C215*C216*C218/27</f>
        <v>0.35795550773862572</v>
      </c>
      <c r="D220" t="s">
        <v>8</v>
      </c>
    </row>
    <row r="223" spans="1:4" x14ac:dyDescent="0.25">
      <c r="A223" s="2" t="s">
        <v>252</v>
      </c>
    </row>
    <row r="225" spans="1:7" x14ac:dyDescent="0.25">
      <c r="A225" t="s">
        <v>25</v>
      </c>
      <c r="D225">
        <v>124</v>
      </c>
      <c r="E225" t="s">
        <v>2</v>
      </c>
      <c r="F225" t="s">
        <v>27</v>
      </c>
    </row>
    <row r="226" spans="1:7" x14ac:dyDescent="0.25">
      <c r="A226" t="s">
        <v>26</v>
      </c>
      <c r="D226">
        <v>25.25</v>
      </c>
      <c r="E226" t="s">
        <v>2</v>
      </c>
      <c r="F226" t="s">
        <v>208</v>
      </c>
    </row>
    <row r="227" spans="1:7" x14ac:dyDescent="0.25">
      <c r="A227" t="s">
        <v>213</v>
      </c>
      <c r="D227">
        <f>D225*D226</f>
        <v>3131</v>
      </c>
      <c r="E227" t="s">
        <v>23</v>
      </c>
      <c r="F227">
        <f>D227/9</f>
        <v>347.88888888888891</v>
      </c>
      <c r="G227" t="s">
        <v>24</v>
      </c>
    </row>
    <row r="230" spans="1:7" x14ac:dyDescent="0.25">
      <c r="A230" s="2" t="s">
        <v>253</v>
      </c>
    </row>
    <row r="232" spans="1:7" x14ac:dyDescent="0.25">
      <c r="A232" t="s">
        <v>254</v>
      </c>
    </row>
    <row r="233" spans="1:7" x14ac:dyDescent="0.25">
      <c r="A233" t="s">
        <v>255</v>
      </c>
      <c r="D233">
        <v>11</v>
      </c>
    </row>
    <row r="234" spans="1:7" x14ac:dyDescent="0.25">
      <c r="A234" t="s">
        <v>256</v>
      </c>
      <c r="D234">
        <v>104.5</v>
      </c>
      <c r="E234" t="s">
        <v>2</v>
      </c>
    </row>
    <row r="235" spans="1:7" x14ac:dyDescent="0.25">
      <c r="A235" t="s">
        <v>257</v>
      </c>
      <c r="D235">
        <v>3</v>
      </c>
      <c r="E235" t="s">
        <v>2</v>
      </c>
    </row>
    <row r="237" spans="1:7" x14ac:dyDescent="0.25">
      <c r="A237" t="s">
        <v>258</v>
      </c>
      <c r="D237">
        <f>0.05*(D233*D234*D235)</f>
        <v>172.42500000000001</v>
      </c>
      <c r="E237" t="s">
        <v>40</v>
      </c>
    </row>
    <row r="240" spans="1:7" x14ac:dyDescent="0.25">
      <c r="A240" s="2" t="s">
        <v>259</v>
      </c>
    </row>
    <row r="242" spans="1:5" x14ac:dyDescent="0.25">
      <c r="A242" t="s">
        <v>255</v>
      </c>
      <c r="D242">
        <v>11</v>
      </c>
    </row>
    <row r="243" spans="1:5" x14ac:dyDescent="0.25">
      <c r="A243" t="s">
        <v>256</v>
      </c>
      <c r="D243">
        <v>104.5</v>
      </c>
      <c r="E243" t="s">
        <v>2</v>
      </c>
    </row>
    <row r="245" spans="1:5" x14ac:dyDescent="0.25">
      <c r="A245" t="s">
        <v>260</v>
      </c>
      <c r="D245">
        <f>(D242-1)*D243</f>
        <v>1045</v>
      </c>
      <c r="E245" t="s">
        <v>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6"/>
  <sheetViews>
    <sheetView topLeftCell="A97" workbookViewId="0">
      <selection activeCell="C20" sqref="C20"/>
    </sheetView>
  </sheetViews>
  <sheetFormatPr defaultRowHeight="14.85" x14ac:dyDescent="0.25"/>
  <cols>
    <col min="3" max="3" width="16" customWidth="1"/>
  </cols>
  <sheetData>
    <row r="1" spans="1:7" x14ac:dyDescent="0.25">
      <c r="A1" s="2" t="s">
        <v>206</v>
      </c>
    </row>
    <row r="3" spans="1:7" x14ac:dyDescent="0.25">
      <c r="A3" t="s">
        <v>209</v>
      </c>
      <c r="D3">
        <v>25</v>
      </c>
      <c r="E3" t="s">
        <v>2</v>
      </c>
    </row>
    <row r="4" spans="1:7" x14ac:dyDescent="0.25">
      <c r="A4" t="s">
        <v>210</v>
      </c>
      <c r="D4">
        <v>28.25</v>
      </c>
      <c r="E4" t="s">
        <v>2</v>
      </c>
      <c r="F4" t="s">
        <v>208</v>
      </c>
    </row>
    <row r="5" spans="1:7" x14ac:dyDescent="0.25">
      <c r="A5" t="s">
        <v>211</v>
      </c>
      <c r="D5">
        <v>2</v>
      </c>
      <c r="E5" t="s">
        <v>2</v>
      </c>
    </row>
    <row r="6" spans="1:7" x14ac:dyDescent="0.25">
      <c r="A6" t="s">
        <v>212</v>
      </c>
      <c r="D6">
        <f>D3*D4*D5</f>
        <v>1412.5</v>
      </c>
      <c r="E6" t="s">
        <v>23</v>
      </c>
      <c r="F6">
        <f>D6/9</f>
        <v>156.94444444444446</v>
      </c>
      <c r="G6" t="s">
        <v>24</v>
      </c>
    </row>
    <row r="8" spans="1:7" x14ac:dyDescent="0.25">
      <c r="A8" t="s">
        <v>11</v>
      </c>
      <c r="D8">
        <v>25</v>
      </c>
      <c r="E8" t="s">
        <v>2</v>
      </c>
    </row>
    <row r="9" spans="1:7" x14ac:dyDescent="0.25">
      <c r="A9" t="s">
        <v>10</v>
      </c>
      <c r="D9">
        <v>28.25</v>
      </c>
      <c r="E9" t="s">
        <v>2</v>
      </c>
      <c r="F9" t="s">
        <v>208</v>
      </c>
    </row>
    <row r="10" spans="1:7" x14ac:dyDescent="0.25">
      <c r="A10" t="s">
        <v>12</v>
      </c>
      <c r="D10">
        <v>2</v>
      </c>
      <c r="E10" t="s">
        <v>2</v>
      </c>
    </row>
    <row r="11" spans="1:7" x14ac:dyDescent="0.25">
      <c r="A11" t="s">
        <v>212</v>
      </c>
      <c r="D11">
        <f>D8*D9*D10</f>
        <v>1412.5</v>
      </c>
      <c r="E11" t="s">
        <v>23</v>
      </c>
      <c r="F11">
        <f>D11/9</f>
        <v>156.94444444444446</v>
      </c>
      <c r="G11" t="s">
        <v>24</v>
      </c>
    </row>
    <row r="14" spans="1:7" x14ac:dyDescent="0.25">
      <c r="A14" t="s">
        <v>25</v>
      </c>
      <c r="D14">
        <v>104</v>
      </c>
      <c r="E14" t="s">
        <v>2</v>
      </c>
      <c r="F14" t="s">
        <v>27</v>
      </c>
    </row>
    <row r="15" spans="1:7" x14ac:dyDescent="0.25">
      <c r="A15" t="s">
        <v>26</v>
      </c>
      <c r="D15">
        <v>28.25</v>
      </c>
      <c r="E15" t="s">
        <v>2</v>
      </c>
      <c r="F15" t="s">
        <v>208</v>
      </c>
    </row>
    <row r="16" spans="1:7" x14ac:dyDescent="0.25">
      <c r="A16" t="s">
        <v>213</v>
      </c>
      <c r="D16">
        <f>D14*D15</f>
        <v>2938</v>
      </c>
      <c r="E16" t="s">
        <v>23</v>
      </c>
      <c r="F16">
        <f>D16/9</f>
        <v>326.44444444444446</v>
      </c>
      <c r="G16" t="s">
        <v>24</v>
      </c>
    </row>
    <row r="18" spans="1:5" x14ac:dyDescent="0.25">
      <c r="A18" s="7" t="s">
        <v>28</v>
      </c>
      <c r="B18" s="7">
        <f>ROUNDUP(F6+F11+F16,0)</f>
        <v>641</v>
      </c>
      <c r="C18" s="7" t="s">
        <v>24</v>
      </c>
    </row>
    <row r="21" spans="1:5" x14ac:dyDescent="0.25">
      <c r="A21" s="2" t="s">
        <v>214</v>
      </c>
    </row>
    <row r="23" spans="1:5" x14ac:dyDescent="0.25">
      <c r="A23" t="s">
        <v>207</v>
      </c>
      <c r="C23">
        <f>6+6+5</f>
        <v>17</v>
      </c>
      <c r="D23" t="s">
        <v>2</v>
      </c>
    </row>
    <row r="24" spans="1:5" x14ac:dyDescent="0.25">
      <c r="A24" t="s">
        <v>1</v>
      </c>
      <c r="C24">
        <v>4</v>
      </c>
      <c r="D24" t="s">
        <v>2</v>
      </c>
    </row>
    <row r="25" spans="1:5" x14ac:dyDescent="0.25">
      <c r="A25" t="s">
        <v>217</v>
      </c>
      <c r="C25">
        <f>C23*C24</f>
        <v>68</v>
      </c>
      <c r="D25" t="s">
        <v>40</v>
      </c>
    </row>
    <row r="28" spans="1:5" x14ac:dyDescent="0.25">
      <c r="A28" s="2" t="s">
        <v>215</v>
      </c>
      <c r="D28">
        <f>6+6+5</f>
        <v>17</v>
      </c>
      <c r="E28" t="s">
        <v>2</v>
      </c>
    </row>
    <row r="30" spans="1:5" x14ac:dyDescent="0.25">
      <c r="A30" s="2" t="s">
        <v>216</v>
      </c>
    </row>
    <row r="32" spans="1:5" x14ac:dyDescent="0.25">
      <c r="A32" t="s">
        <v>207</v>
      </c>
      <c r="C32">
        <f>6+6+5</f>
        <v>17</v>
      </c>
      <c r="D32" t="s">
        <v>2</v>
      </c>
    </row>
    <row r="33" spans="1:7" x14ac:dyDescent="0.25">
      <c r="A33" t="s">
        <v>1</v>
      </c>
      <c r="C33">
        <v>4</v>
      </c>
      <c r="D33" t="s">
        <v>2</v>
      </c>
    </row>
    <row r="34" spans="1:7" x14ac:dyDescent="0.25">
      <c r="A34" t="s">
        <v>217</v>
      </c>
      <c r="C34">
        <f>C32*C33</f>
        <v>68</v>
      </c>
      <c r="D34" t="s">
        <v>40</v>
      </c>
    </row>
    <row r="36" spans="1:7" x14ac:dyDescent="0.25">
      <c r="A36" s="2" t="s">
        <v>218</v>
      </c>
      <c r="D36">
        <f>6+6+5</f>
        <v>17</v>
      </c>
      <c r="E36" t="s">
        <v>2</v>
      </c>
    </row>
    <row r="39" spans="1:7" x14ac:dyDescent="0.25">
      <c r="A39" s="2" t="s">
        <v>219</v>
      </c>
    </row>
    <row r="41" spans="1:7" x14ac:dyDescent="0.25">
      <c r="A41" t="s">
        <v>209</v>
      </c>
      <c r="D41">
        <v>25</v>
      </c>
      <c r="E41" t="s">
        <v>2</v>
      </c>
    </row>
    <row r="42" spans="1:7" x14ac:dyDescent="0.25">
      <c r="A42" t="s">
        <v>210</v>
      </c>
      <c r="D42">
        <v>28.25</v>
      </c>
      <c r="E42" t="s">
        <v>2</v>
      </c>
      <c r="F42" t="s">
        <v>208</v>
      </c>
    </row>
    <row r="43" spans="1:7" x14ac:dyDescent="0.25">
      <c r="A43" t="s">
        <v>220</v>
      </c>
      <c r="D43">
        <f>1.25/12</f>
        <v>0.10416666666666667</v>
      </c>
      <c r="E43" t="s">
        <v>2</v>
      </c>
    </row>
    <row r="44" spans="1:7" x14ac:dyDescent="0.25">
      <c r="A44" t="s">
        <v>211</v>
      </c>
      <c r="D44">
        <v>2</v>
      </c>
      <c r="E44" t="s">
        <v>2</v>
      </c>
    </row>
    <row r="45" spans="1:7" x14ac:dyDescent="0.25">
      <c r="A45" t="s">
        <v>212</v>
      </c>
      <c r="D45">
        <f>D41*D42*D43*D44</f>
        <v>147.13541666666669</v>
      </c>
      <c r="E45" t="s">
        <v>221</v>
      </c>
      <c r="F45">
        <f>D45/27</f>
        <v>5.4494598765432105</v>
      </c>
      <c r="G45" t="s">
        <v>8</v>
      </c>
    </row>
    <row r="47" spans="1:7" x14ac:dyDescent="0.25">
      <c r="A47" t="s">
        <v>11</v>
      </c>
      <c r="D47">
        <v>25</v>
      </c>
      <c r="E47" t="s">
        <v>2</v>
      </c>
    </row>
    <row r="48" spans="1:7" x14ac:dyDescent="0.25">
      <c r="A48" t="s">
        <v>10</v>
      </c>
      <c r="D48">
        <v>28.25</v>
      </c>
      <c r="E48" t="s">
        <v>2</v>
      </c>
      <c r="F48" t="s">
        <v>208</v>
      </c>
    </row>
    <row r="49" spans="1:7" x14ac:dyDescent="0.25">
      <c r="A49" t="s">
        <v>220</v>
      </c>
      <c r="D49">
        <f>1.25/12</f>
        <v>0.10416666666666667</v>
      </c>
      <c r="E49" t="s">
        <v>2</v>
      </c>
    </row>
    <row r="50" spans="1:7" x14ac:dyDescent="0.25">
      <c r="A50" t="s">
        <v>12</v>
      </c>
      <c r="D50">
        <v>2</v>
      </c>
      <c r="E50" t="s">
        <v>2</v>
      </c>
    </row>
    <row r="51" spans="1:7" x14ac:dyDescent="0.25">
      <c r="A51" t="s">
        <v>212</v>
      </c>
      <c r="D51">
        <f>D47*D48*D49*D50</f>
        <v>147.13541666666669</v>
      </c>
      <c r="E51" t="s">
        <v>221</v>
      </c>
      <c r="F51">
        <f>D51/27</f>
        <v>5.4494598765432105</v>
      </c>
      <c r="G51" t="s">
        <v>8</v>
      </c>
    </row>
    <row r="54" spans="1:7" x14ac:dyDescent="0.25">
      <c r="A54" t="s">
        <v>25</v>
      </c>
      <c r="D54">
        <v>104</v>
      </c>
      <c r="E54" t="s">
        <v>2</v>
      </c>
      <c r="F54" t="s">
        <v>27</v>
      </c>
    </row>
    <row r="55" spans="1:7" x14ac:dyDescent="0.25">
      <c r="A55" t="s">
        <v>26</v>
      </c>
      <c r="D55">
        <v>28.25</v>
      </c>
      <c r="E55" t="s">
        <v>2</v>
      </c>
      <c r="F55" t="s">
        <v>208</v>
      </c>
    </row>
    <row r="56" spans="1:7" x14ac:dyDescent="0.25">
      <c r="A56" t="s">
        <v>220</v>
      </c>
      <c r="D56">
        <f>5/12</f>
        <v>0.41666666666666669</v>
      </c>
      <c r="E56" t="s">
        <v>2</v>
      </c>
    </row>
    <row r="57" spans="1:7" x14ac:dyDescent="0.25">
      <c r="A57" t="s">
        <v>213</v>
      </c>
      <c r="D57">
        <f>D54*D55*D56</f>
        <v>1224.1666666666667</v>
      </c>
      <c r="E57" t="s">
        <v>221</v>
      </c>
      <c r="F57">
        <f>D57/27</f>
        <v>45.339506172839506</v>
      </c>
      <c r="G57" t="s">
        <v>8</v>
      </c>
    </row>
    <row r="59" spans="1:7" x14ac:dyDescent="0.25">
      <c r="A59" s="7" t="s">
        <v>28</v>
      </c>
      <c r="B59" s="7">
        <f>ROUNDUP(F45+F51+F57,0)</f>
        <v>57</v>
      </c>
      <c r="C59" s="7" t="s">
        <v>24</v>
      </c>
    </row>
    <row r="62" spans="1:7" x14ac:dyDescent="0.25">
      <c r="A62" s="2" t="s">
        <v>265</v>
      </c>
    </row>
    <row r="64" spans="1:7" x14ac:dyDescent="0.25">
      <c r="A64" t="s">
        <v>209</v>
      </c>
      <c r="D64">
        <v>25</v>
      </c>
      <c r="E64" t="s">
        <v>2</v>
      </c>
    </row>
    <row r="65" spans="1:7" x14ac:dyDescent="0.25">
      <c r="A65" t="s">
        <v>210</v>
      </c>
      <c r="D65">
        <v>28.25</v>
      </c>
      <c r="E65" t="s">
        <v>2</v>
      </c>
      <c r="F65" t="s">
        <v>208</v>
      </c>
    </row>
    <row r="66" spans="1:7" x14ac:dyDescent="0.25">
      <c r="A66" t="s">
        <v>211</v>
      </c>
      <c r="D66">
        <v>2</v>
      </c>
      <c r="E66" t="s">
        <v>2</v>
      </c>
    </row>
    <row r="67" spans="1:7" x14ac:dyDescent="0.25">
      <c r="A67" t="s">
        <v>212</v>
      </c>
      <c r="D67">
        <f>D64*D65*D66</f>
        <v>1412.5</v>
      </c>
      <c r="E67" t="s">
        <v>23</v>
      </c>
      <c r="F67">
        <f>D67/9</f>
        <v>156.94444444444446</v>
      </c>
      <c r="G67" t="s">
        <v>24</v>
      </c>
    </row>
    <row r="69" spans="1:7" x14ac:dyDescent="0.25">
      <c r="A69" t="s">
        <v>11</v>
      </c>
      <c r="D69">
        <v>25</v>
      </c>
      <c r="E69" t="s">
        <v>2</v>
      </c>
    </row>
    <row r="70" spans="1:7" x14ac:dyDescent="0.25">
      <c r="A70" t="s">
        <v>10</v>
      </c>
      <c r="D70">
        <v>28.25</v>
      </c>
      <c r="E70" t="s">
        <v>2</v>
      </c>
      <c r="F70" t="s">
        <v>208</v>
      </c>
    </row>
    <row r="71" spans="1:7" x14ac:dyDescent="0.25">
      <c r="A71" t="s">
        <v>12</v>
      </c>
      <c r="D71">
        <v>2</v>
      </c>
      <c r="E71" t="s">
        <v>2</v>
      </c>
    </row>
    <row r="72" spans="1:7" x14ac:dyDescent="0.25">
      <c r="A72" t="s">
        <v>212</v>
      </c>
      <c r="D72">
        <f>D69*D70*D71</f>
        <v>1412.5</v>
      </c>
      <c r="E72" t="s">
        <v>23</v>
      </c>
      <c r="F72">
        <f>D72/9</f>
        <v>156.94444444444446</v>
      </c>
      <c r="G72" t="s">
        <v>24</v>
      </c>
    </row>
    <row r="75" spans="1:7" x14ac:dyDescent="0.25">
      <c r="A75" t="s">
        <v>25</v>
      </c>
      <c r="D75">
        <v>104</v>
      </c>
      <c r="E75" t="s">
        <v>2</v>
      </c>
      <c r="F75" t="s">
        <v>27</v>
      </c>
    </row>
    <row r="76" spans="1:7" x14ac:dyDescent="0.25">
      <c r="A76" t="s">
        <v>26</v>
      </c>
      <c r="D76">
        <v>28.25</v>
      </c>
      <c r="E76" t="s">
        <v>2</v>
      </c>
      <c r="F76" t="s">
        <v>208</v>
      </c>
    </row>
    <row r="77" spans="1:7" x14ac:dyDescent="0.25">
      <c r="A77" t="s">
        <v>213</v>
      </c>
      <c r="D77">
        <f>D75*D76</f>
        <v>2938</v>
      </c>
      <c r="E77" t="s">
        <v>23</v>
      </c>
      <c r="F77">
        <f>D77/9</f>
        <v>326.44444444444446</v>
      </c>
      <c r="G77" t="s">
        <v>24</v>
      </c>
    </row>
    <row r="79" spans="1:7" x14ac:dyDescent="0.25">
      <c r="A79" s="7" t="s">
        <v>28</v>
      </c>
      <c r="B79" s="7">
        <f>ROUNDUP(F67+F72+F77,0)</f>
        <v>641</v>
      </c>
      <c r="C79" s="7" t="s">
        <v>24</v>
      </c>
    </row>
    <row r="81" spans="1:7" x14ac:dyDescent="0.25">
      <c r="A81" t="s">
        <v>268</v>
      </c>
      <c r="D81">
        <v>0.05</v>
      </c>
      <c r="E81" t="s">
        <v>267</v>
      </c>
    </row>
    <row r="83" spans="1:7" x14ac:dyDescent="0.25">
      <c r="A83" t="s">
        <v>266</v>
      </c>
      <c r="D83">
        <f>B79*D81</f>
        <v>32.050000000000004</v>
      </c>
      <c r="E83" t="s">
        <v>269</v>
      </c>
    </row>
    <row r="86" spans="1:7" x14ac:dyDescent="0.25">
      <c r="A86" s="2" t="s">
        <v>261</v>
      </c>
    </row>
    <row r="88" spans="1:7" x14ac:dyDescent="0.25">
      <c r="A88" t="s">
        <v>223</v>
      </c>
      <c r="E88">
        <v>28.25</v>
      </c>
      <c r="F88" t="s">
        <v>2</v>
      </c>
      <c r="G88" t="s">
        <v>227</v>
      </c>
    </row>
    <row r="89" spans="1:7" x14ac:dyDescent="0.25">
      <c r="A89" t="s">
        <v>61</v>
      </c>
      <c r="E89" s="3">
        <v>1</v>
      </c>
      <c r="F89" s="3" t="s">
        <v>116</v>
      </c>
    </row>
    <row r="90" spans="1:7" x14ac:dyDescent="0.25">
      <c r="E90">
        <f>E88*E89</f>
        <v>28.25</v>
      </c>
      <c r="F90" t="s">
        <v>2</v>
      </c>
    </row>
    <row r="92" spans="1:7" x14ac:dyDescent="0.25">
      <c r="A92" t="s">
        <v>224</v>
      </c>
      <c r="E92">
        <v>28.25</v>
      </c>
      <c r="F92" t="s">
        <v>2</v>
      </c>
      <c r="G92" t="s">
        <v>227</v>
      </c>
    </row>
    <row r="93" spans="1:7" x14ac:dyDescent="0.25">
      <c r="A93" t="s">
        <v>61</v>
      </c>
      <c r="E93" s="3">
        <v>2</v>
      </c>
      <c r="F93" s="3" t="s">
        <v>116</v>
      </c>
    </row>
    <row r="94" spans="1:7" x14ac:dyDescent="0.25">
      <c r="E94">
        <f>E92*E93</f>
        <v>56.5</v>
      </c>
      <c r="F94" t="s">
        <v>2</v>
      </c>
    </row>
    <row r="96" spans="1:7" x14ac:dyDescent="0.25">
      <c r="A96" t="s">
        <v>225</v>
      </c>
      <c r="E96">
        <v>25</v>
      </c>
      <c r="F96" t="s">
        <v>2</v>
      </c>
      <c r="G96" t="s">
        <v>226</v>
      </c>
    </row>
    <row r="97" spans="1:11" x14ac:dyDescent="0.25">
      <c r="A97" t="s">
        <v>61</v>
      </c>
      <c r="E97" s="3">
        <v>2</v>
      </c>
      <c r="F97" s="3" t="s">
        <v>116</v>
      </c>
    </row>
    <row r="98" spans="1:11" x14ac:dyDescent="0.25">
      <c r="E98">
        <f>E96*E97</f>
        <v>50</v>
      </c>
      <c r="F98" t="s">
        <v>2</v>
      </c>
    </row>
    <row r="100" spans="1:11" x14ac:dyDescent="0.25">
      <c r="A100" t="s">
        <v>229</v>
      </c>
      <c r="E100">
        <v>104</v>
      </c>
      <c r="F100" t="s">
        <v>2</v>
      </c>
      <c r="G100" t="s">
        <v>226</v>
      </c>
    </row>
    <row r="101" spans="1:11" x14ac:dyDescent="0.25">
      <c r="A101" t="s">
        <v>61</v>
      </c>
      <c r="E101" s="3">
        <v>2</v>
      </c>
      <c r="F101" s="3" t="s">
        <v>116</v>
      </c>
    </row>
    <row r="102" spans="1:11" x14ac:dyDescent="0.25">
      <c r="E102">
        <f>E100*E101</f>
        <v>208</v>
      </c>
      <c r="F102" t="s">
        <v>2</v>
      </c>
    </row>
    <row r="104" spans="1:11" x14ac:dyDescent="0.25">
      <c r="A104" t="s">
        <v>228</v>
      </c>
      <c r="E104">
        <v>25</v>
      </c>
      <c r="F104" t="s">
        <v>2</v>
      </c>
      <c r="G104" t="s">
        <v>226</v>
      </c>
    </row>
    <row r="105" spans="1:11" x14ac:dyDescent="0.25">
      <c r="A105" t="s">
        <v>61</v>
      </c>
      <c r="E105" s="3">
        <v>2</v>
      </c>
      <c r="F105" s="3" t="s">
        <v>116</v>
      </c>
    </row>
    <row r="106" spans="1:11" x14ac:dyDescent="0.25">
      <c r="E106">
        <f>E104*E105</f>
        <v>50</v>
      </c>
      <c r="F106" t="s">
        <v>2</v>
      </c>
    </row>
    <row r="108" spans="1:11" x14ac:dyDescent="0.25">
      <c r="D108" t="s">
        <v>28</v>
      </c>
      <c r="E108">
        <f>E90+E94+E98+E102+E106</f>
        <v>392.75</v>
      </c>
      <c r="F108" t="s">
        <v>2</v>
      </c>
    </row>
    <row r="112" spans="1:11" x14ac:dyDescent="0.25">
      <c r="A112" s="2" t="s">
        <v>32</v>
      </c>
      <c r="J112">
        <v>0</v>
      </c>
      <c r="K112" t="s">
        <v>2</v>
      </c>
    </row>
    <row r="119" spans="1:11" x14ac:dyDescent="0.25">
      <c r="A119" s="2" t="s">
        <v>230</v>
      </c>
      <c r="J119">
        <v>0</v>
      </c>
      <c r="K119" t="s">
        <v>2</v>
      </c>
    </row>
    <row r="128" spans="1:11" x14ac:dyDescent="0.25">
      <c r="A128" s="2"/>
    </row>
    <row r="129" spans="1:5" x14ac:dyDescent="0.25">
      <c r="A129" s="2" t="s">
        <v>58</v>
      </c>
    </row>
    <row r="130" spans="1:5" x14ac:dyDescent="0.25">
      <c r="A130" s="2"/>
    </row>
    <row r="131" spans="1:5" x14ac:dyDescent="0.25">
      <c r="A131" s="3" t="s">
        <v>241</v>
      </c>
      <c r="B131" s="3"/>
    </row>
    <row r="132" spans="1:5" x14ac:dyDescent="0.25">
      <c r="A132" t="s">
        <v>60</v>
      </c>
      <c r="D132">
        <v>106</v>
      </c>
      <c r="E132" t="s">
        <v>2</v>
      </c>
    </row>
    <row r="133" spans="1:5" x14ac:dyDescent="0.25">
      <c r="A133" t="s">
        <v>248</v>
      </c>
      <c r="D133">
        <f>0.75+3+1.5+3+2.25+0.5</f>
        <v>11</v>
      </c>
      <c r="E133" t="s">
        <v>2</v>
      </c>
    </row>
    <row r="134" spans="1:5" x14ac:dyDescent="0.25">
      <c r="A134" t="s">
        <v>61</v>
      </c>
      <c r="D134">
        <v>1</v>
      </c>
    </row>
    <row r="135" spans="1:5" x14ac:dyDescent="0.25">
      <c r="A135" t="s">
        <v>62</v>
      </c>
      <c r="D135">
        <f>D132*D133*D134</f>
        <v>1166</v>
      </c>
      <c r="E135" t="s">
        <v>40</v>
      </c>
    </row>
    <row r="136" spans="1:5" x14ac:dyDescent="0.25">
      <c r="D136">
        <f>D135/9</f>
        <v>129.55555555555554</v>
      </c>
      <c r="E136" t="s">
        <v>24</v>
      </c>
    </row>
    <row r="138" spans="1:5" x14ac:dyDescent="0.25">
      <c r="A138" s="3" t="s">
        <v>246</v>
      </c>
      <c r="B138" s="3"/>
    </row>
    <row r="139" spans="1:5" x14ac:dyDescent="0.25">
      <c r="A139" t="s">
        <v>60</v>
      </c>
      <c r="D139">
        <v>106</v>
      </c>
      <c r="E139" t="s">
        <v>2</v>
      </c>
    </row>
    <row r="140" spans="1:5" x14ac:dyDescent="0.25">
      <c r="A140" t="s">
        <v>247</v>
      </c>
      <c r="D140">
        <f>0.75+0.8333+5.25+3+1+3+2.25+0.5</f>
        <v>16.583300000000001</v>
      </c>
      <c r="E140" t="s">
        <v>2</v>
      </c>
    </row>
    <row r="141" spans="1:5" x14ac:dyDescent="0.25">
      <c r="A141" t="s">
        <v>61</v>
      </c>
      <c r="D141">
        <v>1</v>
      </c>
    </row>
    <row r="142" spans="1:5" x14ac:dyDescent="0.25">
      <c r="A142" t="s">
        <v>62</v>
      </c>
      <c r="D142">
        <f>D139*D140*D141</f>
        <v>1757.8298000000002</v>
      </c>
      <c r="E142" t="s">
        <v>40</v>
      </c>
    </row>
    <row r="143" spans="1:5" x14ac:dyDescent="0.25">
      <c r="D143">
        <f>D142/9</f>
        <v>195.31442222222225</v>
      </c>
      <c r="E143" t="s">
        <v>24</v>
      </c>
    </row>
    <row r="144" spans="1:5" x14ac:dyDescent="0.25">
      <c r="A144" s="2"/>
    </row>
    <row r="147" spans="1:8" x14ac:dyDescent="0.25">
      <c r="A147" s="3" t="s">
        <v>243</v>
      </c>
      <c r="B147" s="3"/>
      <c r="C147" s="3"/>
      <c r="D147" s="3"/>
      <c r="E147" s="3"/>
      <c r="F147" s="3"/>
      <c r="G147" s="3"/>
      <c r="H147" s="3"/>
    </row>
    <row r="149" spans="1:8" x14ac:dyDescent="0.25">
      <c r="A149" t="s">
        <v>81</v>
      </c>
      <c r="D149">
        <v>1.833</v>
      </c>
      <c r="E149" t="s">
        <v>2</v>
      </c>
    </row>
    <row r="150" spans="1:8" x14ac:dyDescent="0.25">
      <c r="A150" t="s">
        <v>82</v>
      </c>
      <c r="D150">
        <v>40</v>
      </c>
      <c r="E150" t="s">
        <v>2</v>
      </c>
    </row>
    <row r="151" spans="1:8" x14ac:dyDescent="0.25">
      <c r="A151" t="s">
        <v>83</v>
      </c>
      <c r="D151">
        <v>3.5</v>
      </c>
      <c r="E151" t="s">
        <v>2</v>
      </c>
    </row>
    <row r="152" spans="1:8" x14ac:dyDescent="0.25">
      <c r="A152" t="s">
        <v>236</v>
      </c>
      <c r="D152">
        <v>16</v>
      </c>
      <c r="E152" t="s">
        <v>2</v>
      </c>
    </row>
    <row r="153" spans="1:8" x14ac:dyDescent="0.25">
      <c r="A153" t="s">
        <v>88</v>
      </c>
      <c r="D153">
        <v>1.75</v>
      </c>
      <c r="E153" t="s">
        <v>2</v>
      </c>
    </row>
    <row r="155" spans="1:8" x14ac:dyDescent="0.25">
      <c r="A155" t="s">
        <v>84</v>
      </c>
      <c r="D155">
        <f>D150*D152</f>
        <v>640</v>
      </c>
      <c r="E155" t="s">
        <v>40</v>
      </c>
    </row>
    <row r="156" spans="1:8" x14ac:dyDescent="0.25">
      <c r="A156" t="s">
        <v>85</v>
      </c>
      <c r="D156">
        <f>0</f>
        <v>0</v>
      </c>
      <c r="E156" t="s">
        <v>40</v>
      </c>
    </row>
    <row r="157" spans="1:8" x14ac:dyDescent="0.25">
      <c r="A157" t="s">
        <v>86</v>
      </c>
      <c r="D157">
        <f>0</f>
        <v>0</v>
      </c>
      <c r="E157" t="s">
        <v>40</v>
      </c>
    </row>
    <row r="159" spans="1:8" x14ac:dyDescent="0.25">
      <c r="A159" t="s">
        <v>249</v>
      </c>
      <c r="D159">
        <f>34*D152</f>
        <v>544</v>
      </c>
      <c r="E159" t="s">
        <v>40</v>
      </c>
    </row>
    <row r="160" spans="1:8" x14ac:dyDescent="0.25">
      <c r="A160" t="s">
        <v>238</v>
      </c>
      <c r="B160" s="4"/>
      <c r="D160" s="3">
        <v>2</v>
      </c>
      <c r="E160" s="3"/>
    </row>
    <row r="161" spans="1:5" x14ac:dyDescent="0.25">
      <c r="B161" s="4"/>
      <c r="D161">
        <f>D159*D160</f>
        <v>1088</v>
      </c>
      <c r="E161" t="s">
        <v>40</v>
      </c>
    </row>
    <row r="162" spans="1:5" x14ac:dyDescent="0.25">
      <c r="B162" s="4"/>
    </row>
    <row r="163" spans="1:5" x14ac:dyDescent="0.25">
      <c r="A163" t="s">
        <v>250</v>
      </c>
      <c r="D163">
        <f>0.5*17.5*7</f>
        <v>61.25</v>
      </c>
      <c r="E163" t="s">
        <v>40</v>
      </c>
    </row>
    <row r="164" spans="1:5" x14ac:dyDescent="0.25">
      <c r="A164" t="s">
        <v>238</v>
      </c>
      <c r="B164" s="4"/>
      <c r="D164" s="3">
        <v>2</v>
      </c>
      <c r="E164" s="3"/>
    </row>
    <row r="165" spans="1:5" x14ac:dyDescent="0.25">
      <c r="B165" s="4"/>
      <c r="D165">
        <f>D163*D164</f>
        <v>122.5</v>
      </c>
      <c r="E165" t="s">
        <v>40</v>
      </c>
    </row>
    <row r="166" spans="1:5" x14ac:dyDescent="0.25">
      <c r="B166" s="4"/>
    </row>
    <row r="167" spans="1:5" x14ac:dyDescent="0.25">
      <c r="B167" s="4"/>
    </row>
    <row r="168" spans="1:5" x14ac:dyDescent="0.25">
      <c r="A168" t="s">
        <v>240</v>
      </c>
      <c r="D168">
        <f>0.75+3+1.5+3</f>
        <v>8.25</v>
      </c>
      <c r="E168" t="s">
        <v>2</v>
      </c>
    </row>
    <row r="169" spans="1:5" x14ac:dyDescent="0.25">
      <c r="A169" t="s">
        <v>239</v>
      </c>
      <c r="D169">
        <v>17.5</v>
      </c>
      <c r="E169" t="s">
        <v>2</v>
      </c>
    </row>
    <row r="170" spans="1:5" x14ac:dyDescent="0.25">
      <c r="A170" t="s">
        <v>238</v>
      </c>
      <c r="B170" s="4"/>
      <c r="D170" s="3">
        <v>2</v>
      </c>
      <c r="E170" s="3"/>
    </row>
    <row r="171" spans="1:5" x14ac:dyDescent="0.25">
      <c r="B171" s="4"/>
      <c r="D171">
        <f>D168*D169*D170</f>
        <v>288.75</v>
      </c>
      <c r="E171" t="s">
        <v>40</v>
      </c>
    </row>
    <row r="173" spans="1:5" x14ac:dyDescent="0.25">
      <c r="A173" t="s">
        <v>78</v>
      </c>
      <c r="D173">
        <f>D155+D156+D157+D161+D165+D171</f>
        <v>2139.25</v>
      </c>
      <c r="E173" t="s">
        <v>40</v>
      </c>
    </row>
    <row r="174" spans="1:5" x14ac:dyDescent="0.25">
      <c r="D174">
        <f>D173/9</f>
        <v>237.69444444444446</v>
      </c>
      <c r="E174" t="s">
        <v>24</v>
      </c>
    </row>
    <row r="177" spans="1:8" x14ac:dyDescent="0.25">
      <c r="A177" s="3" t="s">
        <v>242</v>
      </c>
      <c r="B177" s="3"/>
      <c r="C177" s="3"/>
      <c r="D177" s="3"/>
      <c r="E177" s="3"/>
      <c r="F177" s="3"/>
      <c r="G177" s="3"/>
      <c r="H177" s="3"/>
    </row>
    <row r="179" spans="1:8" x14ac:dyDescent="0.25">
      <c r="A179" t="s">
        <v>81</v>
      </c>
      <c r="D179">
        <v>1.833</v>
      </c>
      <c r="E179" t="s">
        <v>2</v>
      </c>
    </row>
    <row r="180" spans="1:8" x14ac:dyDescent="0.25">
      <c r="A180" t="s">
        <v>82</v>
      </c>
      <c r="D180">
        <v>40</v>
      </c>
      <c r="E180" t="s">
        <v>2</v>
      </c>
    </row>
    <row r="181" spans="1:8" x14ac:dyDescent="0.25">
      <c r="A181" t="s">
        <v>83</v>
      </c>
      <c r="D181">
        <v>3.5</v>
      </c>
      <c r="E181" t="s">
        <v>2</v>
      </c>
    </row>
    <row r="182" spans="1:8" x14ac:dyDescent="0.25">
      <c r="A182" t="s">
        <v>236</v>
      </c>
      <c r="D182">
        <v>16</v>
      </c>
      <c r="E182" t="s">
        <v>2</v>
      </c>
    </row>
    <row r="183" spans="1:8" x14ac:dyDescent="0.25">
      <c r="A183" t="s">
        <v>88</v>
      </c>
      <c r="D183">
        <v>1.75</v>
      </c>
      <c r="E183" t="s">
        <v>2</v>
      </c>
    </row>
    <row r="185" spans="1:8" x14ac:dyDescent="0.25">
      <c r="A185" t="s">
        <v>84</v>
      </c>
      <c r="D185">
        <f>D180*D182</f>
        <v>640</v>
      </c>
      <c r="E185" t="s">
        <v>40</v>
      </c>
    </row>
    <row r="186" spans="1:8" x14ac:dyDescent="0.25">
      <c r="A186" t="s">
        <v>85</v>
      </c>
      <c r="D186">
        <f>0</f>
        <v>0</v>
      </c>
      <c r="E186" t="s">
        <v>40</v>
      </c>
    </row>
    <row r="187" spans="1:8" x14ac:dyDescent="0.25">
      <c r="A187" t="s">
        <v>86</v>
      </c>
      <c r="D187">
        <f>0</f>
        <v>0</v>
      </c>
      <c r="E187" t="s">
        <v>40</v>
      </c>
    </row>
    <row r="189" spans="1:8" x14ac:dyDescent="0.25">
      <c r="A189" t="s">
        <v>249</v>
      </c>
      <c r="D189">
        <f>34*D182</f>
        <v>544</v>
      </c>
      <c r="E189" t="s">
        <v>40</v>
      </c>
    </row>
    <row r="190" spans="1:8" x14ac:dyDescent="0.25">
      <c r="A190" t="s">
        <v>238</v>
      </c>
      <c r="B190" s="4"/>
      <c r="D190" s="3">
        <v>2</v>
      </c>
      <c r="E190" s="3"/>
    </row>
    <row r="191" spans="1:8" x14ac:dyDescent="0.25">
      <c r="B191" s="4"/>
      <c r="D191">
        <f>D189*D190</f>
        <v>1088</v>
      </c>
      <c r="E191" t="s">
        <v>40</v>
      </c>
    </row>
    <row r="192" spans="1:8" x14ac:dyDescent="0.25">
      <c r="B192" s="4"/>
    </row>
    <row r="193" spans="1:5" x14ac:dyDescent="0.25">
      <c r="A193" t="s">
        <v>250</v>
      </c>
      <c r="D193">
        <f>0.5*17.5*7</f>
        <v>61.25</v>
      </c>
      <c r="E193" t="s">
        <v>40</v>
      </c>
    </row>
    <row r="194" spans="1:5" x14ac:dyDescent="0.25">
      <c r="A194" t="s">
        <v>238</v>
      </c>
      <c r="B194" s="4"/>
      <c r="D194" s="3">
        <v>2</v>
      </c>
      <c r="E194" s="3"/>
    </row>
    <row r="195" spans="1:5" x14ac:dyDescent="0.25">
      <c r="B195" s="4"/>
      <c r="D195">
        <f>D193*D194</f>
        <v>122.5</v>
      </c>
      <c r="E195" t="s">
        <v>40</v>
      </c>
    </row>
    <row r="196" spans="1:5" x14ac:dyDescent="0.25">
      <c r="B196" s="4"/>
    </row>
    <row r="197" spans="1:5" x14ac:dyDescent="0.25">
      <c r="B197" s="4"/>
    </row>
    <row r="198" spans="1:5" x14ac:dyDescent="0.25">
      <c r="A198" t="s">
        <v>240</v>
      </c>
      <c r="D198">
        <f>0.75+3+1.5+3</f>
        <v>8.25</v>
      </c>
      <c r="E198" t="s">
        <v>2</v>
      </c>
    </row>
    <row r="199" spans="1:5" x14ac:dyDescent="0.25">
      <c r="A199" t="s">
        <v>239</v>
      </c>
      <c r="D199">
        <v>17.5</v>
      </c>
      <c r="E199" t="s">
        <v>2</v>
      </c>
    </row>
    <row r="200" spans="1:5" x14ac:dyDescent="0.25">
      <c r="A200" t="s">
        <v>238</v>
      </c>
      <c r="B200" s="4"/>
      <c r="D200" s="3">
        <v>2</v>
      </c>
      <c r="E200" s="3"/>
    </row>
    <row r="201" spans="1:5" x14ac:dyDescent="0.25">
      <c r="B201" s="4"/>
      <c r="D201">
        <f>D198*D199*D200</f>
        <v>288.75</v>
      </c>
      <c r="E201" t="s">
        <v>40</v>
      </c>
    </row>
    <row r="203" spans="1:5" x14ac:dyDescent="0.25">
      <c r="A203" t="s">
        <v>78</v>
      </c>
      <c r="D203">
        <f>D185+D186+D187+D191+D195+D201</f>
        <v>2139.25</v>
      </c>
      <c r="E203" t="s">
        <v>40</v>
      </c>
    </row>
    <row r="204" spans="1:5" x14ac:dyDescent="0.25">
      <c r="D204">
        <f>D203/9</f>
        <v>237.69444444444446</v>
      </c>
      <c r="E204" t="s">
        <v>24</v>
      </c>
    </row>
    <row r="206" spans="1:5" x14ac:dyDescent="0.25">
      <c r="A206" s="7" t="s">
        <v>90</v>
      </c>
      <c r="B206" s="7"/>
      <c r="C206" s="7"/>
      <c r="D206" s="7">
        <f>D136+D143+D174+D204</f>
        <v>800.25886666666668</v>
      </c>
      <c r="E206" s="7" t="s">
        <v>24</v>
      </c>
    </row>
    <row r="211" spans="1:5" x14ac:dyDescent="0.25">
      <c r="A211" s="2" t="s">
        <v>0</v>
      </c>
    </row>
    <row r="213" spans="1:5" x14ac:dyDescent="0.25">
      <c r="A213" t="s">
        <v>1</v>
      </c>
      <c r="C213">
        <v>1.83</v>
      </c>
      <c r="D213" t="s">
        <v>2</v>
      </c>
    </row>
    <row r="214" spans="1:5" x14ac:dyDescent="0.25">
      <c r="A214" t="s">
        <v>4</v>
      </c>
      <c r="C214">
        <v>28.25</v>
      </c>
      <c r="D214" t="s">
        <v>2</v>
      </c>
    </row>
    <row r="215" spans="1:5" x14ac:dyDescent="0.25">
      <c r="A215" t="s">
        <v>30</v>
      </c>
      <c r="C215">
        <v>5.2</v>
      </c>
      <c r="D215" t="s">
        <v>31</v>
      </c>
    </row>
    <row r="216" spans="1:5" x14ac:dyDescent="0.25">
      <c r="A216" t="s">
        <v>5</v>
      </c>
      <c r="C216" s="1">
        <f>C214/COS(RADIANS(C215))</f>
        <v>28.366746220003463</v>
      </c>
      <c r="D216" t="s">
        <v>2</v>
      </c>
    </row>
    <row r="217" spans="1:5" x14ac:dyDescent="0.25">
      <c r="A217" t="s">
        <v>3</v>
      </c>
      <c r="C217">
        <v>0.20830000000000001</v>
      </c>
      <c r="D217" t="s">
        <v>2</v>
      </c>
    </row>
    <row r="219" spans="1:5" x14ac:dyDescent="0.25">
      <c r="A219" t="s">
        <v>6</v>
      </c>
      <c r="C219">
        <v>1</v>
      </c>
      <c r="E219" t="s">
        <v>251</v>
      </c>
    </row>
    <row r="221" spans="1:5" x14ac:dyDescent="0.25">
      <c r="A221" t="s">
        <v>7</v>
      </c>
      <c r="C221" s="1">
        <f>C213*C216*C217*C219/27</f>
        <v>0.40048487499470004</v>
      </c>
      <c r="D221" t="s">
        <v>8</v>
      </c>
    </row>
    <row r="224" spans="1:5" x14ac:dyDescent="0.25">
      <c r="A224" s="2" t="s">
        <v>252</v>
      </c>
    </row>
    <row r="226" spans="1:7" x14ac:dyDescent="0.25">
      <c r="A226" t="s">
        <v>25</v>
      </c>
      <c r="D226">
        <v>106</v>
      </c>
      <c r="E226" t="s">
        <v>2</v>
      </c>
      <c r="F226" t="s">
        <v>27</v>
      </c>
    </row>
    <row r="227" spans="1:7" x14ac:dyDescent="0.25">
      <c r="A227" t="s">
        <v>26</v>
      </c>
      <c r="D227">
        <v>28.5</v>
      </c>
      <c r="E227" t="s">
        <v>2</v>
      </c>
      <c r="F227" t="s">
        <v>208</v>
      </c>
    </row>
    <row r="228" spans="1:7" x14ac:dyDescent="0.25">
      <c r="A228" t="s">
        <v>213</v>
      </c>
      <c r="D228">
        <f>D226*D227</f>
        <v>3021</v>
      </c>
      <c r="E228" t="s">
        <v>23</v>
      </c>
      <c r="F228">
        <f>D228/9</f>
        <v>335.66666666666669</v>
      </c>
      <c r="G228" t="s">
        <v>24</v>
      </c>
    </row>
    <row r="231" spans="1:7" x14ac:dyDescent="0.25">
      <c r="A231" s="2" t="s">
        <v>253</v>
      </c>
    </row>
    <row r="233" spans="1:7" x14ac:dyDescent="0.25">
      <c r="A233" t="s">
        <v>254</v>
      </c>
    </row>
    <row r="234" spans="1:7" x14ac:dyDescent="0.25">
      <c r="A234" t="s">
        <v>255</v>
      </c>
      <c r="D234">
        <v>12</v>
      </c>
    </row>
    <row r="235" spans="1:7" x14ac:dyDescent="0.25">
      <c r="A235" t="s">
        <v>256</v>
      </c>
      <c r="D235">
        <v>104</v>
      </c>
      <c r="E235" t="s">
        <v>2</v>
      </c>
    </row>
    <row r="236" spans="1:7" x14ac:dyDescent="0.25">
      <c r="A236" t="s">
        <v>257</v>
      </c>
      <c r="D236">
        <v>3</v>
      </c>
      <c r="E236" t="s">
        <v>2</v>
      </c>
    </row>
    <row r="238" spans="1:7" x14ac:dyDescent="0.25">
      <c r="A238" t="s">
        <v>258</v>
      </c>
      <c r="D238">
        <f>0.05*(D234*D235*D236)</f>
        <v>187.20000000000002</v>
      </c>
      <c r="E238" t="s">
        <v>40</v>
      </c>
    </row>
    <row r="241" spans="1:5" x14ac:dyDescent="0.25">
      <c r="A241" s="2" t="s">
        <v>259</v>
      </c>
    </row>
    <row r="243" spans="1:5" x14ac:dyDescent="0.25">
      <c r="A243" t="s">
        <v>255</v>
      </c>
      <c r="D243">
        <v>12</v>
      </c>
    </row>
    <row r="244" spans="1:5" x14ac:dyDescent="0.25">
      <c r="A244" t="s">
        <v>256</v>
      </c>
      <c r="D244">
        <v>104</v>
      </c>
      <c r="E244" t="s">
        <v>2</v>
      </c>
    </row>
    <row r="246" spans="1:5" x14ac:dyDescent="0.25">
      <c r="A246" t="s">
        <v>260</v>
      </c>
      <c r="D246">
        <f>(D243-1)*D244</f>
        <v>1144</v>
      </c>
      <c r="E246" t="s">
        <v>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8"/>
  <sheetViews>
    <sheetView topLeftCell="A114" workbookViewId="0">
      <selection activeCell="C20" sqref="C20"/>
    </sheetView>
  </sheetViews>
  <sheetFormatPr defaultRowHeight="14.85" x14ac:dyDescent="0.25"/>
  <cols>
    <col min="3" max="3" width="12.42578125" customWidth="1"/>
    <col min="4" max="4" width="14.5703125" customWidth="1"/>
  </cols>
  <sheetData>
    <row r="1" spans="1:7" x14ac:dyDescent="0.25">
      <c r="A1" s="2" t="s">
        <v>222</v>
      </c>
    </row>
    <row r="3" spans="1:7" x14ac:dyDescent="0.25">
      <c r="A3" t="s">
        <v>223</v>
      </c>
      <c r="E3">
        <f>39+27</f>
        <v>66</v>
      </c>
      <c r="F3" t="s">
        <v>2</v>
      </c>
      <c r="G3" t="s">
        <v>227</v>
      </c>
    </row>
    <row r="4" spans="1:7" x14ac:dyDescent="0.25">
      <c r="A4" t="s">
        <v>61</v>
      </c>
      <c r="E4" s="3">
        <v>1</v>
      </c>
      <c r="F4" s="3" t="s">
        <v>116</v>
      </c>
    </row>
    <row r="5" spans="1:7" x14ac:dyDescent="0.25">
      <c r="E5">
        <f>E3*E4</f>
        <v>66</v>
      </c>
      <c r="F5" t="s">
        <v>2</v>
      </c>
    </row>
    <row r="7" spans="1:7" x14ac:dyDescent="0.25">
      <c r="A7" t="s">
        <v>224</v>
      </c>
      <c r="E7">
        <f>39+27</f>
        <v>66</v>
      </c>
      <c r="F7" t="s">
        <v>2</v>
      </c>
      <c r="G7" t="s">
        <v>227</v>
      </c>
    </row>
    <row r="8" spans="1:7" x14ac:dyDescent="0.25">
      <c r="A8" t="s">
        <v>61</v>
      </c>
      <c r="E8" s="3">
        <v>2</v>
      </c>
      <c r="F8" s="3" t="s">
        <v>116</v>
      </c>
    </row>
    <row r="9" spans="1:7" x14ac:dyDescent="0.25">
      <c r="E9">
        <f>E7*E8</f>
        <v>132</v>
      </c>
      <c r="F9" t="s">
        <v>2</v>
      </c>
    </row>
    <row r="11" spans="1:7" x14ac:dyDescent="0.25">
      <c r="A11" t="s">
        <v>225</v>
      </c>
      <c r="E11">
        <v>25</v>
      </c>
      <c r="F11" t="s">
        <v>2</v>
      </c>
      <c r="G11" t="s">
        <v>226</v>
      </c>
    </row>
    <row r="12" spans="1:7" x14ac:dyDescent="0.25">
      <c r="A12" t="s">
        <v>61</v>
      </c>
      <c r="E12" s="3">
        <v>2</v>
      </c>
      <c r="F12" s="3" t="s">
        <v>116</v>
      </c>
    </row>
    <row r="13" spans="1:7" x14ac:dyDescent="0.25">
      <c r="E13">
        <f>E11*E12</f>
        <v>50</v>
      </c>
      <c r="F13" t="s">
        <v>2</v>
      </c>
    </row>
    <row r="15" spans="1:7" x14ac:dyDescent="0.25">
      <c r="A15" t="s">
        <v>229</v>
      </c>
      <c r="E15">
        <v>104</v>
      </c>
      <c r="F15" t="s">
        <v>2</v>
      </c>
      <c r="G15" t="s">
        <v>226</v>
      </c>
    </row>
    <row r="16" spans="1:7" x14ac:dyDescent="0.25">
      <c r="A16" t="s">
        <v>61</v>
      </c>
      <c r="E16" s="3">
        <v>2</v>
      </c>
      <c r="F16" s="3" t="s">
        <v>116</v>
      </c>
    </row>
    <row r="17" spans="1:11" x14ac:dyDescent="0.25">
      <c r="E17">
        <f>E15*E16</f>
        <v>208</v>
      </c>
      <c r="F17" t="s">
        <v>2</v>
      </c>
    </row>
    <row r="19" spans="1:11" x14ac:dyDescent="0.25">
      <c r="A19" t="s">
        <v>228</v>
      </c>
      <c r="E19">
        <v>25</v>
      </c>
      <c r="F19" t="s">
        <v>2</v>
      </c>
      <c r="G19" t="s">
        <v>226</v>
      </c>
    </row>
    <row r="20" spans="1:11" x14ac:dyDescent="0.25">
      <c r="A20" t="s">
        <v>61</v>
      </c>
      <c r="E20" s="3">
        <v>2</v>
      </c>
      <c r="F20" s="3" t="s">
        <v>116</v>
      </c>
    </row>
    <row r="21" spans="1:11" x14ac:dyDescent="0.25">
      <c r="E21">
        <f>E19*E20</f>
        <v>50</v>
      </c>
      <c r="F21" t="s">
        <v>2</v>
      </c>
    </row>
    <row r="23" spans="1:11" x14ac:dyDescent="0.25">
      <c r="D23" t="s">
        <v>28</v>
      </c>
      <c r="E23">
        <f>E5+E9+E13+E17+E21</f>
        <v>506</v>
      </c>
      <c r="F23" t="s">
        <v>2</v>
      </c>
    </row>
    <row r="27" spans="1:11" x14ac:dyDescent="0.25">
      <c r="A27" s="2" t="s">
        <v>32</v>
      </c>
      <c r="J27">
        <v>100</v>
      </c>
      <c r="K27" t="s">
        <v>2</v>
      </c>
    </row>
    <row r="28" spans="1:11" x14ac:dyDescent="0.25">
      <c r="A28" t="s">
        <v>61</v>
      </c>
      <c r="J28" s="3">
        <v>2</v>
      </c>
      <c r="K28" s="3"/>
    </row>
    <row r="29" spans="1:11" x14ac:dyDescent="0.25">
      <c r="J29">
        <f>J27*J28</f>
        <v>200</v>
      </c>
    </row>
    <row r="31" spans="1:11" x14ac:dyDescent="0.25">
      <c r="A31" t="s">
        <v>33</v>
      </c>
    </row>
    <row r="33" spans="1:5" x14ac:dyDescent="0.25">
      <c r="A33" t="s">
        <v>34</v>
      </c>
    </row>
    <row r="37" spans="1:5" x14ac:dyDescent="0.25">
      <c r="A37" s="2"/>
    </row>
    <row r="38" spans="1:5" x14ac:dyDescent="0.25">
      <c r="A38" s="2" t="s">
        <v>58</v>
      </c>
    </row>
    <row r="39" spans="1:5" x14ac:dyDescent="0.25">
      <c r="A39" s="2"/>
    </row>
    <row r="40" spans="1:5" x14ac:dyDescent="0.25">
      <c r="A40" s="3" t="s">
        <v>241</v>
      </c>
      <c r="B40" s="3"/>
    </row>
    <row r="41" spans="1:5" x14ac:dyDescent="0.25">
      <c r="A41" t="s">
        <v>60</v>
      </c>
      <c r="D41">
        <v>104</v>
      </c>
      <c r="E41" t="s">
        <v>2</v>
      </c>
    </row>
    <row r="42" spans="1:5" x14ac:dyDescent="0.25">
      <c r="A42" t="s">
        <v>59</v>
      </c>
      <c r="D42">
        <f>0.75+3+1.5+3+3.5+0.5</f>
        <v>12.25</v>
      </c>
      <c r="E42" t="s">
        <v>2</v>
      </c>
    </row>
    <row r="43" spans="1:5" x14ac:dyDescent="0.25">
      <c r="A43" t="s">
        <v>61</v>
      </c>
      <c r="D43">
        <v>2</v>
      </c>
    </row>
    <row r="44" spans="1:5" x14ac:dyDescent="0.25">
      <c r="A44" t="s">
        <v>62</v>
      </c>
      <c r="D44">
        <f>D41*D42*D43</f>
        <v>2548</v>
      </c>
      <c r="E44" t="s">
        <v>40</v>
      </c>
    </row>
    <row r="45" spans="1:5" x14ac:dyDescent="0.25">
      <c r="D45">
        <f>D44/9</f>
        <v>283.11111111111109</v>
      </c>
      <c r="E45" t="s">
        <v>24</v>
      </c>
    </row>
    <row r="49" spans="1:8" x14ac:dyDescent="0.25">
      <c r="A49" s="3" t="s">
        <v>243</v>
      </c>
      <c r="B49" s="3"/>
      <c r="C49" s="3"/>
      <c r="D49" s="3"/>
      <c r="E49" s="3"/>
      <c r="F49" s="3"/>
      <c r="G49" s="3"/>
      <c r="H49" s="3"/>
    </row>
    <row r="51" spans="1:8" x14ac:dyDescent="0.25">
      <c r="A51" t="s">
        <v>81</v>
      </c>
      <c r="D51">
        <v>1.833</v>
      </c>
      <c r="E51" t="s">
        <v>2</v>
      </c>
    </row>
    <row r="52" spans="1:8" x14ac:dyDescent="0.25">
      <c r="A52" t="s">
        <v>82</v>
      </c>
      <c r="D52">
        <v>74</v>
      </c>
      <c r="E52" t="s">
        <v>2</v>
      </c>
    </row>
    <row r="53" spans="1:8" x14ac:dyDescent="0.25">
      <c r="A53" t="s">
        <v>83</v>
      </c>
      <c r="D53">
        <v>3.5</v>
      </c>
      <c r="E53" t="s">
        <v>2</v>
      </c>
    </row>
    <row r="54" spans="1:8" x14ac:dyDescent="0.25">
      <c r="A54" t="s">
        <v>236</v>
      </c>
      <c r="D54">
        <v>20</v>
      </c>
      <c r="E54" t="s">
        <v>2</v>
      </c>
    </row>
    <row r="55" spans="1:8" x14ac:dyDescent="0.25">
      <c r="A55" t="s">
        <v>88</v>
      </c>
      <c r="D55">
        <v>1.75</v>
      </c>
      <c r="E55" t="s">
        <v>2</v>
      </c>
    </row>
    <row r="57" spans="1:8" x14ac:dyDescent="0.25">
      <c r="A57" t="s">
        <v>84</v>
      </c>
      <c r="D57">
        <f>D52*D54</f>
        <v>1480</v>
      </c>
      <c r="E57" t="s">
        <v>40</v>
      </c>
    </row>
    <row r="58" spans="1:8" x14ac:dyDescent="0.25">
      <c r="A58" t="s">
        <v>85</v>
      </c>
      <c r="D58">
        <f>0</f>
        <v>0</v>
      </c>
      <c r="E58" t="s">
        <v>40</v>
      </c>
    </row>
    <row r="59" spans="1:8" x14ac:dyDescent="0.25">
      <c r="A59" t="s">
        <v>86</v>
      </c>
      <c r="D59">
        <f>0</f>
        <v>0</v>
      </c>
      <c r="E59" t="s">
        <v>40</v>
      </c>
    </row>
    <row r="61" spans="1:8" x14ac:dyDescent="0.25">
      <c r="A61" t="s">
        <v>249</v>
      </c>
      <c r="D61">
        <f>0.5*45*20</f>
        <v>450</v>
      </c>
      <c r="E61" t="s">
        <v>40</v>
      </c>
    </row>
    <row r="62" spans="1:8" x14ac:dyDescent="0.25">
      <c r="A62" t="s">
        <v>238</v>
      </c>
      <c r="B62" s="4"/>
      <c r="D62" s="3">
        <v>2</v>
      </c>
      <c r="E62" s="3"/>
    </row>
    <row r="63" spans="1:8" x14ac:dyDescent="0.25">
      <c r="B63" s="4"/>
      <c r="D63">
        <f>D61*D62</f>
        <v>900</v>
      </c>
      <c r="E63" t="s">
        <v>40</v>
      </c>
    </row>
    <row r="64" spans="1:8" x14ac:dyDescent="0.25">
      <c r="B64" s="4"/>
    </row>
    <row r="65" spans="1:8" x14ac:dyDescent="0.25">
      <c r="A65" t="s">
        <v>250</v>
      </c>
      <c r="D65">
        <f>0.5*17.5*7</f>
        <v>61.25</v>
      </c>
      <c r="E65" t="s">
        <v>40</v>
      </c>
    </row>
    <row r="66" spans="1:8" x14ac:dyDescent="0.25">
      <c r="A66" t="s">
        <v>238</v>
      </c>
      <c r="B66" s="4"/>
      <c r="D66" s="3">
        <v>2</v>
      </c>
      <c r="E66" s="3"/>
    </row>
    <row r="67" spans="1:8" x14ac:dyDescent="0.25">
      <c r="B67" s="4"/>
      <c r="D67">
        <f>D65*D66</f>
        <v>122.5</v>
      </c>
      <c r="E67" t="s">
        <v>40</v>
      </c>
    </row>
    <row r="68" spans="1:8" x14ac:dyDescent="0.25">
      <c r="B68" s="4"/>
    </row>
    <row r="69" spans="1:8" x14ac:dyDescent="0.25">
      <c r="B69" s="4"/>
    </row>
    <row r="70" spans="1:8" x14ac:dyDescent="0.25">
      <c r="A70" t="s">
        <v>240</v>
      </c>
      <c r="D70">
        <f>0.75+3+1.5+3</f>
        <v>8.25</v>
      </c>
      <c r="E70" t="s">
        <v>2</v>
      </c>
    </row>
    <row r="71" spans="1:8" x14ac:dyDescent="0.25">
      <c r="A71" t="s">
        <v>239</v>
      </c>
      <c r="D71">
        <v>17.5</v>
      </c>
      <c r="E71" t="s">
        <v>2</v>
      </c>
    </row>
    <row r="72" spans="1:8" x14ac:dyDescent="0.25">
      <c r="A72" t="s">
        <v>238</v>
      </c>
      <c r="B72" s="4"/>
      <c r="D72" s="3">
        <v>2</v>
      </c>
      <c r="E72" s="3"/>
    </row>
    <row r="73" spans="1:8" x14ac:dyDescent="0.25">
      <c r="B73" s="4"/>
      <c r="D73">
        <f>D70*D71*D72</f>
        <v>288.75</v>
      </c>
      <c r="E73" t="s">
        <v>40</v>
      </c>
    </row>
    <row r="75" spans="1:8" x14ac:dyDescent="0.25">
      <c r="A75" t="s">
        <v>78</v>
      </c>
      <c r="D75">
        <f>D57+D58+D59+D63+D67+D73</f>
        <v>2791.25</v>
      </c>
      <c r="E75" t="s">
        <v>40</v>
      </c>
    </row>
    <row r="76" spans="1:8" x14ac:dyDescent="0.25">
      <c r="D76">
        <f>D75/9</f>
        <v>310.13888888888891</v>
      </c>
      <c r="E76" t="s">
        <v>24</v>
      </c>
    </row>
    <row r="79" spans="1:8" x14ac:dyDescent="0.25">
      <c r="A79" s="3" t="s">
        <v>242</v>
      </c>
      <c r="B79" s="3"/>
      <c r="C79" s="3"/>
      <c r="D79" s="3"/>
      <c r="E79" s="3"/>
      <c r="F79" s="3"/>
      <c r="G79" s="3"/>
      <c r="H79" s="3"/>
    </row>
    <row r="81" spans="1:5" x14ac:dyDescent="0.25">
      <c r="A81" t="s">
        <v>81</v>
      </c>
      <c r="D81">
        <v>1.833</v>
      </c>
      <c r="E81" t="s">
        <v>2</v>
      </c>
    </row>
    <row r="82" spans="1:5" x14ac:dyDescent="0.25">
      <c r="A82" t="s">
        <v>82</v>
      </c>
      <c r="D82">
        <v>74</v>
      </c>
      <c r="E82" t="s">
        <v>2</v>
      </c>
    </row>
    <row r="83" spans="1:5" x14ac:dyDescent="0.25">
      <c r="A83" t="s">
        <v>83</v>
      </c>
      <c r="D83">
        <v>3.5</v>
      </c>
      <c r="E83" t="s">
        <v>2</v>
      </c>
    </row>
    <row r="84" spans="1:5" x14ac:dyDescent="0.25">
      <c r="A84" t="s">
        <v>236</v>
      </c>
      <c r="D84">
        <v>20</v>
      </c>
      <c r="E84" t="s">
        <v>2</v>
      </c>
    </row>
    <row r="85" spans="1:5" x14ac:dyDescent="0.25">
      <c r="A85" t="s">
        <v>88</v>
      </c>
      <c r="D85">
        <v>1.75</v>
      </c>
      <c r="E85" t="s">
        <v>2</v>
      </c>
    </row>
    <row r="87" spans="1:5" x14ac:dyDescent="0.25">
      <c r="A87" t="s">
        <v>84</v>
      </c>
      <c r="D87">
        <f>D82*D84</f>
        <v>1480</v>
      </c>
      <c r="E87" t="s">
        <v>40</v>
      </c>
    </row>
    <row r="88" spans="1:5" x14ac:dyDescent="0.25">
      <c r="A88" t="s">
        <v>85</v>
      </c>
      <c r="D88">
        <f>0</f>
        <v>0</v>
      </c>
      <c r="E88" t="s">
        <v>40</v>
      </c>
    </row>
    <row r="89" spans="1:5" x14ac:dyDescent="0.25">
      <c r="A89" t="s">
        <v>86</v>
      </c>
      <c r="D89">
        <f>0</f>
        <v>0</v>
      </c>
      <c r="E89" t="s">
        <v>40</v>
      </c>
    </row>
    <row r="91" spans="1:5" x14ac:dyDescent="0.25">
      <c r="A91" t="s">
        <v>249</v>
      </c>
      <c r="D91">
        <f>0.5*45*20</f>
        <v>450</v>
      </c>
      <c r="E91" t="s">
        <v>40</v>
      </c>
    </row>
    <row r="92" spans="1:5" x14ac:dyDescent="0.25">
      <c r="A92" t="s">
        <v>238</v>
      </c>
      <c r="B92" s="4"/>
      <c r="D92" s="3">
        <v>2</v>
      </c>
      <c r="E92" s="3"/>
    </row>
    <row r="93" spans="1:5" x14ac:dyDescent="0.25">
      <c r="B93" s="4"/>
      <c r="D93">
        <f>D91*D92</f>
        <v>900</v>
      </c>
      <c r="E93" t="s">
        <v>40</v>
      </c>
    </row>
    <row r="94" spans="1:5" x14ac:dyDescent="0.25">
      <c r="B94" s="4"/>
    </row>
    <row r="95" spans="1:5" x14ac:dyDescent="0.25">
      <c r="A95" t="s">
        <v>250</v>
      </c>
      <c r="D95">
        <f>0.5*17.5*7</f>
        <v>61.25</v>
      </c>
      <c r="E95" t="s">
        <v>40</v>
      </c>
    </row>
    <row r="96" spans="1:5" x14ac:dyDescent="0.25">
      <c r="A96" t="s">
        <v>238</v>
      </c>
      <c r="B96" s="4"/>
      <c r="D96" s="3">
        <v>2</v>
      </c>
      <c r="E96" s="3"/>
    </row>
    <row r="97" spans="1:5" x14ac:dyDescent="0.25">
      <c r="B97" s="4"/>
      <c r="D97">
        <f>D95*D96</f>
        <v>122.5</v>
      </c>
      <c r="E97" t="s">
        <v>40</v>
      </c>
    </row>
    <row r="98" spans="1:5" x14ac:dyDescent="0.25">
      <c r="B98" s="4"/>
    </row>
    <row r="99" spans="1:5" x14ac:dyDescent="0.25">
      <c r="B99" s="4"/>
    </row>
    <row r="100" spans="1:5" x14ac:dyDescent="0.25">
      <c r="A100" t="s">
        <v>240</v>
      </c>
      <c r="D100">
        <f>0.75+3+1.5+3</f>
        <v>8.25</v>
      </c>
      <c r="E100" t="s">
        <v>2</v>
      </c>
    </row>
    <row r="101" spans="1:5" x14ac:dyDescent="0.25">
      <c r="A101" t="s">
        <v>239</v>
      </c>
      <c r="D101">
        <v>17.5</v>
      </c>
      <c r="E101" t="s">
        <v>2</v>
      </c>
    </row>
    <row r="102" spans="1:5" x14ac:dyDescent="0.25">
      <c r="A102" t="s">
        <v>238</v>
      </c>
      <c r="B102" s="4"/>
      <c r="D102" s="3">
        <v>2</v>
      </c>
      <c r="E102" s="3"/>
    </row>
    <row r="103" spans="1:5" x14ac:dyDescent="0.25">
      <c r="B103" s="4"/>
      <c r="D103">
        <f>D100*D101*D102</f>
        <v>288.75</v>
      </c>
      <c r="E103" t="s">
        <v>40</v>
      </c>
    </row>
    <row r="105" spans="1:5" x14ac:dyDescent="0.25">
      <c r="A105" t="s">
        <v>78</v>
      </c>
      <c r="D105">
        <f>D87+D88+D89+D93+D97+D103</f>
        <v>2791.25</v>
      </c>
      <c r="E105" t="s">
        <v>40</v>
      </c>
    </row>
    <row r="106" spans="1:5" x14ac:dyDescent="0.25">
      <c r="D106">
        <f>D105/9</f>
        <v>310.13888888888891</v>
      </c>
      <c r="E106" t="s">
        <v>24</v>
      </c>
    </row>
    <row r="108" spans="1:5" x14ac:dyDescent="0.25">
      <c r="A108" s="7" t="s">
        <v>90</v>
      </c>
      <c r="B108" s="7"/>
      <c r="C108" s="7"/>
      <c r="D108" s="7">
        <f>D45+D76+D106</f>
        <v>903.38888888888891</v>
      </c>
      <c r="E108" s="7" t="s">
        <v>24</v>
      </c>
    </row>
  </sheetData>
  <pageMargins left="0.7" right="0.7" top="0.75" bottom="0.75" header="0.3" footer="0.3"/>
  <pageSetup paperSize="1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70055-F335-4933-992C-3650B7A5F5B5}">
  <dimension ref="A11:BG67"/>
  <sheetViews>
    <sheetView topLeftCell="A19" zoomScaleNormal="100" workbookViewId="0">
      <selection activeCell="D40" sqref="D40:D45"/>
    </sheetView>
  </sheetViews>
  <sheetFormatPr defaultRowHeight="14.85" x14ac:dyDescent="0.25"/>
  <cols>
    <col min="4" max="4" width="15.28515625" customWidth="1"/>
    <col min="8" max="8" width="16.5703125" customWidth="1"/>
    <col min="9" max="9" width="21.5703125" customWidth="1"/>
    <col min="12" max="12" width="12.7109375" customWidth="1"/>
    <col min="13" max="13" width="18.140625" customWidth="1"/>
    <col min="16" max="16" width="12.42578125" customWidth="1"/>
    <col min="17" max="17" width="13.28515625" customWidth="1"/>
    <col min="18" max="18" width="12.42578125" customWidth="1"/>
    <col min="19" max="19" width="14.85546875" customWidth="1"/>
    <col min="20" max="20" width="13.5703125" customWidth="1"/>
    <col min="21" max="21" width="12.5703125" customWidth="1"/>
    <col min="27" max="27" width="11.7109375" customWidth="1"/>
  </cols>
  <sheetData>
    <row r="11" spans="1:39" x14ac:dyDescent="0.25">
      <c r="A11" s="212" t="s">
        <v>309</v>
      </c>
      <c r="B11" s="212"/>
      <c r="C11" s="212"/>
      <c r="D11" s="212"/>
      <c r="E11" s="212"/>
      <c r="F11" s="212"/>
      <c r="G11" s="212"/>
      <c r="H11" s="212"/>
      <c r="I11" s="212"/>
      <c r="J11" s="212"/>
    </row>
    <row r="12" spans="1:39" x14ac:dyDescent="0.25">
      <c r="A12" s="212"/>
      <c r="B12" s="212"/>
      <c r="C12" s="212"/>
      <c r="D12" s="212"/>
      <c r="E12" s="212"/>
      <c r="F12" s="212"/>
      <c r="G12" s="212"/>
      <c r="H12" s="212"/>
      <c r="I12" s="212"/>
      <c r="J12" s="212"/>
    </row>
    <row r="13" spans="1:39" x14ac:dyDescent="0.25">
      <c r="A13" s="212"/>
      <c r="B13" s="212"/>
      <c r="C13" s="212"/>
      <c r="D13" s="212"/>
      <c r="E13" s="212"/>
      <c r="F13" s="212"/>
      <c r="G13" s="212"/>
      <c r="H13" s="212"/>
      <c r="I13" s="212"/>
      <c r="J13" s="212"/>
    </row>
    <row r="14" spans="1:39" ht="15.6" x14ac:dyDescent="0.25">
      <c r="H14" t="s">
        <v>338</v>
      </c>
      <c r="L14" t="s">
        <v>339</v>
      </c>
      <c r="P14" t="s">
        <v>340</v>
      </c>
      <c r="Q14">
        <f>2*(2.5+72+2.5)+(3*18)-(2*0.4375)</f>
        <v>207.125</v>
      </c>
      <c r="T14" t="s">
        <v>341</v>
      </c>
      <c r="AM14" s="8"/>
    </row>
    <row r="15" spans="1:39" ht="62.35" x14ac:dyDescent="0.25">
      <c r="H15" s="159" t="s">
        <v>626</v>
      </c>
      <c r="I15" s="10">
        <f>(2*36.26)+(3*16.55)-(2*0.84)</f>
        <v>120.49</v>
      </c>
      <c r="J15" s="10" t="s">
        <v>92</v>
      </c>
      <c r="K15" s="9" t="s">
        <v>608</v>
      </c>
      <c r="L15" s="9" t="s">
        <v>91</v>
      </c>
      <c r="M15" s="10">
        <v>0</v>
      </c>
      <c r="N15" s="10" t="s">
        <v>92</v>
      </c>
      <c r="O15" s="9" t="s">
        <v>93</v>
      </c>
      <c r="P15" s="9" t="s">
        <v>91</v>
      </c>
      <c r="Q15" s="10">
        <v>0</v>
      </c>
      <c r="R15" s="10" t="s">
        <v>92</v>
      </c>
      <c r="S15" s="9" t="s">
        <v>93</v>
      </c>
      <c r="T15" s="9" t="s">
        <v>91</v>
      </c>
      <c r="U15" s="10">
        <v>0</v>
      </c>
      <c r="V15" s="10" t="s">
        <v>92</v>
      </c>
      <c r="W15" s="9" t="s">
        <v>93</v>
      </c>
      <c r="X15" s="115"/>
    </row>
    <row r="16" spans="1:39" ht="74.25" x14ac:dyDescent="0.25">
      <c r="B16" s="116">
        <v>514</v>
      </c>
      <c r="C16" s="132" t="s">
        <v>94</v>
      </c>
      <c r="D16" s="115" t="s">
        <v>95</v>
      </c>
      <c r="E16" s="116" t="s">
        <v>40</v>
      </c>
      <c r="F16" s="12">
        <f>P33</f>
        <v>5202.9634249999999</v>
      </c>
      <c r="H16" s="58" t="s">
        <v>615</v>
      </c>
      <c r="I16" s="10">
        <f>I15/12</f>
        <v>10.040833333333333</v>
      </c>
      <c r="J16" s="10" t="s">
        <v>52</v>
      </c>
      <c r="K16" s="13"/>
      <c r="L16" s="58"/>
      <c r="M16" s="10">
        <f>M15/12</f>
        <v>0</v>
      </c>
      <c r="N16" s="10" t="s">
        <v>52</v>
      </c>
      <c r="O16" s="13"/>
      <c r="P16" s="58"/>
      <c r="Q16" s="10">
        <f>Q15/12</f>
        <v>0</v>
      </c>
      <c r="R16" s="10" t="s">
        <v>52</v>
      </c>
      <c r="S16" s="13"/>
      <c r="T16" s="58"/>
      <c r="U16" s="10">
        <f>U15/12</f>
        <v>0</v>
      </c>
      <c r="V16" s="10" t="s">
        <v>52</v>
      </c>
      <c r="W16" s="13"/>
      <c r="X16" s="116"/>
    </row>
    <row r="17" spans="2:58" ht="74.25" x14ac:dyDescent="0.25">
      <c r="B17" s="116">
        <v>514</v>
      </c>
      <c r="C17" s="132" t="s">
        <v>96</v>
      </c>
      <c r="D17" s="115" t="s">
        <v>97</v>
      </c>
      <c r="E17" s="116" t="s">
        <v>40</v>
      </c>
      <c r="F17" s="12">
        <f>P33</f>
        <v>5202.9634249999999</v>
      </c>
      <c r="H17" s="10" t="s">
        <v>610</v>
      </c>
      <c r="I17" s="10">
        <v>76.5</v>
      </c>
      <c r="J17" s="10" t="s">
        <v>52</v>
      </c>
      <c r="K17" s="10"/>
      <c r="L17" s="10" t="s">
        <v>100</v>
      </c>
      <c r="M17" s="10">
        <v>0</v>
      </c>
      <c r="N17" s="10" t="s">
        <v>52</v>
      </c>
      <c r="O17" s="10"/>
      <c r="P17" s="10" t="s">
        <v>100</v>
      </c>
      <c r="Q17" s="10">
        <v>0</v>
      </c>
      <c r="R17" s="10" t="s">
        <v>52</v>
      </c>
      <c r="S17" s="10"/>
      <c r="T17" s="10" t="s">
        <v>100</v>
      </c>
      <c r="U17" s="10">
        <v>0</v>
      </c>
      <c r="V17" s="10" t="s">
        <v>52</v>
      </c>
      <c r="W17" s="10"/>
    </row>
    <row r="18" spans="2:58" ht="89.1" x14ac:dyDescent="0.25">
      <c r="B18" s="116">
        <v>514</v>
      </c>
      <c r="C18" s="132" t="s">
        <v>98</v>
      </c>
      <c r="D18" s="115" t="s">
        <v>99</v>
      </c>
      <c r="E18" s="116" t="s">
        <v>40</v>
      </c>
      <c r="F18" s="12">
        <f>P33</f>
        <v>5202.9634249999999</v>
      </c>
      <c r="H18" s="22" t="s">
        <v>106</v>
      </c>
      <c r="I18" s="22" t="s">
        <v>632</v>
      </c>
      <c r="J18" s="24"/>
      <c r="K18" s="22"/>
      <c r="L18" s="22" t="s">
        <v>106</v>
      </c>
      <c r="M18" s="23" t="s">
        <v>339</v>
      </c>
      <c r="N18" s="24"/>
      <c r="O18" s="22"/>
      <c r="P18" s="22" t="s">
        <v>106</v>
      </c>
      <c r="Q18" s="23" t="s">
        <v>340</v>
      </c>
      <c r="R18" s="24"/>
      <c r="S18" s="22"/>
      <c r="T18" s="22" t="s">
        <v>106</v>
      </c>
      <c r="U18" s="23" t="s">
        <v>341</v>
      </c>
      <c r="V18" s="24"/>
      <c r="W18" s="22"/>
      <c r="X18" s="117"/>
      <c r="Y18" s="223" t="s">
        <v>352</v>
      </c>
      <c r="Z18" s="224"/>
      <c r="AA18" s="224"/>
      <c r="AB18" s="224"/>
      <c r="AC18" s="224"/>
      <c r="AD18" s="224"/>
      <c r="AE18" s="224"/>
      <c r="AF18" s="225"/>
      <c r="AH18" s="163" t="s">
        <v>407</v>
      </c>
      <c r="AI18" s="34"/>
      <c r="AJ18" s="34"/>
      <c r="AK18" s="34"/>
      <c r="AL18" s="34"/>
      <c r="AM18" s="34" t="s">
        <v>102</v>
      </c>
      <c r="AN18" s="34"/>
      <c r="AO18" s="164">
        <v>8.1999999999999993</v>
      </c>
      <c r="AP18" s="165" t="s">
        <v>103</v>
      </c>
      <c r="AQ18" s="35"/>
    </row>
    <row r="19" spans="2:58" ht="74.25" x14ac:dyDescent="0.25">
      <c r="B19" s="116">
        <v>514</v>
      </c>
      <c r="C19" s="132" t="s">
        <v>104</v>
      </c>
      <c r="D19" s="115" t="s">
        <v>105</v>
      </c>
      <c r="E19" s="116" t="s">
        <v>40</v>
      </c>
      <c r="F19" s="12">
        <f>P33</f>
        <v>5202.9634249999999</v>
      </c>
      <c r="H19" s="10" t="s">
        <v>112</v>
      </c>
      <c r="I19" s="10">
        <f>I17*I16</f>
        <v>768.12374999999997</v>
      </c>
      <c r="J19" s="10" t="s">
        <v>113</v>
      </c>
      <c r="K19" s="10"/>
      <c r="L19" s="10" t="s">
        <v>112</v>
      </c>
      <c r="M19" s="10">
        <f>M17*M16</f>
        <v>0</v>
      </c>
      <c r="N19" s="10" t="s">
        <v>113</v>
      </c>
      <c r="O19" s="10"/>
      <c r="P19" s="10" t="s">
        <v>112</v>
      </c>
      <c r="Q19" s="10">
        <f>Q17*Q16</f>
        <v>0</v>
      </c>
      <c r="R19" s="10" t="s">
        <v>113</v>
      </c>
      <c r="S19" s="10"/>
      <c r="T19" s="10" t="s">
        <v>112</v>
      </c>
      <c r="U19" s="10">
        <f>U17*U16</f>
        <v>0</v>
      </c>
      <c r="V19" s="10" t="s">
        <v>113</v>
      </c>
      <c r="W19" s="10"/>
      <c r="X19" s="19"/>
      <c r="Y19" s="62"/>
      <c r="Z19" s="63" t="s">
        <v>114</v>
      </c>
      <c r="AA19" s="140">
        <v>7.875</v>
      </c>
      <c r="AB19" s="140" t="s">
        <v>52</v>
      </c>
      <c r="AC19" s="140"/>
      <c r="AD19" s="63" t="s">
        <v>102</v>
      </c>
      <c r="AE19" s="63"/>
      <c r="AF19" s="66"/>
      <c r="AH19" s="226" t="s">
        <v>352</v>
      </c>
      <c r="AI19" s="227"/>
      <c r="AJ19" s="227"/>
      <c r="AK19" s="227"/>
      <c r="AL19" s="227"/>
      <c r="AM19" s="227"/>
      <c r="AN19" s="227"/>
      <c r="AQ19" s="21"/>
    </row>
    <row r="20" spans="2:58" ht="75" thickBot="1" x14ac:dyDescent="0.4">
      <c r="B20" s="116">
        <v>514</v>
      </c>
      <c r="C20" s="132" t="s">
        <v>109</v>
      </c>
      <c r="D20" s="133" t="s">
        <v>110</v>
      </c>
      <c r="E20" s="116" t="s">
        <v>111</v>
      </c>
      <c r="F20" s="134">
        <f>ROUNDUP(J21*J23/60,0)</f>
        <v>7</v>
      </c>
      <c r="H20" s="90" t="s">
        <v>117</v>
      </c>
      <c r="I20" s="91">
        <f>I19*1.1</f>
        <v>844.93612500000006</v>
      </c>
      <c r="J20" s="90" t="s">
        <v>113</v>
      </c>
      <c r="K20" s="90"/>
      <c r="L20" s="10" t="s">
        <v>117</v>
      </c>
      <c r="M20" s="31">
        <f>M19*1.1</f>
        <v>0</v>
      </c>
      <c r="N20" s="10" t="s">
        <v>113</v>
      </c>
      <c r="O20" s="10"/>
      <c r="P20" s="10" t="s">
        <v>117</v>
      </c>
      <c r="Q20" s="31">
        <f>Q19*1.1</f>
        <v>0</v>
      </c>
      <c r="R20" s="10" t="s">
        <v>113</v>
      </c>
      <c r="S20" s="10"/>
      <c r="T20" s="10" t="s">
        <v>117</v>
      </c>
      <c r="U20" s="31">
        <f>U19*1.1</f>
        <v>0</v>
      </c>
      <c r="V20" s="10" t="s">
        <v>113</v>
      </c>
      <c r="W20" s="10"/>
      <c r="X20" s="19"/>
      <c r="Y20" s="62" t="s">
        <v>615</v>
      </c>
      <c r="Z20" s="161" t="s">
        <v>386</v>
      </c>
      <c r="AA20" s="63">
        <f>7.875*12</f>
        <v>94.5</v>
      </c>
      <c r="AB20" s="63" t="s">
        <v>92</v>
      </c>
      <c r="AC20" s="63"/>
      <c r="AD20" s="68"/>
      <c r="AE20" s="63"/>
      <c r="AF20" s="66"/>
      <c r="AH20" s="32"/>
      <c r="AI20" s="28"/>
      <c r="AJ20" s="28" t="s">
        <v>101</v>
      </c>
      <c r="AK20" s="28" t="s">
        <v>119</v>
      </c>
      <c r="AL20" s="28" t="s">
        <v>120</v>
      </c>
      <c r="AM20" s="28"/>
      <c r="AN20" s="28"/>
      <c r="AO20" s="25" t="s">
        <v>118</v>
      </c>
      <c r="AP20">
        <v>1.44</v>
      </c>
      <c r="AQ20" s="21" t="s">
        <v>92</v>
      </c>
    </row>
    <row r="21" spans="2:58" ht="44.55" x14ac:dyDescent="0.25">
      <c r="B21" s="116">
        <v>514</v>
      </c>
      <c r="C21" s="36">
        <v>10000</v>
      </c>
      <c r="D21" s="133" t="s">
        <v>115</v>
      </c>
      <c r="E21" s="116" t="s">
        <v>116</v>
      </c>
      <c r="F21" s="30">
        <f>ROUNDUP(MAX(F16/1200,(J21*J23/150)),0)</f>
        <v>5</v>
      </c>
      <c r="H21" s="92" t="s">
        <v>121</v>
      </c>
      <c r="I21" s="93"/>
      <c r="J21" s="94">
        <f>I17+M17+Q17+U17</f>
        <v>76.5</v>
      </c>
      <c r="K21" s="95" t="s">
        <v>52</v>
      </c>
      <c r="Y21" s="62"/>
      <c r="Z21" s="162" t="s">
        <v>422</v>
      </c>
      <c r="AA21" s="63">
        <f>36-2</f>
        <v>34</v>
      </c>
      <c r="AB21" s="63" t="s">
        <v>92</v>
      </c>
      <c r="AC21" s="63"/>
      <c r="AD21" s="68"/>
      <c r="AE21" s="63"/>
      <c r="AF21" s="66"/>
      <c r="AH21" s="32"/>
      <c r="AI21" s="28" t="s">
        <v>114</v>
      </c>
      <c r="AJ21" s="28">
        <v>9.61</v>
      </c>
      <c r="AK21" s="28">
        <f>AJ21/3</f>
        <v>3.2033333333333331</v>
      </c>
      <c r="AL21" s="28">
        <f>AJ21/6</f>
        <v>1.6016666666666666</v>
      </c>
      <c r="AM21" s="28"/>
      <c r="AN21" s="28"/>
      <c r="AO21" t="s">
        <v>92</v>
      </c>
      <c r="AQ21" s="21"/>
    </row>
    <row r="22" spans="2:58" x14ac:dyDescent="0.25">
      <c r="H22" s="102" t="s">
        <v>342</v>
      </c>
      <c r="I22" s="103"/>
      <c r="J22" s="128">
        <f>(I20+M20+Q20+U20)</f>
        <v>844.93612500000006</v>
      </c>
      <c r="K22" s="104" t="s">
        <v>113</v>
      </c>
      <c r="M22" t="s">
        <v>375</v>
      </c>
      <c r="N22" s="52">
        <f>BB29</f>
        <v>0</v>
      </c>
      <c r="O22" t="s">
        <v>126</v>
      </c>
      <c r="Y22" s="62"/>
      <c r="Z22" s="63"/>
      <c r="AA22" s="63"/>
      <c r="AB22" s="63"/>
      <c r="AC22" s="63"/>
      <c r="AD22" s="63"/>
      <c r="AE22" s="63"/>
      <c r="AF22" s="66"/>
      <c r="AH22" s="32"/>
      <c r="AI22" s="28" t="s">
        <v>321</v>
      </c>
      <c r="AJ22" s="28">
        <v>36</v>
      </c>
      <c r="AK22" s="36" t="s">
        <v>92</v>
      </c>
      <c r="AL22" s="28"/>
      <c r="AM22" s="28"/>
      <c r="AN22" s="28"/>
      <c r="AO22" t="s">
        <v>92</v>
      </c>
      <c r="AQ22" s="21"/>
      <c r="AY22" s="14"/>
      <c r="AZ22" s="16"/>
      <c r="BA22" s="16"/>
      <c r="BB22" s="16"/>
      <c r="BC22" s="16"/>
      <c r="BD22" s="16"/>
      <c r="BE22" s="16"/>
      <c r="BF22" s="17"/>
    </row>
    <row r="23" spans="2:58" x14ac:dyDescent="0.25">
      <c r="H23" s="96" t="s">
        <v>123</v>
      </c>
      <c r="I23" s="35"/>
      <c r="J23" s="10">
        <v>5</v>
      </c>
      <c r="K23" s="97"/>
      <c r="M23" t="s">
        <v>374</v>
      </c>
      <c r="N23" s="52">
        <f>BF49</f>
        <v>0</v>
      </c>
      <c r="O23" t="s">
        <v>126</v>
      </c>
      <c r="R23" s="14" t="s">
        <v>363</v>
      </c>
      <c r="S23" s="16" t="s">
        <v>423</v>
      </c>
      <c r="T23" s="16" t="s">
        <v>365</v>
      </c>
      <c r="U23" s="17" t="s">
        <v>424</v>
      </c>
      <c r="Y23" s="62"/>
      <c r="Z23" s="63"/>
      <c r="AA23" s="63"/>
      <c r="AB23" s="63"/>
      <c r="AC23" s="63"/>
      <c r="AD23" s="63"/>
      <c r="AE23" s="63"/>
      <c r="AF23" s="66"/>
      <c r="AH23" s="32"/>
      <c r="AI23" s="28"/>
      <c r="AJ23" s="28">
        <f>AJ22/12</f>
        <v>3</v>
      </c>
      <c r="AK23" s="36" t="s">
        <v>52</v>
      </c>
      <c r="AL23" s="37">
        <f>AI27^2+AI30^2</f>
        <v>16.98672222222222</v>
      </c>
      <c r="AM23" s="28"/>
      <c r="AN23" s="37">
        <f>AI27^2+AJ30^2</f>
        <v>9.2907138888888881</v>
      </c>
      <c r="AO23" t="s">
        <v>92</v>
      </c>
      <c r="AQ23" s="21"/>
      <c r="AY23" s="19"/>
      <c r="BA23" t="s">
        <v>368</v>
      </c>
      <c r="BF23" s="21"/>
    </row>
    <row r="24" spans="2:58" ht="15.6" thickBot="1" x14ac:dyDescent="0.3">
      <c r="H24" s="98" t="s">
        <v>360</v>
      </c>
      <c r="I24" s="99"/>
      <c r="J24" s="100">
        <f>J22*J23</f>
        <v>4224.680625</v>
      </c>
      <c r="K24" s="101" t="s">
        <v>113</v>
      </c>
      <c r="R24" s="107" t="s">
        <v>366</v>
      </c>
      <c r="S24">
        <v>5</v>
      </c>
      <c r="T24">
        <v>1.76</v>
      </c>
      <c r="U24" s="21">
        <v>7.84</v>
      </c>
      <c r="Y24" s="62"/>
      <c r="Z24" s="63"/>
      <c r="AA24" s="63"/>
      <c r="AB24" s="63"/>
      <c r="AC24" s="63"/>
      <c r="AD24" s="63"/>
      <c r="AE24" s="63"/>
      <c r="AF24" s="66"/>
      <c r="AH24" s="32"/>
      <c r="AI24" s="28"/>
      <c r="AJ24" s="28"/>
      <c r="AK24" s="36"/>
      <c r="AL24" s="28"/>
      <c r="AM24" s="28"/>
      <c r="AN24" s="28"/>
      <c r="AQ24" s="21"/>
      <c r="AY24" s="19"/>
      <c r="AZ24" t="s">
        <v>370</v>
      </c>
      <c r="BA24" t="s">
        <v>364</v>
      </c>
      <c r="BB24">
        <f>(AZ31*AY33)+(BF33*BC30)+(2*(AY33-BF33)*BC30/2)</f>
        <v>798</v>
      </c>
      <c r="BC24" t="s">
        <v>369</v>
      </c>
      <c r="BF24" s="21"/>
    </row>
    <row r="25" spans="2:58" x14ac:dyDescent="0.25">
      <c r="H25" s="4"/>
      <c r="R25" s="19" t="s">
        <v>358</v>
      </c>
      <c r="S25">
        <v>10</v>
      </c>
      <c r="T25">
        <v>0</v>
      </c>
      <c r="U25" s="21">
        <v>0</v>
      </c>
      <c r="Y25" s="62"/>
      <c r="Z25" s="63">
        <f>(Z26)/12</f>
        <v>2.8333333333333335</v>
      </c>
      <c r="AA25" s="63" t="s">
        <v>2</v>
      </c>
      <c r="AB25" s="63"/>
      <c r="AC25" s="63"/>
      <c r="AD25" s="63"/>
      <c r="AE25" s="63"/>
      <c r="AF25" s="66"/>
      <c r="AH25" s="32"/>
      <c r="AI25" s="28"/>
      <c r="AJ25" s="28"/>
      <c r="AK25" s="28"/>
      <c r="AL25" s="28"/>
      <c r="AM25" s="28"/>
      <c r="AN25" s="28"/>
      <c r="AP25">
        <v>1.333</v>
      </c>
      <c r="AQ25" s="21" t="s">
        <v>125</v>
      </c>
      <c r="AY25" s="19"/>
      <c r="AZ25" t="s">
        <v>371</v>
      </c>
      <c r="BA25" t="s">
        <v>364</v>
      </c>
      <c r="BB25">
        <f>0</f>
        <v>0</v>
      </c>
      <c r="BC25" t="s">
        <v>369</v>
      </c>
      <c r="BF25" s="21"/>
    </row>
    <row r="26" spans="2:58" x14ac:dyDescent="0.25">
      <c r="H26" s="14" t="s">
        <v>325</v>
      </c>
      <c r="I26" s="16"/>
      <c r="J26" s="16">
        <f>2*(6*72)/144</f>
        <v>6</v>
      </c>
      <c r="K26" s="17" t="s">
        <v>126</v>
      </c>
      <c r="R26" s="19" t="s">
        <v>361</v>
      </c>
      <c r="S26">
        <f>S24*S25</f>
        <v>50</v>
      </c>
      <c r="T26">
        <f>T24*T25</f>
        <v>0</v>
      </c>
      <c r="U26" s="21">
        <f>U24*U25</f>
        <v>0</v>
      </c>
      <c r="Y26" s="62"/>
      <c r="Z26" s="63">
        <f>AA21</f>
        <v>34</v>
      </c>
      <c r="AA26" s="63"/>
      <c r="AB26" s="63"/>
      <c r="AC26" s="63"/>
      <c r="AD26" s="63">
        <f>(SQRT((AB29/2)^2+(Z25)^2))</f>
        <v>4.8509467145885843</v>
      </c>
      <c r="AE26" s="63" t="s">
        <v>2</v>
      </c>
      <c r="AF26" s="66"/>
      <c r="AH26" s="32"/>
      <c r="AI26" s="28"/>
      <c r="AJ26" s="37">
        <f>SQRT(AN23)</f>
        <v>3.0480672382493283</v>
      </c>
      <c r="AK26" s="37"/>
      <c r="AL26" s="28"/>
      <c r="AM26" s="37">
        <f>AH27</f>
        <v>4.1214951440250687</v>
      </c>
      <c r="AN26" s="28"/>
      <c r="AP26" s="1">
        <f>0.33*AP25*2</f>
        <v>0.87978000000000001</v>
      </c>
      <c r="AQ26" s="21" t="s">
        <v>126</v>
      </c>
      <c r="AY26" s="19"/>
      <c r="AZ26" t="s">
        <v>372</v>
      </c>
      <c r="BA26" t="s">
        <v>364</v>
      </c>
      <c r="BB26">
        <f>(BB24+BB25)/144*2</f>
        <v>11.083333333333334</v>
      </c>
      <c r="BC26" t="s">
        <v>113</v>
      </c>
      <c r="BF26" s="21"/>
    </row>
    <row r="27" spans="2:58" x14ac:dyDescent="0.25">
      <c r="H27" s="19" t="s">
        <v>187</v>
      </c>
      <c r="J27">
        <v>0</v>
      </c>
      <c r="K27" s="21" t="s">
        <v>329</v>
      </c>
      <c r="R27" s="19"/>
      <c r="U27" s="21"/>
      <c r="Y27" s="62"/>
      <c r="Z27" s="63"/>
      <c r="AA27" s="63"/>
      <c r="AB27" s="63"/>
      <c r="AC27" s="63"/>
      <c r="AD27" s="63"/>
      <c r="AE27" s="63"/>
      <c r="AF27" s="66"/>
      <c r="AH27" s="39">
        <f>SQRT(AL23)</f>
        <v>4.1214951440250687</v>
      </c>
      <c r="AI27" s="40">
        <f>(AJ22-2*(1+1.44))/12</f>
        <v>2.5933333333333333</v>
      </c>
      <c r="AJ27" s="28"/>
      <c r="AK27" s="28"/>
      <c r="AL27" s="28"/>
      <c r="AM27" s="28"/>
      <c r="AN27" s="28"/>
      <c r="AP27">
        <v>7</v>
      </c>
      <c r="AQ27" s="21" t="s">
        <v>125</v>
      </c>
      <c r="AY27" s="19"/>
      <c r="AZ27" t="s">
        <v>358</v>
      </c>
      <c r="BB27">
        <v>0</v>
      </c>
      <c r="BF27" s="21"/>
    </row>
    <row r="28" spans="2:58" x14ac:dyDescent="0.25">
      <c r="H28" s="19" t="s">
        <v>188</v>
      </c>
      <c r="J28" s="7">
        <f>J26*J27</f>
        <v>0</v>
      </c>
      <c r="K28" s="21" t="s">
        <v>126</v>
      </c>
      <c r="R28" s="19"/>
      <c r="S28" t="s">
        <v>351</v>
      </c>
      <c r="T28">
        <f>S26+T26+U26</f>
        <v>50</v>
      </c>
      <c r="U28" s="21"/>
      <c r="Y28" s="62"/>
      <c r="Z28" s="63"/>
      <c r="AA28" s="63"/>
      <c r="AB28" s="63"/>
      <c r="AC28" s="63"/>
      <c r="AD28" s="63"/>
      <c r="AE28" s="63"/>
      <c r="AF28" s="66"/>
      <c r="AH28" s="32"/>
      <c r="AI28" s="28"/>
      <c r="AJ28" s="28"/>
      <c r="AK28" s="28"/>
      <c r="AL28" s="28"/>
      <c r="AM28" s="28"/>
      <c r="AN28" s="28"/>
      <c r="AP28" s="1">
        <f>0.33*AP27*2</f>
        <v>4.62</v>
      </c>
      <c r="AQ28" s="21" t="s">
        <v>126</v>
      </c>
      <c r="AY28" s="19"/>
      <c r="AZ28" t="s">
        <v>373</v>
      </c>
      <c r="BB28">
        <f>BB26*BB27</f>
        <v>0</v>
      </c>
      <c r="BF28" s="21"/>
    </row>
    <row r="29" spans="2:58" x14ac:dyDescent="0.25">
      <c r="H29" s="49" t="s">
        <v>189</v>
      </c>
      <c r="I29" s="3"/>
      <c r="J29" s="3"/>
      <c r="K29" s="44"/>
      <c r="R29" s="49"/>
      <c r="S29" s="112" t="s">
        <v>367</v>
      </c>
      <c r="T29" s="59">
        <f>T28*1.1</f>
        <v>55.000000000000007</v>
      </c>
      <c r="U29" s="44"/>
      <c r="Y29" s="62"/>
      <c r="Z29" s="63"/>
      <c r="AA29" s="63"/>
      <c r="AB29" s="140">
        <f>AA19</f>
        <v>7.875</v>
      </c>
      <c r="AC29" s="63"/>
      <c r="AD29" s="63"/>
      <c r="AE29" s="63"/>
      <c r="AF29" s="66"/>
      <c r="AH29" s="32"/>
      <c r="AI29" s="28"/>
      <c r="AJ29" s="28"/>
      <c r="AK29" s="28"/>
      <c r="AL29" s="28"/>
      <c r="AM29" s="28"/>
      <c r="AN29" s="28"/>
      <c r="AQ29" s="21"/>
      <c r="AY29" s="19"/>
      <c r="AZ29" t="s">
        <v>367</v>
      </c>
      <c r="BB29" s="7">
        <f>BB28*1.1</f>
        <v>0</v>
      </c>
      <c r="BF29" s="21"/>
    </row>
    <row r="30" spans="2:58" x14ac:dyDescent="0.25">
      <c r="Y30" s="62"/>
      <c r="Z30" s="63"/>
      <c r="AA30" s="63"/>
      <c r="AB30" s="63"/>
      <c r="AC30" s="63"/>
      <c r="AD30" s="63"/>
      <c r="AE30" s="63"/>
      <c r="AF30" s="66"/>
      <c r="AH30" s="32"/>
      <c r="AI30" s="37">
        <f>AJ21/3</f>
        <v>3.2033333333333331</v>
      </c>
      <c r="AJ30" s="37">
        <f>AJ21/6</f>
        <v>1.6016666666666666</v>
      </c>
      <c r="AK30" s="28"/>
      <c r="AL30" s="28"/>
      <c r="AM30" s="28"/>
      <c r="AN30" s="28"/>
      <c r="AQ30" s="21"/>
      <c r="AY30" s="19"/>
      <c r="BC30">
        <v>39</v>
      </c>
      <c r="BF30" s="21"/>
    </row>
    <row r="31" spans="2:58" ht="15.6" thickBot="1" x14ac:dyDescent="0.3">
      <c r="H31" s="14" t="s">
        <v>383</v>
      </c>
      <c r="I31" s="16"/>
      <c r="J31" s="16">
        <f>2*(8*72)/144</f>
        <v>8</v>
      </c>
      <c r="K31" s="17" t="s">
        <v>126</v>
      </c>
      <c r="Y31" s="62" t="s">
        <v>616</v>
      </c>
      <c r="Z31" s="63"/>
      <c r="AA31" s="63"/>
      <c r="AB31" s="140">
        <f>(2*AD26)+AB29</f>
        <v>17.576893429177169</v>
      </c>
      <c r="AC31" s="63" t="s">
        <v>125</v>
      </c>
      <c r="AD31" s="63"/>
      <c r="AE31" s="63"/>
      <c r="AF31" s="66"/>
      <c r="AH31" s="42"/>
      <c r="AI31" s="43"/>
      <c r="AJ31" s="43"/>
      <c r="AK31" s="43"/>
      <c r="AL31" s="43"/>
      <c r="AM31" s="43"/>
      <c r="AN31" s="43"/>
      <c r="AO31" s="3"/>
      <c r="AP31" s="3"/>
      <c r="AQ31" s="44"/>
      <c r="AY31" s="19"/>
      <c r="AZ31">
        <v>18</v>
      </c>
      <c r="BF31" s="21"/>
    </row>
    <row r="32" spans="2:58" x14ac:dyDescent="0.25">
      <c r="H32" s="19" t="s">
        <v>187</v>
      </c>
      <c r="J32">
        <v>0</v>
      </c>
      <c r="K32" s="21" t="s">
        <v>329</v>
      </c>
      <c r="O32" s="108" t="s">
        <v>362</v>
      </c>
      <c r="P32" s="109"/>
      <c r="Y32" s="62"/>
      <c r="Z32" s="63"/>
      <c r="AA32" s="63"/>
      <c r="AB32" s="63"/>
      <c r="AC32" s="63"/>
      <c r="AD32" s="63"/>
      <c r="AE32" s="63"/>
      <c r="AF32" s="66"/>
      <c r="AH32" s="45"/>
      <c r="AI32" s="46"/>
      <c r="AJ32" s="46" t="s">
        <v>130</v>
      </c>
      <c r="AK32" s="47" t="s">
        <v>628</v>
      </c>
      <c r="AL32" s="46"/>
      <c r="AM32" s="46"/>
      <c r="AN32" s="46"/>
      <c r="AO32" s="16"/>
      <c r="AP32" s="16"/>
      <c r="AQ32" s="17"/>
      <c r="AY32" s="19"/>
      <c r="BF32" s="21"/>
    </row>
    <row r="33" spans="8:59" ht="15.6" thickBot="1" x14ac:dyDescent="0.3">
      <c r="H33" s="19" t="s">
        <v>188</v>
      </c>
      <c r="J33" s="7">
        <f>J31*J32</f>
        <v>0</v>
      </c>
      <c r="K33" s="21" t="s">
        <v>126</v>
      </c>
      <c r="O33" s="110" t="s">
        <v>351</v>
      </c>
      <c r="P33" s="111">
        <f>J24+J28+J33+I42+I52+I61+T29+N22+N23</f>
        <v>5202.9634249999999</v>
      </c>
      <c r="Y33" s="141" t="s">
        <v>421</v>
      </c>
      <c r="Z33" s="63"/>
      <c r="AA33" s="63"/>
      <c r="AB33" s="71">
        <f>0.25*4*AB31</f>
        <v>17.576893429177169</v>
      </c>
      <c r="AC33" s="63" t="s">
        <v>126</v>
      </c>
      <c r="AD33" s="63"/>
      <c r="AE33" s="63"/>
      <c r="AF33" s="66"/>
      <c r="AH33" s="42"/>
      <c r="AI33" s="43"/>
      <c r="AJ33" s="43"/>
      <c r="AK33" s="43">
        <f>AJ21+(2*AH27)+(2*AJ26)</f>
        <v>23.949124764548792</v>
      </c>
      <c r="AL33" s="43" t="s">
        <v>52</v>
      </c>
      <c r="AM33" s="43"/>
      <c r="AN33" s="43"/>
      <c r="AO33" s="3"/>
      <c r="AP33" s="3"/>
      <c r="AQ33" s="44"/>
      <c r="AY33" s="19">
        <v>14</v>
      </c>
      <c r="BF33" s="21">
        <v>6</v>
      </c>
    </row>
    <row r="34" spans="8:59" x14ac:dyDescent="0.25">
      <c r="H34" s="49" t="s">
        <v>189</v>
      </c>
      <c r="I34" s="3"/>
      <c r="J34" s="3"/>
      <c r="K34" s="44"/>
      <c r="O34" t="s">
        <v>617</v>
      </c>
      <c r="Y34" s="62" t="s">
        <v>132</v>
      </c>
      <c r="Z34" s="63"/>
      <c r="AA34" s="63" t="s">
        <v>133</v>
      </c>
      <c r="AB34" s="140">
        <f>AB33*1.1</f>
        <v>19.334582772094887</v>
      </c>
      <c r="AC34" s="63" t="s">
        <v>126</v>
      </c>
      <c r="AD34" s="63"/>
      <c r="AE34" s="63"/>
      <c r="AF34" s="66"/>
      <c r="AH34" s="45"/>
      <c r="AI34" s="46"/>
      <c r="AJ34" s="46"/>
      <c r="AK34" s="46"/>
      <c r="AL34" s="46"/>
      <c r="AM34" s="46"/>
      <c r="AN34" s="46"/>
      <c r="AO34" s="16"/>
      <c r="AP34" s="16"/>
      <c r="AQ34" s="17"/>
      <c r="AY34" s="19"/>
      <c r="BF34" s="21"/>
    </row>
    <row r="35" spans="8:59" x14ac:dyDescent="0.25">
      <c r="Y35" s="62" t="s">
        <v>360</v>
      </c>
      <c r="Z35" s="63"/>
      <c r="AA35" s="63"/>
      <c r="AB35" s="140">
        <f>AB34*8</f>
        <v>154.67666217675909</v>
      </c>
      <c r="AC35" s="63"/>
      <c r="AD35" s="63"/>
      <c r="AE35" s="63"/>
      <c r="AF35" s="66"/>
      <c r="AH35" s="32"/>
      <c r="AI35" s="28"/>
      <c r="AJ35" s="28"/>
      <c r="AK35" s="28"/>
      <c r="AL35" s="28"/>
      <c r="AM35" s="28"/>
      <c r="AN35" s="28"/>
      <c r="AQ35" s="21"/>
      <c r="AY35" s="19"/>
      <c r="BF35" s="21"/>
    </row>
    <row r="36" spans="8:59" x14ac:dyDescent="0.25">
      <c r="H36" t="s">
        <v>435</v>
      </c>
      <c r="Y36" s="82"/>
      <c r="Z36" s="76"/>
      <c r="AA36" s="76"/>
      <c r="AB36" s="76"/>
      <c r="AC36" s="76"/>
      <c r="AD36" s="76"/>
      <c r="AE36" s="76"/>
      <c r="AF36" s="77"/>
      <c r="AH36" s="32"/>
      <c r="AI36" s="28" t="s">
        <v>134</v>
      </c>
      <c r="AJ36" s="28"/>
      <c r="AK36" s="28">
        <f>AK33*(0.3333*4)</f>
        <v>31.928973136096449</v>
      </c>
      <c r="AL36" s="28" t="s">
        <v>126</v>
      </c>
      <c r="AM36" s="28"/>
      <c r="AN36" s="28"/>
      <c r="AQ36" s="21"/>
      <c r="AY36" s="19"/>
      <c r="BF36" s="21"/>
    </row>
    <row r="37" spans="8:59" x14ac:dyDescent="0.25">
      <c r="H37" s="10" t="s">
        <v>91</v>
      </c>
      <c r="I37" s="10">
        <v>1.33</v>
      </c>
      <c r="J37" s="10" t="s">
        <v>52</v>
      </c>
      <c r="K37" s="10"/>
      <c r="AH37" s="42"/>
      <c r="AI37" s="43" t="s">
        <v>135</v>
      </c>
      <c r="AJ37" s="43"/>
      <c r="AK37" s="43"/>
      <c r="AL37" s="43"/>
      <c r="AM37" s="43"/>
      <c r="AN37" s="43"/>
      <c r="AO37" s="3"/>
      <c r="AP37" s="3"/>
      <c r="AQ37" s="44"/>
      <c r="AY37" s="19"/>
      <c r="BF37" s="21"/>
    </row>
    <row r="38" spans="8:59" x14ac:dyDescent="0.25">
      <c r="H38" s="10" t="s">
        <v>100</v>
      </c>
      <c r="I38" s="41">
        <v>23.95</v>
      </c>
      <c r="J38" s="10" t="s">
        <v>52</v>
      </c>
      <c r="K38" s="10"/>
      <c r="AH38" s="14"/>
      <c r="AI38" s="16"/>
      <c r="AJ38" s="16"/>
      <c r="AK38" s="16"/>
      <c r="AL38" s="16"/>
      <c r="AM38" s="16"/>
      <c r="AN38" s="16"/>
      <c r="AO38" s="16"/>
      <c r="AP38" s="16"/>
      <c r="AQ38" s="17"/>
      <c r="AY38" s="19">
        <v>1.375</v>
      </c>
      <c r="BF38" s="21"/>
    </row>
    <row r="39" spans="8:59" x14ac:dyDescent="0.25">
      <c r="H39" s="10" t="s">
        <v>106</v>
      </c>
      <c r="I39" t="str">
        <f>'BUT-4-1580L'!$I$280</f>
        <v>End Crossframes</v>
      </c>
      <c r="K39" s="10"/>
      <c r="Y39" s="14"/>
      <c r="Z39" s="15" t="s">
        <v>384</v>
      </c>
      <c r="AA39" s="16"/>
      <c r="AB39" s="16"/>
      <c r="AC39" s="16"/>
      <c r="AD39" s="16"/>
      <c r="AE39" s="16"/>
      <c r="AF39" s="17"/>
      <c r="AH39" s="19"/>
      <c r="AI39" s="222" t="s">
        <v>136</v>
      </c>
      <c r="AQ39" s="21"/>
      <c r="AY39" s="19"/>
      <c r="BF39" s="21"/>
    </row>
    <row r="40" spans="8:59" x14ac:dyDescent="0.25">
      <c r="H40" s="10" t="s">
        <v>128</v>
      </c>
      <c r="I40" s="33">
        <v>8</v>
      </c>
      <c r="J40" s="35"/>
      <c r="K40" s="10"/>
      <c r="Y40" s="19"/>
      <c r="AA40" t="s">
        <v>101</v>
      </c>
      <c r="AD40" t="s">
        <v>627</v>
      </c>
      <c r="AF40" s="21"/>
      <c r="AH40" s="19"/>
      <c r="AI40" s="222"/>
      <c r="AK40">
        <f>AO18*AK33</f>
        <v>196.38282306930009</v>
      </c>
      <c r="AL40" t="s">
        <v>137</v>
      </c>
      <c r="AQ40" s="21"/>
      <c r="AY40" s="19"/>
      <c r="BB40">
        <f>AZ31+BC30</f>
        <v>57</v>
      </c>
      <c r="BF40" s="21"/>
    </row>
    <row r="41" spans="8:59" x14ac:dyDescent="0.25">
      <c r="H41" s="10" t="s">
        <v>112</v>
      </c>
      <c r="I41" s="10">
        <f>I38*I37*I40</f>
        <v>254.828</v>
      </c>
      <c r="J41" s="10" t="s">
        <v>113</v>
      </c>
      <c r="K41" s="10"/>
      <c r="Y41" s="19"/>
      <c r="AD41" s="25"/>
      <c r="AF41" s="21"/>
      <c r="AH41" s="49"/>
      <c r="AI41" s="228"/>
      <c r="AJ41" s="3"/>
      <c r="AK41" s="3"/>
      <c r="AL41" s="3"/>
      <c r="AM41" s="3"/>
      <c r="AN41" s="3"/>
      <c r="AO41" s="3"/>
      <c r="AP41" s="3"/>
      <c r="AQ41" s="44"/>
      <c r="AY41" s="49"/>
      <c r="AZ41" s="3"/>
      <c r="BA41" s="3"/>
      <c r="BB41" s="3"/>
      <c r="BC41" s="3"/>
      <c r="BD41" s="3"/>
      <c r="BE41" s="3"/>
      <c r="BF41" s="44"/>
    </row>
    <row r="42" spans="8:59" ht="29.7" x14ac:dyDescent="0.25">
      <c r="H42" s="106" t="s">
        <v>354</v>
      </c>
      <c r="I42" s="31">
        <f>I41*1.1</f>
        <v>280.31080000000003</v>
      </c>
      <c r="J42" s="10" t="s">
        <v>113</v>
      </c>
      <c r="K42" s="10"/>
      <c r="Y42" s="19"/>
      <c r="Z42" t="s">
        <v>114</v>
      </c>
      <c r="AA42" s="27">
        <v>7.875</v>
      </c>
      <c r="AB42" s="27" t="s">
        <v>52</v>
      </c>
      <c r="AC42" s="27"/>
      <c r="AF42" s="21"/>
      <c r="AH42" s="14"/>
      <c r="AI42" s="16"/>
      <c r="AJ42" s="16"/>
      <c r="AK42" s="16"/>
      <c r="AL42" s="16"/>
      <c r="AM42" s="16"/>
      <c r="AN42" s="16"/>
      <c r="AO42" s="16"/>
      <c r="AP42" s="16"/>
      <c r="AQ42" s="17"/>
    </row>
    <row r="43" spans="8:59" x14ac:dyDescent="0.25">
      <c r="I43" s="105"/>
      <c r="Y43" s="19"/>
      <c r="AA43" s="27"/>
      <c r="AB43" s="27"/>
      <c r="AC43" s="27"/>
      <c r="AF43" s="21"/>
      <c r="AH43" s="19"/>
      <c r="AQ43" s="21"/>
    </row>
    <row r="44" spans="8:59" x14ac:dyDescent="0.25">
      <c r="H44" t="s">
        <v>384</v>
      </c>
      <c r="Y44" s="19" t="s">
        <v>615</v>
      </c>
      <c r="Z44" s="28" t="s">
        <v>482</v>
      </c>
      <c r="AA44">
        <f>36-2*(1.44+1)</f>
        <v>31.12</v>
      </c>
      <c r="AB44" t="s">
        <v>92</v>
      </c>
      <c r="AD44" s="25"/>
      <c r="AF44" s="21"/>
      <c r="AH44" s="19"/>
      <c r="AI44" s="222" t="s">
        <v>138</v>
      </c>
      <c r="AK44">
        <f>1.1*AK40</f>
        <v>216.02110537623011</v>
      </c>
      <c r="AL44" t="s">
        <v>137</v>
      </c>
      <c r="AQ44" s="21"/>
    </row>
    <row r="45" spans="8:59" x14ac:dyDescent="0.25">
      <c r="H45" s="10" t="s">
        <v>344</v>
      </c>
      <c r="I45" s="10">
        <v>1</v>
      </c>
      <c r="J45" s="10" t="s">
        <v>52</v>
      </c>
      <c r="K45" s="10"/>
      <c r="Y45" s="107"/>
      <c r="AA45">
        <f>AA44/12</f>
        <v>2.5933333333333333</v>
      </c>
      <c r="AB45" t="s">
        <v>52</v>
      </c>
      <c r="AD45" s="25"/>
      <c r="AF45" s="21"/>
      <c r="AH45" s="49"/>
      <c r="AI45" s="228"/>
      <c r="AJ45" s="3"/>
      <c r="AK45" s="3"/>
      <c r="AL45" s="3"/>
      <c r="AM45" s="3"/>
      <c r="AN45" s="3"/>
      <c r="AO45" s="3"/>
      <c r="AP45" s="3"/>
      <c r="AQ45" s="44"/>
      <c r="AZ45" t="s">
        <v>374</v>
      </c>
    </row>
    <row r="46" spans="8:59" x14ac:dyDescent="0.25">
      <c r="H46" s="10" t="s">
        <v>345</v>
      </c>
      <c r="I46">
        <v>1</v>
      </c>
      <c r="J46" s="10" t="s">
        <v>52</v>
      </c>
      <c r="K46" s="10"/>
      <c r="Y46" s="19"/>
      <c r="AF46" s="21"/>
      <c r="AH46" s="14"/>
      <c r="AI46" s="16"/>
      <c r="AJ46" s="16"/>
      <c r="AK46" s="16"/>
      <c r="AL46" s="16"/>
      <c r="AM46" s="16"/>
      <c r="AN46" s="16"/>
      <c r="AO46" s="16"/>
      <c r="AP46" s="16"/>
      <c r="AQ46" s="17"/>
      <c r="BB46">
        <v>8</v>
      </c>
      <c r="BC46" t="s">
        <v>92</v>
      </c>
      <c r="BE46" t="s">
        <v>364</v>
      </c>
      <c r="BF46">
        <f>PI()*BB46/12*BD53</f>
        <v>43.982297150257104</v>
      </c>
    </row>
    <row r="47" spans="8:59" x14ac:dyDescent="0.25">
      <c r="H47" s="10" t="s">
        <v>346</v>
      </c>
      <c r="I47" s="41">
        <v>8.24</v>
      </c>
      <c r="J47" s="10" t="s">
        <v>52</v>
      </c>
      <c r="K47" s="10"/>
      <c r="Y47" s="19"/>
      <c r="AF47" s="21"/>
      <c r="AH47" s="19"/>
      <c r="AI47" s="222" t="s">
        <v>139</v>
      </c>
      <c r="AK47">
        <v>8</v>
      </c>
      <c r="AQ47" s="21"/>
      <c r="BE47" t="s">
        <v>358</v>
      </c>
      <c r="BF47">
        <v>0</v>
      </c>
      <c r="BG47" t="s">
        <v>116</v>
      </c>
    </row>
    <row r="48" spans="8:59" x14ac:dyDescent="0.25">
      <c r="H48" s="10" t="s">
        <v>347</v>
      </c>
      <c r="I48">
        <v>7.875</v>
      </c>
      <c r="J48" s="10" t="s">
        <v>52</v>
      </c>
      <c r="K48" s="10"/>
      <c r="Y48" s="19"/>
      <c r="AF48" s="21"/>
      <c r="AH48" s="19"/>
      <c r="AI48" s="222"/>
      <c r="AQ48" s="21"/>
      <c r="BE48" t="s">
        <v>361</v>
      </c>
      <c r="BF48">
        <f>BF46*BF47</f>
        <v>0</v>
      </c>
    </row>
    <row r="49" spans="1:59" x14ac:dyDescent="0.25">
      <c r="H49" s="10" t="s">
        <v>106</v>
      </c>
      <c r="I49" s="33" t="s">
        <v>193</v>
      </c>
      <c r="J49" s="35"/>
      <c r="K49" s="10"/>
      <c r="Y49" s="19"/>
      <c r="Z49">
        <f>(AA44-2)/12</f>
        <v>2.4266666666666667</v>
      </c>
      <c r="AA49" t="s">
        <v>2</v>
      </c>
      <c r="AC49">
        <f>SQRT((AB52)^2+(Z49)^2)</f>
        <v>8.2404087344688861</v>
      </c>
      <c r="AD49" t="s">
        <v>2</v>
      </c>
      <c r="AF49" s="21"/>
      <c r="AH49" s="49"/>
      <c r="AI49" s="3"/>
      <c r="AJ49" s="3"/>
      <c r="AK49" s="3"/>
      <c r="AL49" s="3"/>
      <c r="AM49" s="3"/>
      <c r="AN49" s="3"/>
      <c r="AO49" s="3"/>
      <c r="AP49" s="3"/>
      <c r="AQ49" s="44"/>
      <c r="BE49" t="s">
        <v>367</v>
      </c>
      <c r="BF49" s="7">
        <f>BF48*1.1</f>
        <v>0</v>
      </c>
      <c r="BG49" t="s">
        <v>40</v>
      </c>
    </row>
    <row r="50" spans="1:59" ht="103.95" x14ac:dyDescent="0.25">
      <c r="H50" s="10" t="s">
        <v>128</v>
      </c>
      <c r="I50" s="33">
        <v>24</v>
      </c>
      <c r="J50" s="35"/>
      <c r="K50" s="10"/>
      <c r="Y50" s="19"/>
      <c r="Z50">
        <f>Z49*12</f>
        <v>29.12</v>
      </c>
      <c r="AF50" s="21"/>
      <c r="AH50" s="33"/>
      <c r="AI50" s="53" t="s">
        <v>140</v>
      </c>
      <c r="AJ50" s="34"/>
      <c r="AK50" s="34">
        <f>AK44*AK47</f>
        <v>1728.1688430098409</v>
      </c>
      <c r="AL50" s="34" t="s">
        <v>137</v>
      </c>
      <c r="AM50" s="34"/>
      <c r="AN50" s="34"/>
      <c r="AO50" s="34"/>
      <c r="AP50" s="34"/>
      <c r="AQ50" s="35"/>
    </row>
    <row r="51" spans="1:59" x14ac:dyDescent="0.25">
      <c r="H51" s="10" t="s">
        <v>112</v>
      </c>
      <c r="I51" s="10">
        <f>((I47*I45)*2+(I46*I48)*1)*I50</f>
        <v>584.52</v>
      </c>
      <c r="J51" s="10" t="s">
        <v>113</v>
      </c>
      <c r="K51" s="10"/>
      <c r="Y51" s="19"/>
      <c r="AF51" s="21"/>
    </row>
    <row r="52" spans="1:59" ht="29.7" x14ac:dyDescent="0.25">
      <c r="H52" s="106" t="s">
        <v>354</v>
      </c>
      <c r="I52" s="31">
        <f>I51*1.1</f>
        <v>642.97199999999998</v>
      </c>
      <c r="J52" s="10" t="s">
        <v>113</v>
      </c>
      <c r="K52" s="10"/>
      <c r="Y52" s="19"/>
      <c r="AB52" s="27">
        <f>AA42</f>
        <v>7.875</v>
      </c>
      <c r="AF52" s="21"/>
    </row>
    <row r="53" spans="1:59" x14ac:dyDescent="0.25">
      <c r="Y53" s="19"/>
      <c r="AF53" s="21"/>
      <c r="BD53">
        <v>21</v>
      </c>
      <c r="BE53" t="s">
        <v>52</v>
      </c>
    </row>
    <row r="54" spans="1:59" x14ac:dyDescent="0.25">
      <c r="Y54" s="19"/>
      <c r="AF54" s="21"/>
    </row>
    <row r="55" spans="1:59" x14ac:dyDescent="0.25">
      <c r="H55" t="s">
        <v>385</v>
      </c>
      <c r="Y55" s="19" t="s">
        <v>607</v>
      </c>
      <c r="AB55" s="27">
        <f>(1*AB52)</f>
        <v>7.875</v>
      </c>
      <c r="AC55" t="s">
        <v>125</v>
      </c>
      <c r="AF55" s="21"/>
    </row>
    <row r="56" spans="1:59" x14ac:dyDescent="0.25">
      <c r="H56" s="10" t="s">
        <v>91</v>
      </c>
      <c r="I56" s="10">
        <f>0</f>
        <v>0</v>
      </c>
      <c r="J56" s="10" t="s">
        <v>52</v>
      </c>
      <c r="K56" s="10"/>
      <c r="Y56" s="19" t="s">
        <v>349</v>
      </c>
      <c r="AB56">
        <f>AC49</f>
        <v>8.2404087344688861</v>
      </c>
      <c r="AC56" t="s">
        <v>125</v>
      </c>
      <c r="AF56" s="21"/>
    </row>
    <row r="57" spans="1:59" x14ac:dyDescent="0.25">
      <c r="H57" s="10" t="s">
        <v>100</v>
      </c>
      <c r="I57" s="41">
        <f>0</f>
        <v>0</v>
      </c>
      <c r="J57" s="10" t="s">
        <v>52</v>
      </c>
      <c r="K57" s="10"/>
      <c r="Y57" s="48" t="s">
        <v>350</v>
      </c>
      <c r="AB57" s="1">
        <f>2*(0.25*4*AB56)+(0.25*4*AB55)</f>
        <v>24.355817468937772</v>
      </c>
      <c r="AC57" t="s">
        <v>126</v>
      </c>
      <c r="AF57" s="21"/>
    </row>
    <row r="58" spans="1:59" x14ac:dyDescent="0.25">
      <c r="H58" s="10" t="s">
        <v>106</v>
      </c>
      <c r="I58" t="s">
        <v>385</v>
      </c>
      <c r="K58" s="10"/>
      <c r="Y58" s="19" t="s">
        <v>132</v>
      </c>
      <c r="AA58" t="s">
        <v>133</v>
      </c>
      <c r="AB58" s="27">
        <f>AB57*1.1</f>
        <v>26.79139921583155</v>
      </c>
      <c r="AC58" t="s">
        <v>126</v>
      </c>
      <c r="AF58" s="21"/>
    </row>
    <row r="59" spans="1:59" x14ac:dyDescent="0.25">
      <c r="H59" s="10" t="s">
        <v>128</v>
      </c>
      <c r="I59" s="33">
        <v>0</v>
      </c>
      <c r="J59" s="35"/>
      <c r="K59" s="10"/>
      <c r="Y59" s="49" t="s">
        <v>438</v>
      </c>
      <c r="Z59" s="3"/>
      <c r="AA59" s="3"/>
      <c r="AB59" s="135">
        <f>AB55+2*AB56</f>
        <v>24.355817468937772</v>
      </c>
      <c r="AC59" s="3"/>
      <c r="AD59" s="3"/>
      <c r="AE59" s="3"/>
      <c r="AF59" s="44"/>
    </row>
    <row r="60" spans="1:59" x14ac:dyDescent="0.25">
      <c r="H60" s="10" t="s">
        <v>112</v>
      </c>
      <c r="I60" s="10">
        <f>I57*I56*I59</f>
        <v>0</v>
      </c>
      <c r="J60" s="10" t="s">
        <v>113</v>
      </c>
      <c r="K60" s="10"/>
      <c r="Y60" s="19" t="s">
        <v>614</v>
      </c>
      <c r="AB60">
        <f>AB57*24*1.1</f>
        <v>642.99358117995723</v>
      </c>
    </row>
    <row r="61" spans="1:59" ht="29.7" x14ac:dyDescent="0.25">
      <c r="H61" s="106" t="s">
        <v>354</v>
      </c>
      <c r="I61" s="31">
        <f>I60*1.1</f>
        <v>0</v>
      </c>
      <c r="J61" s="10" t="s">
        <v>113</v>
      </c>
      <c r="K61" s="10"/>
    </row>
    <row r="63" spans="1:59" x14ac:dyDescent="0.25">
      <c r="A63" s="130" t="s">
        <v>416</v>
      </c>
    </row>
    <row r="64" spans="1:59" x14ac:dyDescent="0.25">
      <c r="A64" s="7" t="s">
        <v>57</v>
      </c>
      <c r="B64" s="7"/>
      <c r="C64" s="7">
        <v>0</v>
      </c>
      <c r="D64" s="7" t="s">
        <v>116</v>
      </c>
    </row>
    <row r="66" spans="1:5" x14ac:dyDescent="0.25">
      <c r="A66" s="130" t="s">
        <v>415</v>
      </c>
      <c r="B66" s="6"/>
      <c r="C66" s="6"/>
    </row>
    <row r="67" spans="1:5" x14ac:dyDescent="0.25">
      <c r="A67" s="7" t="s">
        <v>409</v>
      </c>
      <c r="B67" s="7"/>
      <c r="C67" s="127">
        <f>0</f>
        <v>0</v>
      </c>
      <c r="D67" s="7" t="s">
        <v>137</v>
      </c>
      <c r="E67" s="7"/>
    </row>
  </sheetData>
  <mergeCells count="6">
    <mergeCell ref="AI47:AI48"/>
    <mergeCell ref="A11:J13"/>
    <mergeCell ref="Y18:AF18"/>
    <mergeCell ref="AH19:AN19"/>
    <mergeCell ref="AI39:AI41"/>
    <mergeCell ref="AI44:AI45"/>
  </mergeCells>
  <pageMargins left="0.7" right="0.7" top="0.75" bottom="0.75" header="0.3" footer="0.3"/>
  <pageSetup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69"/>
  <sheetViews>
    <sheetView topLeftCell="A118" workbookViewId="0">
      <selection activeCell="C20" sqref="C20"/>
    </sheetView>
  </sheetViews>
  <sheetFormatPr defaultRowHeight="14.85" x14ac:dyDescent="0.25"/>
  <cols>
    <col min="3" max="3" width="15.42578125" customWidth="1"/>
  </cols>
  <sheetData>
    <row r="1" spans="1:5" x14ac:dyDescent="0.25">
      <c r="A1" s="2" t="s">
        <v>163</v>
      </c>
    </row>
    <row r="2" spans="1:5" x14ac:dyDescent="0.25">
      <c r="A2" t="s">
        <v>199</v>
      </c>
      <c r="D2">
        <f>4</f>
        <v>4</v>
      </c>
      <c r="E2" t="s">
        <v>125</v>
      </c>
    </row>
    <row r="3" spans="1:5" x14ac:dyDescent="0.25">
      <c r="A3" t="s">
        <v>200</v>
      </c>
      <c r="D3">
        <v>15</v>
      </c>
      <c r="E3" t="s">
        <v>125</v>
      </c>
    </row>
    <row r="4" spans="1:5" x14ac:dyDescent="0.25">
      <c r="A4" t="s">
        <v>164</v>
      </c>
      <c r="D4">
        <v>2.25</v>
      </c>
      <c r="E4" t="s">
        <v>125</v>
      </c>
    </row>
    <row r="5" spans="1:5" x14ac:dyDescent="0.25">
      <c r="A5" t="s">
        <v>156</v>
      </c>
      <c r="D5">
        <v>2</v>
      </c>
    </row>
    <row r="7" spans="1:5" x14ac:dyDescent="0.25">
      <c r="A7" t="s">
        <v>151</v>
      </c>
      <c r="D7">
        <f>D2*D3*D4*D5</f>
        <v>270</v>
      </c>
      <c r="E7" t="s">
        <v>161</v>
      </c>
    </row>
    <row r="8" spans="1:5" x14ac:dyDescent="0.25">
      <c r="A8" t="s">
        <v>152</v>
      </c>
      <c r="D8" s="3">
        <f>D2*D3*D4*D5</f>
        <v>270</v>
      </c>
      <c r="E8" s="3" t="s">
        <v>161</v>
      </c>
    </row>
    <row r="9" spans="1:5" x14ac:dyDescent="0.25">
      <c r="A9" t="s">
        <v>157</v>
      </c>
      <c r="D9">
        <f>SUM(D7:D8)</f>
        <v>540</v>
      </c>
      <c r="E9" t="s">
        <v>161</v>
      </c>
    </row>
    <row r="10" spans="1:5" x14ac:dyDescent="0.25">
      <c r="A10" t="s">
        <v>157</v>
      </c>
      <c r="D10">
        <f>ROUNDUP(D9/27,0)</f>
        <v>20</v>
      </c>
      <c r="E10" t="s">
        <v>162</v>
      </c>
    </row>
    <row r="12" spans="1:5" x14ac:dyDescent="0.25">
      <c r="A12" s="2" t="s">
        <v>165</v>
      </c>
    </row>
    <row r="13" spans="1:5" x14ac:dyDescent="0.25">
      <c r="A13" t="s">
        <v>154</v>
      </c>
      <c r="D13">
        <v>1</v>
      </c>
      <c r="E13" t="s">
        <v>125</v>
      </c>
    </row>
    <row r="14" spans="1:5" x14ac:dyDescent="0.25">
      <c r="A14" t="s">
        <v>155</v>
      </c>
      <c r="D14">
        <v>15</v>
      </c>
      <c r="E14" t="s">
        <v>125</v>
      </c>
    </row>
    <row r="15" spans="1:5" x14ac:dyDescent="0.25">
      <c r="A15" t="s">
        <v>164</v>
      </c>
      <c r="D15">
        <v>2.25</v>
      </c>
      <c r="E15" t="s">
        <v>125</v>
      </c>
    </row>
    <row r="16" spans="1:5" x14ac:dyDescent="0.25">
      <c r="A16" t="s">
        <v>156</v>
      </c>
      <c r="D16">
        <v>2</v>
      </c>
    </row>
    <row r="18" spans="1:5" x14ac:dyDescent="0.25">
      <c r="A18" t="s">
        <v>151</v>
      </c>
      <c r="D18">
        <f>D13*D14*D15*D16</f>
        <v>67.5</v>
      </c>
      <c r="E18" t="s">
        <v>161</v>
      </c>
    </row>
    <row r="19" spans="1:5" x14ac:dyDescent="0.25">
      <c r="A19" t="s">
        <v>152</v>
      </c>
      <c r="D19" s="3">
        <f>D13*D14*D15*D16</f>
        <v>67.5</v>
      </c>
      <c r="E19" s="3" t="s">
        <v>161</v>
      </c>
    </row>
    <row r="20" spans="1:5" x14ac:dyDescent="0.25">
      <c r="A20" t="s">
        <v>157</v>
      </c>
      <c r="D20">
        <f>SUM(D18:D19)</f>
        <v>135</v>
      </c>
      <c r="E20" t="s">
        <v>161</v>
      </c>
    </row>
    <row r="21" spans="1:5" x14ac:dyDescent="0.25">
      <c r="A21" t="s">
        <v>157</v>
      </c>
      <c r="D21">
        <f>ROUNDUP(D20/27,0)</f>
        <v>5</v>
      </c>
      <c r="E21" t="s">
        <v>162</v>
      </c>
    </row>
    <row r="24" spans="1:5" x14ac:dyDescent="0.25">
      <c r="A24" s="2" t="s">
        <v>153</v>
      </c>
    </row>
    <row r="25" spans="1:5" x14ac:dyDescent="0.25">
      <c r="A25" s="2"/>
    </row>
    <row r="26" spans="1:5" x14ac:dyDescent="0.25">
      <c r="A26" t="s">
        <v>154</v>
      </c>
      <c r="D26">
        <v>2</v>
      </c>
      <c r="E26" t="s">
        <v>125</v>
      </c>
    </row>
    <row r="27" spans="1:5" x14ac:dyDescent="0.25">
      <c r="A27" t="s">
        <v>155</v>
      </c>
      <c r="D27">
        <v>15</v>
      </c>
      <c r="E27" t="s">
        <v>125</v>
      </c>
    </row>
    <row r="28" spans="1:5" x14ac:dyDescent="0.25">
      <c r="A28" t="s">
        <v>156</v>
      </c>
      <c r="D28">
        <v>2</v>
      </c>
    </row>
    <row r="30" spans="1:5" x14ac:dyDescent="0.25">
      <c r="A30" t="s">
        <v>151</v>
      </c>
      <c r="D30">
        <f>D26*D27*D28</f>
        <v>60</v>
      </c>
      <c r="E30" t="s">
        <v>126</v>
      </c>
    </row>
    <row r="31" spans="1:5" x14ac:dyDescent="0.25">
      <c r="A31" t="s">
        <v>152</v>
      </c>
      <c r="D31" s="3">
        <f>D26*D27*D28</f>
        <v>60</v>
      </c>
      <c r="E31" s="3" t="s">
        <v>126</v>
      </c>
    </row>
    <row r="32" spans="1:5" x14ac:dyDescent="0.25">
      <c r="A32" t="s">
        <v>157</v>
      </c>
      <c r="D32">
        <f>SUM(D30:D31)</f>
        <v>120</v>
      </c>
      <c r="E32" t="s">
        <v>126</v>
      </c>
    </row>
    <row r="33" spans="1:5" x14ac:dyDescent="0.25">
      <c r="A33" t="s">
        <v>157</v>
      </c>
      <c r="D33">
        <f>ROUNDUP(D32/9,0)</f>
        <v>14</v>
      </c>
      <c r="E33" t="s">
        <v>158</v>
      </c>
    </row>
    <row r="36" spans="1:5" x14ac:dyDescent="0.25">
      <c r="A36" s="2" t="s">
        <v>159</v>
      </c>
    </row>
    <row r="37" spans="1:5" x14ac:dyDescent="0.25">
      <c r="A37" t="s">
        <v>154</v>
      </c>
      <c r="D37">
        <v>2</v>
      </c>
      <c r="E37" t="s">
        <v>125</v>
      </c>
    </row>
    <row r="38" spans="1:5" x14ac:dyDescent="0.25">
      <c r="A38" t="s">
        <v>155</v>
      </c>
      <c r="D38">
        <v>15</v>
      </c>
      <c r="E38" t="s">
        <v>125</v>
      </c>
    </row>
    <row r="39" spans="1:5" x14ac:dyDescent="0.25">
      <c r="A39" t="s">
        <v>160</v>
      </c>
      <c r="D39">
        <v>0.5</v>
      </c>
      <c r="E39" t="s">
        <v>125</v>
      </c>
    </row>
    <row r="40" spans="1:5" x14ac:dyDescent="0.25">
      <c r="A40" t="s">
        <v>156</v>
      </c>
      <c r="D40">
        <v>2</v>
      </c>
    </row>
    <row r="42" spans="1:5" x14ac:dyDescent="0.25">
      <c r="A42" t="s">
        <v>151</v>
      </c>
      <c r="D42">
        <f>D37*D38*D39*D40</f>
        <v>30</v>
      </c>
      <c r="E42" t="s">
        <v>161</v>
      </c>
    </row>
    <row r="43" spans="1:5" x14ac:dyDescent="0.25">
      <c r="A43" t="s">
        <v>152</v>
      </c>
      <c r="D43" s="3">
        <f>D37*D38*D39*D40</f>
        <v>30</v>
      </c>
      <c r="E43" s="3" t="s">
        <v>161</v>
      </c>
    </row>
    <row r="44" spans="1:5" x14ac:dyDescent="0.25">
      <c r="A44" t="s">
        <v>157</v>
      </c>
      <c r="D44">
        <f>SUM(D42:D43)</f>
        <v>60</v>
      </c>
      <c r="E44" t="s">
        <v>161</v>
      </c>
    </row>
    <row r="45" spans="1:5" x14ac:dyDescent="0.25">
      <c r="A45" t="s">
        <v>157</v>
      </c>
      <c r="D45">
        <f>ROUNDUP(D44/27,0)</f>
        <v>3</v>
      </c>
      <c r="E45" t="s">
        <v>162</v>
      </c>
    </row>
    <row r="47" spans="1:5" x14ac:dyDescent="0.25">
      <c r="A47" s="2" t="s">
        <v>44</v>
      </c>
    </row>
    <row r="49" spans="1:5" x14ac:dyDescent="0.25">
      <c r="A49" t="s">
        <v>151</v>
      </c>
      <c r="D49">
        <f>30*2</f>
        <v>60</v>
      </c>
    </row>
    <row r="50" spans="1:5" x14ac:dyDescent="0.25">
      <c r="A50" t="s">
        <v>152</v>
      </c>
      <c r="D50" s="3">
        <f>30*2</f>
        <v>60</v>
      </c>
    </row>
    <row r="51" spans="1:5" x14ac:dyDescent="0.25">
      <c r="D51" s="7">
        <f>SUM(D49:D50)</f>
        <v>120</v>
      </c>
    </row>
    <row r="54" spans="1:5" x14ac:dyDescent="0.25">
      <c r="A54" s="2" t="s">
        <v>47</v>
      </c>
    </row>
    <row r="56" spans="1:5" x14ac:dyDescent="0.25">
      <c r="A56" t="s">
        <v>167</v>
      </c>
    </row>
    <row r="58" spans="1:5" x14ac:dyDescent="0.25">
      <c r="A58" t="s">
        <v>154</v>
      </c>
      <c r="D58">
        <v>1.5</v>
      </c>
      <c r="E58" t="s">
        <v>125</v>
      </c>
    </row>
    <row r="59" spans="1:5" x14ac:dyDescent="0.25">
      <c r="A59" t="s">
        <v>155</v>
      </c>
      <c r="D59">
        <v>14</v>
      </c>
      <c r="E59" t="s">
        <v>125</v>
      </c>
    </row>
    <row r="60" spans="1:5" x14ac:dyDescent="0.25">
      <c r="A60" t="s">
        <v>166</v>
      </c>
      <c r="D60">
        <v>1.25</v>
      </c>
      <c r="E60" t="s">
        <v>125</v>
      </c>
    </row>
    <row r="61" spans="1:5" x14ac:dyDescent="0.25">
      <c r="A61" t="s">
        <v>156</v>
      </c>
      <c r="D61">
        <v>2</v>
      </c>
    </row>
    <row r="63" spans="1:5" x14ac:dyDescent="0.25">
      <c r="A63" t="s">
        <v>151</v>
      </c>
      <c r="D63">
        <f>D58*D59*D60*D61</f>
        <v>52.5</v>
      </c>
      <c r="E63" t="s">
        <v>161</v>
      </c>
    </row>
    <row r="64" spans="1:5" x14ac:dyDescent="0.25">
      <c r="A64" t="s">
        <v>152</v>
      </c>
      <c r="D64" s="3">
        <f>D58*D59*D60*D61</f>
        <v>52.5</v>
      </c>
      <c r="E64" s="3" t="s">
        <v>161</v>
      </c>
    </row>
    <row r="65" spans="1:5" x14ac:dyDescent="0.25">
      <c r="A65" t="s">
        <v>157</v>
      </c>
      <c r="D65">
        <f>SUM(D63:D64)</f>
        <v>105</v>
      </c>
      <c r="E65" t="s">
        <v>161</v>
      </c>
    </row>
    <row r="66" spans="1:5" x14ac:dyDescent="0.25">
      <c r="A66" t="s">
        <v>157</v>
      </c>
      <c r="D66">
        <f>ROUNDUP(D65/27,0)</f>
        <v>4</v>
      </c>
      <c r="E66" t="s">
        <v>162</v>
      </c>
    </row>
    <row r="69" spans="1:5" x14ac:dyDescent="0.25">
      <c r="A69" t="s">
        <v>168</v>
      </c>
    </row>
    <row r="71" spans="1:5" x14ac:dyDescent="0.25">
      <c r="A71" t="s">
        <v>169</v>
      </c>
      <c r="D71">
        <v>3.5</v>
      </c>
      <c r="E71" t="s">
        <v>126</v>
      </c>
    </row>
    <row r="72" spans="1:5" x14ac:dyDescent="0.25">
      <c r="A72" t="s">
        <v>170</v>
      </c>
      <c r="D72">
        <v>14</v>
      </c>
      <c r="E72" t="s">
        <v>125</v>
      </c>
    </row>
    <row r="73" spans="1:5" x14ac:dyDescent="0.25">
      <c r="A73" t="s">
        <v>171</v>
      </c>
      <c r="D73">
        <f>D71*D72</f>
        <v>49</v>
      </c>
      <c r="E73" t="s">
        <v>173</v>
      </c>
    </row>
    <row r="74" spans="1:5" x14ac:dyDescent="0.25">
      <c r="A74" t="s">
        <v>172</v>
      </c>
      <c r="D74">
        <v>2</v>
      </c>
    </row>
    <row r="75" spans="1:5" x14ac:dyDescent="0.25">
      <c r="A75" t="s">
        <v>157</v>
      </c>
      <c r="D75">
        <f>D73*D74</f>
        <v>98</v>
      </c>
      <c r="E75" t="s">
        <v>161</v>
      </c>
    </row>
    <row r="76" spans="1:5" x14ac:dyDescent="0.25">
      <c r="D76">
        <f>ROUNDUP(D75/9,0)</f>
        <v>11</v>
      </c>
      <c r="E76" t="s">
        <v>162</v>
      </c>
    </row>
    <row r="79" spans="1:5" x14ac:dyDescent="0.25">
      <c r="A79" t="s">
        <v>196</v>
      </c>
    </row>
    <row r="81" spans="1:5" x14ac:dyDescent="0.25">
      <c r="A81" t="s">
        <v>154</v>
      </c>
      <c r="D81">
        <v>1.5</v>
      </c>
      <c r="E81" t="s">
        <v>125</v>
      </c>
    </row>
    <row r="82" spans="1:5" x14ac:dyDescent="0.25">
      <c r="A82" t="s">
        <v>155</v>
      </c>
      <c r="D82">
        <v>14</v>
      </c>
      <c r="E82" t="s">
        <v>125</v>
      </c>
    </row>
    <row r="83" spans="1:5" x14ac:dyDescent="0.25">
      <c r="A83" t="s">
        <v>166</v>
      </c>
      <c r="D83">
        <v>1.25</v>
      </c>
      <c r="E83" t="s">
        <v>125</v>
      </c>
    </row>
    <row r="84" spans="1:5" x14ac:dyDescent="0.25">
      <c r="A84" t="s">
        <v>156</v>
      </c>
      <c r="D84">
        <v>2</v>
      </c>
    </row>
    <row r="86" spans="1:5" x14ac:dyDescent="0.25">
      <c r="A86" t="s">
        <v>151</v>
      </c>
      <c r="D86">
        <f>D81*D82*D83*D84</f>
        <v>52.5</v>
      </c>
      <c r="E86" t="s">
        <v>161</v>
      </c>
    </row>
    <row r="87" spans="1:5" x14ac:dyDescent="0.25">
      <c r="A87" t="s">
        <v>152</v>
      </c>
      <c r="D87" s="3">
        <f>D81*D82*D83*D84</f>
        <v>52.5</v>
      </c>
      <c r="E87" s="3" t="s">
        <v>161</v>
      </c>
    </row>
    <row r="88" spans="1:5" x14ac:dyDescent="0.25">
      <c r="A88" t="s">
        <v>157</v>
      </c>
      <c r="D88">
        <f>SUM(D86:D87)</f>
        <v>105</v>
      </c>
      <c r="E88" t="s">
        <v>161</v>
      </c>
    </row>
    <row r="89" spans="1:5" x14ac:dyDescent="0.25">
      <c r="A89" t="s">
        <v>157</v>
      </c>
      <c r="D89">
        <f>ROUNDUP(D88/27,0)</f>
        <v>4</v>
      </c>
      <c r="E89" t="s">
        <v>162</v>
      </c>
    </row>
    <row r="92" spans="1:5" x14ac:dyDescent="0.25">
      <c r="A92" t="s">
        <v>197</v>
      </c>
    </row>
    <row r="94" spans="1:5" x14ac:dyDescent="0.25">
      <c r="A94" t="s">
        <v>169</v>
      </c>
      <c r="D94">
        <v>3.5</v>
      </c>
      <c r="E94" t="s">
        <v>126</v>
      </c>
    </row>
    <row r="95" spans="1:5" x14ac:dyDescent="0.25">
      <c r="A95" t="s">
        <v>170</v>
      </c>
      <c r="D95">
        <v>14</v>
      </c>
      <c r="E95" t="s">
        <v>125</v>
      </c>
    </row>
    <row r="96" spans="1:5" x14ac:dyDescent="0.25">
      <c r="A96" t="s">
        <v>171</v>
      </c>
      <c r="D96">
        <f>D94*D95</f>
        <v>49</v>
      </c>
      <c r="E96" t="s">
        <v>173</v>
      </c>
    </row>
    <row r="97" spans="1:7" x14ac:dyDescent="0.25">
      <c r="A97" t="s">
        <v>172</v>
      </c>
      <c r="D97">
        <v>2</v>
      </c>
    </row>
    <row r="98" spans="1:7" x14ac:dyDescent="0.25">
      <c r="A98" t="s">
        <v>157</v>
      </c>
      <c r="D98">
        <f>D96*D97</f>
        <v>98</v>
      </c>
      <c r="E98" t="s">
        <v>161</v>
      </c>
    </row>
    <row r="99" spans="1:7" x14ac:dyDescent="0.25">
      <c r="D99">
        <f>ROUNDUP(D98/9,0)</f>
        <v>11</v>
      </c>
      <c r="E99" t="s">
        <v>162</v>
      </c>
    </row>
    <row r="101" spans="1:7" x14ac:dyDescent="0.25">
      <c r="A101" t="s">
        <v>90</v>
      </c>
      <c r="D101">
        <f>D66+D76+D89+D99</f>
        <v>30</v>
      </c>
      <c r="E101" t="s">
        <v>162</v>
      </c>
    </row>
    <row r="105" spans="1:7" x14ac:dyDescent="0.25">
      <c r="A105" s="2" t="s">
        <v>20</v>
      </c>
    </row>
    <row r="107" spans="1:7" x14ac:dyDescent="0.25">
      <c r="A107" t="s">
        <v>11</v>
      </c>
      <c r="D107">
        <v>25</v>
      </c>
      <c r="E107" t="s">
        <v>2</v>
      </c>
    </row>
    <row r="108" spans="1:7" x14ac:dyDescent="0.25">
      <c r="A108" t="s">
        <v>10</v>
      </c>
      <c r="D108">
        <v>66.83</v>
      </c>
      <c r="E108" t="s">
        <v>2</v>
      </c>
      <c r="F108" t="s">
        <v>21</v>
      </c>
    </row>
    <row r="109" spans="1:7" x14ac:dyDescent="0.25">
      <c r="A109" t="s">
        <v>12</v>
      </c>
      <c r="D109">
        <v>2</v>
      </c>
    </row>
    <row r="110" spans="1:7" x14ac:dyDescent="0.25">
      <c r="A110" t="s">
        <v>22</v>
      </c>
      <c r="D110">
        <f>D107*D108*D109</f>
        <v>3341.5</v>
      </c>
      <c r="E110" t="s">
        <v>23</v>
      </c>
      <c r="F110">
        <f>D110/9</f>
        <v>371.27777777777777</v>
      </c>
      <c r="G110" t="s">
        <v>24</v>
      </c>
    </row>
    <row r="112" spans="1:7" x14ac:dyDescent="0.25">
      <c r="A112" t="s">
        <v>25</v>
      </c>
      <c r="D112">
        <f>(12104.92-11895.08)</f>
        <v>209.84000000000015</v>
      </c>
      <c r="E112" t="s">
        <v>2</v>
      </c>
      <c r="F112" t="s">
        <v>27</v>
      </c>
    </row>
    <row r="113" spans="1:7" x14ac:dyDescent="0.25">
      <c r="A113" t="s">
        <v>26</v>
      </c>
      <c r="D113">
        <v>66.83</v>
      </c>
      <c r="E113" t="s">
        <v>2</v>
      </c>
      <c r="F113" t="s">
        <v>21</v>
      </c>
    </row>
    <row r="114" spans="1:7" x14ac:dyDescent="0.25">
      <c r="A114" t="s">
        <v>36</v>
      </c>
      <c r="D114">
        <f>D112*D113</f>
        <v>14023.607200000009</v>
      </c>
      <c r="E114" t="s">
        <v>23</v>
      </c>
      <c r="F114">
        <f>D114/9</f>
        <v>1558.1785777777789</v>
      </c>
      <c r="G114" t="s">
        <v>24</v>
      </c>
    </row>
    <row r="116" spans="1:7" x14ac:dyDescent="0.25">
      <c r="A116" t="s">
        <v>28</v>
      </c>
      <c r="B116">
        <f>ROUNDUP(F110+F114,0)</f>
        <v>1930</v>
      </c>
      <c r="C116" t="s">
        <v>24</v>
      </c>
    </row>
    <row r="118" spans="1:7" x14ac:dyDescent="0.25">
      <c r="A118" s="2" t="s">
        <v>0</v>
      </c>
    </row>
    <row r="120" spans="1:7" x14ac:dyDescent="0.25">
      <c r="A120" t="s">
        <v>1</v>
      </c>
      <c r="C120">
        <v>1.83</v>
      </c>
      <c r="D120" t="s">
        <v>2</v>
      </c>
    </row>
    <row r="121" spans="1:7" x14ac:dyDescent="0.25">
      <c r="A121" t="s">
        <v>4</v>
      </c>
      <c r="C121">
        <v>66.83</v>
      </c>
      <c r="D121" t="s">
        <v>2</v>
      </c>
      <c r="E121" t="s">
        <v>35</v>
      </c>
    </row>
    <row r="122" spans="1:7" x14ac:dyDescent="0.25">
      <c r="A122" t="s">
        <v>30</v>
      </c>
      <c r="C122">
        <f>21+(42/60)+(40/3600)</f>
        <v>21.711111111111112</v>
      </c>
      <c r="D122" t="s">
        <v>31</v>
      </c>
    </row>
    <row r="123" spans="1:7" x14ac:dyDescent="0.25">
      <c r="A123" t="s">
        <v>5</v>
      </c>
      <c r="C123" s="1">
        <f>C121/COS(RADIANS(C122))</f>
        <v>71.932855577895936</v>
      </c>
      <c r="D123" t="s">
        <v>2</v>
      </c>
    </row>
    <row r="124" spans="1:7" x14ac:dyDescent="0.25">
      <c r="A124" t="s">
        <v>3</v>
      </c>
      <c r="C124">
        <v>0.25</v>
      </c>
      <c r="D124" t="s">
        <v>2</v>
      </c>
    </row>
    <row r="126" spans="1:7" x14ac:dyDescent="0.25">
      <c r="A126" t="s">
        <v>6</v>
      </c>
      <c r="C126">
        <v>2</v>
      </c>
    </row>
    <row r="128" spans="1:7" x14ac:dyDescent="0.25">
      <c r="A128" t="s">
        <v>7</v>
      </c>
      <c r="C128" s="1">
        <f>C120*C123*C124*C126/27</f>
        <v>2.4377245501398068</v>
      </c>
      <c r="D128" t="s">
        <v>8</v>
      </c>
    </row>
    <row r="131" spans="1:5" x14ac:dyDescent="0.25">
      <c r="A131" s="2" t="s">
        <v>41</v>
      </c>
    </row>
    <row r="132" spans="1:5" x14ac:dyDescent="0.25">
      <c r="A132" t="s">
        <v>198</v>
      </c>
    </row>
    <row r="133" spans="1:5" x14ac:dyDescent="0.25">
      <c r="A133" t="s">
        <v>37</v>
      </c>
      <c r="D133">
        <v>5</v>
      </c>
      <c r="E133" t="s">
        <v>2</v>
      </c>
    </row>
    <row r="134" spans="1:5" x14ac:dyDescent="0.25">
      <c r="A134" t="s">
        <v>38</v>
      </c>
      <c r="D134">
        <v>8</v>
      </c>
      <c r="E134" t="s">
        <v>2</v>
      </c>
    </row>
    <row r="136" spans="1:5" x14ac:dyDescent="0.25">
      <c r="A136" t="s">
        <v>42</v>
      </c>
      <c r="C136">
        <f>D133*D134</f>
        <v>40</v>
      </c>
      <c r="D136" t="s">
        <v>40</v>
      </c>
    </row>
    <row r="138" spans="1:5" x14ac:dyDescent="0.25">
      <c r="A138" t="s">
        <v>174</v>
      </c>
    </row>
    <row r="139" spans="1:5" x14ac:dyDescent="0.25">
      <c r="A139" t="s">
        <v>37</v>
      </c>
      <c r="D139">
        <v>5</v>
      </c>
      <c r="E139" t="s">
        <v>2</v>
      </c>
    </row>
    <row r="140" spans="1:5" x14ac:dyDescent="0.25">
      <c r="A140" t="s">
        <v>38</v>
      </c>
      <c r="D140">
        <v>0.66659999999999997</v>
      </c>
      <c r="E140" t="s">
        <v>2</v>
      </c>
    </row>
    <row r="142" spans="1:5" x14ac:dyDescent="0.25">
      <c r="A142" t="s">
        <v>42</v>
      </c>
      <c r="C142">
        <f>D139*D140</f>
        <v>3.3329999999999997</v>
      </c>
      <c r="D142" t="s">
        <v>40</v>
      </c>
    </row>
    <row r="144" spans="1:5" x14ac:dyDescent="0.25">
      <c r="A144" t="s">
        <v>157</v>
      </c>
      <c r="C144">
        <f>ROUNDUP(C136+C142,0)</f>
        <v>44</v>
      </c>
      <c r="D144" t="s">
        <v>40</v>
      </c>
    </row>
    <row r="147" spans="1:5" x14ac:dyDescent="0.25">
      <c r="A147" s="2" t="s">
        <v>176</v>
      </c>
    </row>
    <row r="149" spans="1:5" x14ac:dyDescent="0.25">
      <c r="A149" t="s">
        <v>177</v>
      </c>
      <c r="D149">
        <f>2.6666+1.5+2.6666</f>
        <v>6.8331999999999997</v>
      </c>
      <c r="E149" t="s">
        <v>125</v>
      </c>
    </row>
    <row r="150" spans="1:5" x14ac:dyDescent="0.25">
      <c r="A150" t="s">
        <v>170</v>
      </c>
      <c r="D150">
        <v>14</v>
      </c>
      <c r="E150" t="s">
        <v>125</v>
      </c>
    </row>
    <row r="152" spans="1:5" x14ac:dyDescent="0.25">
      <c r="A152" t="s">
        <v>39</v>
      </c>
      <c r="D152">
        <f>D149*D150</f>
        <v>95.6648</v>
      </c>
      <c r="E152" t="s">
        <v>126</v>
      </c>
    </row>
    <row r="153" spans="1:5" x14ac:dyDescent="0.25">
      <c r="A153" t="s">
        <v>172</v>
      </c>
      <c r="D153">
        <v>2</v>
      </c>
    </row>
    <row r="154" spans="1:5" x14ac:dyDescent="0.25">
      <c r="A154" t="s">
        <v>178</v>
      </c>
      <c r="D154">
        <v>2</v>
      </c>
    </row>
    <row r="156" spans="1:5" x14ac:dyDescent="0.25">
      <c r="A156" t="s">
        <v>157</v>
      </c>
      <c r="D156">
        <f>D152*D153*D154</f>
        <v>382.6592</v>
      </c>
      <c r="E156" t="s">
        <v>126</v>
      </c>
    </row>
    <row r="157" spans="1:5" x14ac:dyDescent="0.25">
      <c r="D157">
        <f>D156/9</f>
        <v>42.517688888888891</v>
      </c>
      <c r="E157" t="s">
        <v>158</v>
      </c>
    </row>
    <row r="162" spans="1:4" x14ac:dyDescent="0.25">
      <c r="A162" s="2" t="s">
        <v>201</v>
      </c>
    </row>
    <row r="164" spans="1:4" x14ac:dyDescent="0.25">
      <c r="A164" t="s">
        <v>202</v>
      </c>
      <c r="B164">
        <f>4*1*15/9</f>
        <v>6.666666666666667</v>
      </c>
      <c r="C164" t="s">
        <v>24</v>
      </c>
    </row>
    <row r="167" spans="1:4" x14ac:dyDescent="0.25">
      <c r="A167" t="s">
        <v>203</v>
      </c>
    </row>
    <row r="169" spans="1:4" x14ac:dyDescent="0.25">
      <c r="A169" t="s">
        <v>204</v>
      </c>
      <c r="C169">
        <f>4*(2.6666*1.5)</f>
        <v>15.999599999999999</v>
      </c>
      <c r="D169" t="s">
        <v>40</v>
      </c>
    </row>
  </sheetData>
  <pageMargins left="0.7" right="0.7" top="0.75" bottom="0.7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12"/>
  <sheetViews>
    <sheetView workbookViewId="0">
      <selection activeCell="C20" sqref="C20"/>
    </sheetView>
  </sheetViews>
  <sheetFormatPr defaultRowHeight="14.85" x14ac:dyDescent="0.25"/>
  <sheetData>
    <row r="2" spans="1:4" x14ac:dyDescent="0.25">
      <c r="A2" s="2" t="s">
        <v>0</v>
      </c>
    </row>
    <row r="4" spans="1:4" x14ac:dyDescent="0.25">
      <c r="A4" t="s">
        <v>1</v>
      </c>
      <c r="C4">
        <v>1.83</v>
      </c>
      <c r="D4" t="s">
        <v>2</v>
      </c>
    </row>
    <row r="5" spans="1:4" x14ac:dyDescent="0.25">
      <c r="A5" t="s">
        <v>4</v>
      </c>
      <c r="C5">
        <v>32</v>
      </c>
      <c r="D5" t="s">
        <v>2</v>
      </c>
    </row>
    <row r="6" spans="1:4" x14ac:dyDescent="0.25">
      <c r="A6" t="s">
        <v>30</v>
      </c>
      <c r="C6">
        <v>25</v>
      </c>
      <c r="D6" t="s">
        <v>31</v>
      </c>
    </row>
    <row r="7" spans="1:4" x14ac:dyDescent="0.25">
      <c r="A7" t="s">
        <v>5</v>
      </c>
      <c r="C7" s="1">
        <f>C5/COS(RADIANS(C6))</f>
        <v>35.308093406799735</v>
      </c>
      <c r="D7" t="s">
        <v>2</v>
      </c>
    </row>
    <row r="8" spans="1:4" x14ac:dyDescent="0.25">
      <c r="A8" t="s">
        <v>3</v>
      </c>
      <c r="C8">
        <v>0.25</v>
      </c>
      <c r="D8" t="s">
        <v>2</v>
      </c>
    </row>
    <row r="10" spans="1:4" x14ac:dyDescent="0.25">
      <c r="A10" t="s">
        <v>6</v>
      </c>
      <c r="C10">
        <v>2</v>
      </c>
    </row>
    <row r="12" spans="1:4" x14ac:dyDescent="0.25">
      <c r="A12" t="s">
        <v>7</v>
      </c>
      <c r="C12" s="1">
        <f>C4*C7*C8*C10/27</f>
        <v>1.1965520543415467</v>
      </c>
      <c r="D12" t="s">
        <v>8</v>
      </c>
    </row>
  </sheetData>
  <pageMargins left="0.7" right="0.7" top="0.75" bottom="0.75" header="0.3" footer="0.3"/>
  <pageSetup paperSize="17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35"/>
  <sheetViews>
    <sheetView workbookViewId="0">
      <selection activeCell="C20" sqref="C20"/>
    </sheetView>
  </sheetViews>
  <sheetFormatPr defaultRowHeight="14.85" x14ac:dyDescent="0.25"/>
  <cols>
    <col min="2" max="2" width="9.140625" customWidth="1"/>
    <col min="3" max="3" width="11.7109375" customWidth="1"/>
  </cols>
  <sheetData>
    <row r="2" spans="1:7" x14ac:dyDescent="0.25">
      <c r="A2" s="2" t="s">
        <v>20</v>
      </c>
    </row>
    <row r="4" spans="1:7" x14ac:dyDescent="0.25">
      <c r="A4" t="s">
        <v>11</v>
      </c>
      <c r="D4">
        <v>25</v>
      </c>
      <c r="E4" t="s">
        <v>2</v>
      </c>
    </row>
    <row r="5" spans="1:7" x14ac:dyDescent="0.25">
      <c r="A5" t="s">
        <v>10</v>
      </c>
      <c r="D5">
        <v>30</v>
      </c>
      <c r="E5" t="s">
        <v>2</v>
      </c>
      <c r="F5" t="s">
        <v>21</v>
      </c>
    </row>
    <row r="6" spans="1:7" x14ac:dyDescent="0.25">
      <c r="A6" t="s">
        <v>12</v>
      </c>
      <c r="D6">
        <v>2</v>
      </c>
    </row>
    <row r="7" spans="1:7" x14ac:dyDescent="0.25">
      <c r="A7" t="s">
        <v>22</v>
      </c>
      <c r="D7">
        <f>D4*D5*D6</f>
        <v>1500</v>
      </c>
      <c r="E7" t="s">
        <v>23</v>
      </c>
      <c r="F7">
        <f>D7/9</f>
        <v>166.66666666666666</v>
      </c>
      <c r="G7" t="s">
        <v>24</v>
      </c>
    </row>
    <row r="9" spans="1:7" x14ac:dyDescent="0.25">
      <c r="A9" t="s">
        <v>25</v>
      </c>
      <c r="D9">
        <f>(5128.51-4876.49)</f>
        <v>252.02000000000044</v>
      </c>
      <c r="E9" t="s">
        <v>2</v>
      </c>
      <c r="F9" t="s">
        <v>27</v>
      </c>
    </row>
    <row r="10" spans="1:7" x14ac:dyDescent="0.25">
      <c r="A10" t="s">
        <v>26</v>
      </c>
      <c r="D10">
        <v>30</v>
      </c>
      <c r="E10" t="s">
        <v>2</v>
      </c>
      <c r="F10" t="s">
        <v>21</v>
      </c>
    </row>
    <row r="11" spans="1:7" x14ac:dyDescent="0.25">
      <c r="A11" t="s">
        <v>36</v>
      </c>
      <c r="D11">
        <f>D9*D10</f>
        <v>7560.6000000000131</v>
      </c>
      <c r="E11" t="s">
        <v>23</v>
      </c>
      <c r="F11">
        <f>D11/9</f>
        <v>840.06666666666808</v>
      </c>
      <c r="G11" t="s">
        <v>24</v>
      </c>
    </row>
    <row r="13" spans="1:7" x14ac:dyDescent="0.25">
      <c r="A13" t="s">
        <v>28</v>
      </c>
      <c r="B13">
        <f>ROUNDUP(F7+F11,0)</f>
        <v>1007</v>
      </c>
      <c r="C13" t="s">
        <v>24</v>
      </c>
    </row>
    <row r="19" spans="1:5" x14ac:dyDescent="0.25">
      <c r="A19" s="2" t="s">
        <v>9</v>
      </c>
    </row>
    <row r="21" spans="1:5" x14ac:dyDescent="0.25">
      <c r="A21" t="s">
        <v>11</v>
      </c>
      <c r="D21">
        <v>25</v>
      </c>
      <c r="E21" t="s">
        <v>2</v>
      </c>
    </row>
    <row r="22" spans="1:5" x14ac:dyDescent="0.25">
      <c r="A22" t="s">
        <v>10</v>
      </c>
      <c r="D22">
        <v>33</v>
      </c>
      <c r="E22" t="s">
        <v>2</v>
      </c>
    </row>
    <row r="23" spans="1:5" x14ac:dyDescent="0.25">
      <c r="A23" t="s">
        <v>3</v>
      </c>
      <c r="D23">
        <v>1.25</v>
      </c>
      <c r="E23" t="s">
        <v>2</v>
      </c>
    </row>
    <row r="25" spans="1:5" x14ac:dyDescent="0.25">
      <c r="A25" t="s">
        <v>12</v>
      </c>
      <c r="D25">
        <v>2</v>
      </c>
    </row>
    <row r="27" spans="1:5" x14ac:dyDescent="0.25">
      <c r="A27" t="s">
        <v>7</v>
      </c>
      <c r="D27" s="1">
        <f>D21*D22*D23*D25</f>
        <v>2062.5</v>
      </c>
      <c r="E27" t="s">
        <v>13</v>
      </c>
    </row>
    <row r="29" spans="1:5" x14ac:dyDescent="0.25">
      <c r="A29" t="s">
        <v>14</v>
      </c>
      <c r="D29">
        <v>7</v>
      </c>
      <c r="E29" t="s">
        <v>15</v>
      </c>
    </row>
    <row r="31" spans="1:5" x14ac:dyDescent="0.25">
      <c r="A31" t="s">
        <v>16</v>
      </c>
      <c r="D31">
        <v>1.2</v>
      </c>
    </row>
    <row r="33" spans="1:5" x14ac:dyDescent="0.25">
      <c r="A33" t="s">
        <v>17</v>
      </c>
      <c r="D33">
        <f>D27*D29*D31</f>
        <v>17325</v>
      </c>
      <c r="E33" t="s">
        <v>18</v>
      </c>
    </row>
    <row r="35" spans="1:5" x14ac:dyDescent="0.25">
      <c r="A35" t="s">
        <v>19</v>
      </c>
      <c r="D35">
        <f>ROUNDUP(D33,-4)</f>
        <v>20000</v>
      </c>
      <c r="E35" t="s">
        <v>18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K9"/>
  <sheetViews>
    <sheetView workbookViewId="0">
      <selection activeCell="C20" sqref="C20"/>
    </sheetView>
  </sheetViews>
  <sheetFormatPr defaultRowHeight="14.85" x14ac:dyDescent="0.25"/>
  <sheetData>
    <row r="3" spans="1:11" x14ac:dyDescent="0.25">
      <c r="A3" s="2" t="s">
        <v>29</v>
      </c>
      <c r="H3">
        <f xml:space="preserve"> (1*5.76)+(22*7.46)</f>
        <v>169.88</v>
      </c>
      <c r="I3" t="s">
        <v>2</v>
      </c>
    </row>
    <row r="4" spans="1:11" x14ac:dyDescent="0.25">
      <c r="A4" s="2"/>
    </row>
    <row r="5" spans="1:11" x14ac:dyDescent="0.25">
      <c r="A5" s="2" t="s">
        <v>32</v>
      </c>
      <c r="J5">
        <f xml:space="preserve"> (1*5.76)+(22*7.46)</f>
        <v>169.88</v>
      </c>
      <c r="K5" t="s">
        <v>2</v>
      </c>
    </row>
    <row r="7" spans="1:11" x14ac:dyDescent="0.25">
      <c r="A7" t="s">
        <v>33</v>
      </c>
    </row>
    <row r="9" spans="1:11" x14ac:dyDescent="0.25">
      <c r="A9" t="s">
        <v>34</v>
      </c>
    </row>
  </sheetData>
  <pageMargins left="0.7" right="0.7" top="0.75" bottom="0.75" header="0.3" footer="0.3"/>
  <pageSetup paperSize="1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D12"/>
  <sheetViews>
    <sheetView workbookViewId="0">
      <selection activeCell="C20" sqref="C20"/>
    </sheetView>
  </sheetViews>
  <sheetFormatPr defaultRowHeight="14.85" x14ac:dyDescent="0.25"/>
  <sheetData>
    <row r="2" spans="1:4" x14ac:dyDescent="0.25">
      <c r="A2" s="2" t="s">
        <v>0</v>
      </c>
    </row>
    <row r="4" spans="1:4" x14ac:dyDescent="0.25">
      <c r="A4" t="s">
        <v>1</v>
      </c>
      <c r="C4">
        <v>1.83</v>
      </c>
      <c r="D4" t="s">
        <v>2</v>
      </c>
    </row>
    <row r="5" spans="1:4" x14ac:dyDescent="0.25">
      <c r="A5" t="s">
        <v>4</v>
      </c>
      <c r="C5">
        <v>40</v>
      </c>
      <c r="D5" t="s">
        <v>2</v>
      </c>
    </row>
    <row r="6" spans="1:4" x14ac:dyDescent="0.25">
      <c r="A6" t="s">
        <v>30</v>
      </c>
      <c r="C6">
        <v>30</v>
      </c>
      <c r="D6" t="s">
        <v>31</v>
      </c>
    </row>
    <row r="7" spans="1:4" x14ac:dyDescent="0.25">
      <c r="A7" t="s">
        <v>5</v>
      </c>
      <c r="C7" s="1">
        <f>C5/COS(RADIANS(C6))</f>
        <v>46.188021535170058</v>
      </c>
      <c r="D7" t="s">
        <v>2</v>
      </c>
    </row>
    <row r="8" spans="1:4" x14ac:dyDescent="0.25">
      <c r="A8" t="s">
        <v>3</v>
      </c>
      <c r="C8">
        <v>0.25</v>
      </c>
      <c r="D8" t="s">
        <v>2</v>
      </c>
    </row>
    <row r="10" spans="1:4" x14ac:dyDescent="0.25">
      <c r="A10" t="s">
        <v>6</v>
      </c>
      <c r="C10">
        <v>2</v>
      </c>
    </row>
    <row r="12" spans="1:4" x14ac:dyDescent="0.25">
      <c r="A12" t="s">
        <v>7</v>
      </c>
      <c r="C12" s="1">
        <f>C4*C7*C8*C10/27</f>
        <v>1.5652607298029853</v>
      </c>
      <c r="D12" t="s">
        <v>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D12"/>
  <sheetViews>
    <sheetView workbookViewId="0">
      <selection activeCell="C20" sqref="C20"/>
    </sheetView>
  </sheetViews>
  <sheetFormatPr defaultRowHeight="14.85" x14ac:dyDescent="0.25"/>
  <sheetData>
    <row r="2" spans="1:4" x14ac:dyDescent="0.25">
      <c r="A2" s="2" t="s">
        <v>0</v>
      </c>
    </row>
    <row r="4" spans="1:4" x14ac:dyDescent="0.25">
      <c r="A4" t="s">
        <v>1</v>
      </c>
      <c r="C4">
        <v>1.83</v>
      </c>
      <c r="D4" t="s">
        <v>2</v>
      </c>
    </row>
    <row r="5" spans="1:4" x14ac:dyDescent="0.25">
      <c r="A5" t="s">
        <v>4</v>
      </c>
      <c r="C5">
        <v>44</v>
      </c>
      <c r="D5" t="s">
        <v>2</v>
      </c>
    </row>
    <row r="6" spans="1:4" x14ac:dyDescent="0.25">
      <c r="A6" t="s">
        <v>30</v>
      </c>
      <c r="C6">
        <v>0.75</v>
      </c>
      <c r="D6" t="s">
        <v>31</v>
      </c>
    </row>
    <row r="7" spans="1:4" x14ac:dyDescent="0.25">
      <c r="A7" t="s">
        <v>5</v>
      </c>
      <c r="C7" s="1">
        <f>C5/COS(RADIANS(C6))</f>
        <v>44.003769909721001</v>
      </c>
      <c r="D7" t="s">
        <v>2</v>
      </c>
    </row>
    <row r="8" spans="1:4" x14ac:dyDescent="0.25">
      <c r="A8" t="s">
        <v>3</v>
      </c>
      <c r="C8">
        <v>0.25</v>
      </c>
      <c r="D8" t="s">
        <v>2</v>
      </c>
    </row>
    <row r="10" spans="1:4" x14ac:dyDescent="0.25">
      <c r="A10" t="s">
        <v>6</v>
      </c>
      <c r="C10">
        <v>2</v>
      </c>
    </row>
    <row r="12" spans="1:4" x14ac:dyDescent="0.25">
      <c r="A12" t="s">
        <v>7</v>
      </c>
      <c r="C12" s="1">
        <f>C4*C7*C8*C10/27</f>
        <v>1.4912388691627672</v>
      </c>
      <c r="D12" t="s">
        <v>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G35"/>
  <sheetViews>
    <sheetView workbookViewId="0">
      <selection activeCell="C20" sqref="C20"/>
    </sheetView>
  </sheetViews>
  <sheetFormatPr defaultRowHeight="14.85" x14ac:dyDescent="0.25"/>
  <sheetData>
    <row r="2" spans="1:7" x14ac:dyDescent="0.25">
      <c r="A2" s="2" t="s">
        <v>20</v>
      </c>
    </row>
    <row r="4" spans="1:7" x14ac:dyDescent="0.25">
      <c r="A4" t="s">
        <v>11</v>
      </c>
      <c r="D4">
        <v>25</v>
      </c>
      <c r="E4" t="s">
        <v>2</v>
      </c>
    </row>
    <row r="5" spans="1:7" x14ac:dyDescent="0.25">
      <c r="A5" t="s">
        <v>10</v>
      </c>
      <c r="D5">
        <v>32</v>
      </c>
      <c r="E5" t="s">
        <v>2</v>
      </c>
      <c r="F5" t="s">
        <v>21</v>
      </c>
    </row>
    <row r="6" spans="1:7" x14ac:dyDescent="0.25">
      <c r="A6" t="s">
        <v>12</v>
      </c>
      <c r="D6">
        <v>2</v>
      </c>
    </row>
    <row r="7" spans="1:7" x14ac:dyDescent="0.25">
      <c r="A7" t="s">
        <v>22</v>
      </c>
      <c r="D7">
        <f>D4*D5*D6</f>
        <v>1600</v>
      </c>
      <c r="E7" t="s">
        <v>23</v>
      </c>
      <c r="F7">
        <f>D7/9</f>
        <v>177.77777777777777</v>
      </c>
      <c r="G7" t="s">
        <v>24</v>
      </c>
    </row>
    <row r="9" spans="1:7" x14ac:dyDescent="0.25">
      <c r="A9" t="s">
        <v>25</v>
      </c>
      <c r="D9">
        <f>(24716.62-24644.88)</f>
        <v>71.739999999997963</v>
      </c>
      <c r="E9" t="s">
        <v>2</v>
      </c>
      <c r="F9" t="s">
        <v>27</v>
      </c>
    </row>
    <row r="10" spans="1:7" x14ac:dyDescent="0.25">
      <c r="A10" t="s">
        <v>26</v>
      </c>
      <c r="D10">
        <v>32</v>
      </c>
      <c r="E10" t="s">
        <v>2</v>
      </c>
      <c r="F10" t="s">
        <v>21</v>
      </c>
    </row>
    <row r="11" spans="1:7" x14ac:dyDescent="0.25">
      <c r="A11" t="s">
        <v>36</v>
      </c>
      <c r="D11">
        <f>D9*D10</f>
        <v>2295.6799999999348</v>
      </c>
      <c r="E11" t="s">
        <v>23</v>
      </c>
      <c r="F11">
        <f>D11/9</f>
        <v>255.07555555554831</v>
      </c>
      <c r="G11" t="s">
        <v>24</v>
      </c>
    </row>
    <row r="13" spans="1:7" x14ac:dyDescent="0.25">
      <c r="A13" t="s">
        <v>28</v>
      </c>
      <c r="B13">
        <f>ROUNDUP(F7+F11,0)</f>
        <v>433</v>
      </c>
      <c r="C13" t="s">
        <v>24</v>
      </c>
    </row>
    <row r="19" spans="1:5" x14ac:dyDescent="0.25">
      <c r="A19" s="2" t="s">
        <v>9</v>
      </c>
    </row>
    <row r="21" spans="1:5" x14ac:dyDescent="0.25">
      <c r="A21" t="s">
        <v>11</v>
      </c>
      <c r="D21">
        <v>25</v>
      </c>
      <c r="E21" t="s">
        <v>2</v>
      </c>
    </row>
    <row r="22" spans="1:5" x14ac:dyDescent="0.25">
      <c r="A22" t="s">
        <v>10</v>
      </c>
      <c r="D22">
        <v>32</v>
      </c>
      <c r="E22" t="s">
        <v>2</v>
      </c>
    </row>
    <row r="23" spans="1:5" x14ac:dyDescent="0.25">
      <c r="A23" t="s">
        <v>3</v>
      </c>
      <c r="D23">
        <v>1.25</v>
      </c>
      <c r="E23" t="s">
        <v>2</v>
      </c>
    </row>
    <row r="25" spans="1:5" x14ac:dyDescent="0.25">
      <c r="A25" t="s">
        <v>12</v>
      </c>
      <c r="D25">
        <v>2</v>
      </c>
    </row>
    <row r="27" spans="1:5" x14ac:dyDescent="0.25">
      <c r="A27" t="s">
        <v>7</v>
      </c>
      <c r="D27" s="1">
        <f>D21*D22*D23*D25</f>
        <v>2000</v>
      </c>
      <c r="E27" t="s">
        <v>13</v>
      </c>
    </row>
    <row r="29" spans="1:5" x14ac:dyDescent="0.25">
      <c r="A29" t="s">
        <v>14</v>
      </c>
      <c r="D29">
        <v>7</v>
      </c>
      <c r="E29" t="s">
        <v>15</v>
      </c>
    </row>
    <row r="31" spans="1:5" x14ac:dyDescent="0.25">
      <c r="A31" t="s">
        <v>16</v>
      </c>
      <c r="D31">
        <v>1.2</v>
      </c>
    </row>
    <row r="33" spans="1:5" x14ac:dyDescent="0.25">
      <c r="A33" t="s">
        <v>17</v>
      </c>
      <c r="D33">
        <f>D27*D29*D31</f>
        <v>16800</v>
      </c>
      <c r="E33" t="s">
        <v>18</v>
      </c>
    </row>
    <row r="35" spans="1:5" x14ac:dyDescent="0.25">
      <c r="A35" t="s">
        <v>19</v>
      </c>
      <c r="D35">
        <f>ROUNDUP(D33,-4)</f>
        <v>20000</v>
      </c>
      <c r="E35" t="s">
        <v>18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D12"/>
  <sheetViews>
    <sheetView workbookViewId="0">
      <selection activeCell="C20" sqref="C20"/>
    </sheetView>
  </sheetViews>
  <sheetFormatPr defaultRowHeight="14.85" x14ac:dyDescent="0.25"/>
  <sheetData>
    <row r="2" spans="1:4" x14ac:dyDescent="0.25">
      <c r="A2" s="2" t="s">
        <v>0</v>
      </c>
    </row>
    <row r="4" spans="1:4" x14ac:dyDescent="0.25">
      <c r="A4" t="s">
        <v>1</v>
      </c>
      <c r="C4">
        <v>1.83</v>
      </c>
      <c r="D4" t="s">
        <v>2</v>
      </c>
    </row>
    <row r="5" spans="1:4" x14ac:dyDescent="0.25">
      <c r="A5" t="s">
        <v>4</v>
      </c>
      <c r="C5">
        <v>64</v>
      </c>
      <c r="D5" t="s">
        <v>2</v>
      </c>
    </row>
    <row r="6" spans="1:4" x14ac:dyDescent="0.25">
      <c r="A6" t="s">
        <v>30</v>
      </c>
      <c r="C6">
        <v>20</v>
      </c>
      <c r="D6" t="s">
        <v>31</v>
      </c>
    </row>
    <row r="7" spans="1:4" x14ac:dyDescent="0.25">
      <c r="A7" t="s">
        <v>5</v>
      </c>
      <c r="C7" s="1">
        <f>C5/COS(RADIANS(C6))</f>
        <v>68.107377438458371</v>
      </c>
      <c r="D7" t="s">
        <v>2</v>
      </c>
    </row>
    <row r="8" spans="1:4" x14ac:dyDescent="0.25">
      <c r="A8" t="s">
        <v>3</v>
      </c>
      <c r="C8">
        <v>0.25</v>
      </c>
      <c r="D8" t="s">
        <v>2</v>
      </c>
    </row>
    <row r="10" spans="1:4" x14ac:dyDescent="0.25">
      <c r="A10" t="s">
        <v>6</v>
      </c>
      <c r="C10">
        <v>1</v>
      </c>
    </row>
    <row r="12" spans="1:4" x14ac:dyDescent="0.25">
      <c r="A12" t="s">
        <v>7</v>
      </c>
      <c r="C12" s="1">
        <f>C4*C7*C8*C10/27</f>
        <v>1.1540416732627667</v>
      </c>
      <c r="D12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1C41-0550-4DFA-A9E1-DC3B3BD463E2}">
  <dimension ref="A1:J10"/>
  <sheetViews>
    <sheetView workbookViewId="0">
      <selection sqref="A1:J10"/>
    </sheetView>
  </sheetViews>
  <sheetFormatPr defaultRowHeight="14.85" x14ac:dyDescent="0.25"/>
  <cols>
    <col min="2" max="2" width="12.28515625" customWidth="1"/>
    <col min="5" max="5" width="128" customWidth="1"/>
    <col min="6" max="7" width="12.7109375" customWidth="1"/>
    <col min="8" max="8" width="18.7109375" customWidth="1"/>
    <col min="9" max="10" width="12.7109375" customWidth="1"/>
  </cols>
  <sheetData>
    <row r="1" spans="1:10" ht="15.6" thickBot="1" x14ac:dyDescent="0.3">
      <c r="A1" s="219"/>
      <c r="B1" s="220"/>
      <c r="C1" s="220"/>
      <c r="D1" s="220"/>
      <c r="E1" s="170" t="s">
        <v>684</v>
      </c>
      <c r="F1" s="220" t="s">
        <v>718</v>
      </c>
      <c r="G1" s="220"/>
      <c r="H1" s="220"/>
      <c r="I1" s="220"/>
      <c r="J1" s="221"/>
    </row>
    <row r="2" spans="1:10" ht="15.6" thickBot="1" x14ac:dyDescent="0.3">
      <c r="A2" s="171" t="s">
        <v>640</v>
      </c>
      <c r="B2" s="172" t="s">
        <v>641</v>
      </c>
      <c r="C2" s="173" t="s">
        <v>378</v>
      </c>
      <c r="D2" s="174" t="s">
        <v>642</v>
      </c>
      <c r="E2" s="175" t="s">
        <v>643</v>
      </c>
      <c r="F2" s="176" t="s">
        <v>644</v>
      </c>
      <c r="G2" s="173" t="s">
        <v>645</v>
      </c>
      <c r="H2" s="173" t="s">
        <v>646</v>
      </c>
      <c r="I2" s="173" t="s">
        <v>647</v>
      </c>
      <c r="J2" s="208" t="s">
        <v>648</v>
      </c>
    </row>
    <row r="3" spans="1:10" x14ac:dyDescent="0.25">
      <c r="A3" s="192" t="s">
        <v>659</v>
      </c>
      <c r="B3" s="184">
        <v>50</v>
      </c>
      <c r="C3" s="185">
        <f t="shared" ref="C3:C10" si="0">IF(D3="LUMP","LS",IF(SUM(F3:I3)=0,"",(SUM(F3:I3))))</f>
        <v>5203</v>
      </c>
      <c r="D3" s="186" t="s">
        <v>278</v>
      </c>
      <c r="E3" s="187" t="s">
        <v>95</v>
      </c>
      <c r="F3" s="185"/>
      <c r="G3" s="191"/>
      <c r="H3" s="191">
        <v>5203</v>
      </c>
      <c r="I3" s="185"/>
      <c r="J3" s="189"/>
    </row>
    <row r="4" spans="1:10" x14ac:dyDescent="0.25">
      <c r="A4" s="192" t="s">
        <v>659</v>
      </c>
      <c r="B4" s="184">
        <v>56</v>
      </c>
      <c r="C4" s="185">
        <f t="shared" si="0"/>
        <v>5203</v>
      </c>
      <c r="D4" s="186" t="s">
        <v>278</v>
      </c>
      <c r="E4" s="187" t="s">
        <v>660</v>
      </c>
      <c r="F4" s="185"/>
      <c r="G4" s="191"/>
      <c r="H4" s="191">
        <v>5203</v>
      </c>
      <c r="I4" s="185"/>
      <c r="J4" s="189"/>
    </row>
    <row r="5" spans="1:10" x14ac:dyDescent="0.25">
      <c r="A5" s="192" t="s">
        <v>659</v>
      </c>
      <c r="B5" s="184">
        <v>60</v>
      </c>
      <c r="C5" s="185">
        <f t="shared" si="0"/>
        <v>5203</v>
      </c>
      <c r="D5" s="186" t="s">
        <v>278</v>
      </c>
      <c r="E5" s="187" t="s">
        <v>661</v>
      </c>
      <c r="F5" s="185"/>
      <c r="G5" s="191"/>
      <c r="H5" s="191">
        <v>5203</v>
      </c>
      <c r="I5" s="185"/>
      <c r="J5" s="189"/>
    </row>
    <row r="6" spans="1:10" x14ac:dyDescent="0.25">
      <c r="A6" s="192" t="s">
        <v>659</v>
      </c>
      <c r="B6" s="184">
        <v>66</v>
      </c>
      <c r="C6" s="185">
        <f t="shared" si="0"/>
        <v>5203</v>
      </c>
      <c r="D6" s="186" t="s">
        <v>278</v>
      </c>
      <c r="E6" s="187" t="s">
        <v>662</v>
      </c>
      <c r="F6" s="185"/>
      <c r="G6" s="191"/>
      <c r="H6" s="191">
        <v>5203</v>
      </c>
      <c r="I6" s="185"/>
      <c r="J6" s="189"/>
    </row>
    <row r="7" spans="1:10" x14ac:dyDescent="0.25">
      <c r="A7" s="192" t="s">
        <v>659</v>
      </c>
      <c r="B7" s="184">
        <v>504</v>
      </c>
      <c r="C7" s="185">
        <f t="shared" si="0"/>
        <v>7</v>
      </c>
      <c r="D7" s="186" t="s">
        <v>663</v>
      </c>
      <c r="E7" s="187" t="s">
        <v>110</v>
      </c>
      <c r="F7" s="185"/>
      <c r="G7" s="191"/>
      <c r="H7" s="191">
        <v>7</v>
      </c>
      <c r="I7" s="185"/>
      <c r="J7" s="189"/>
    </row>
    <row r="8" spans="1:10" x14ac:dyDescent="0.25">
      <c r="A8" s="192" t="s">
        <v>659</v>
      </c>
      <c r="B8" s="184">
        <v>10000</v>
      </c>
      <c r="C8" s="185">
        <f t="shared" si="0"/>
        <v>5</v>
      </c>
      <c r="D8" s="186" t="s">
        <v>116</v>
      </c>
      <c r="E8" s="187" t="s">
        <v>115</v>
      </c>
      <c r="F8" s="185"/>
      <c r="G8" s="185"/>
      <c r="H8" s="185">
        <v>5</v>
      </c>
      <c r="I8" s="185"/>
      <c r="J8" s="189"/>
    </row>
    <row r="9" spans="1:10" x14ac:dyDescent="0.25">
      <c r="A9" s="192"/>
      <c r="B9" s="184"/>
      <c r="C9" s="185"/>
      <c r="D9" s="186"/>
      <c r="E9" s="187"/>
      <c r="F9" s="185"/>
      <c r="G9" s="185"/>
      <c r="H9" s="191"/>
      <c r="I9" s="185"/>
      <c r="J9" s="189"/>
    </row>
    <row r="10" spans="1:10" ht="15.6" thickBot="1" x14ac:dyDescent="0.3">
      <c r="A10" s="202"/>
      <c r="B10" s="203"/>
      <c r="C10" s="204" t="str">
        <f t="shared" si="0"/>
        <v/>
      </c>
      <c r="D10" s="205"/>
      <c r="E10" s="206"/>
      <c r="F10" s="204"/>
      <c r="G10" s="204"/>
      <c r="H10" s="204"/>
      <c r="I10" s="204"/>
      <c r="J10" s="207"/>
    </row>
  </sheetData>
  <mergeCells count="2">
    <mergeCell ref="A1:D1"/>
    <mergeCell ref="F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1CC73-5C1D-41AD-B20C-0F27651E656F}">
  <dimension ref="A11:BQ138"/>
  <sheetViews>
    <sheetView topLeftCell="A31" workbookViewId="0">
      <selection activeCell="I15" sqref="I15"/>
    </sheetView>
  </sheetViews>
  <sheetFormatPr defaultRowHeight="14.85" x14ac:dyDescent="0.25"/>
  <cols>
    <col min="2" max="2" width="12" customWidth="1"/>
    <col min="4" max="4" width="15.28515625" customWidth="1"/>
    <col min="5" max="5" width="12.42578125" customWidth="1"/>
    <col min="8" max="8" width="17.140625" customWidth="1"/>
    <col min="9" max="9" width="21.5703125" customWidth="1"/>
    <col min="12" max="12" width="12.7109375" customWidth="1"/>
    <col min="13" max="13" width="18.140625" customWidth="1"/>
    <col min="16" max="16" width="12.42578125" customWidth="1"/>
    <col min="17" max="17" width="13.28515625" customWidth="1"/>
    <col min="18" max="18" width="11" customWidth="1"/>
    <col min="19" max="19" width="14.85546875" customWidth="1"/>
    <col min="20" max="20" width="13.5703125" customWidth="1"/>
    <col min="21" max="21" width="12.5703125" customWidth="1"/>
    <col min="25" max="25" width="11.140625" customWidth="1"/>
    <col min="27" max="27" width="11.7109375" customWidth="1"/>
    <col min="46" max="46" width="10" customWidth="1"/>
    <col min="49" max="49" width="16.140625" bestFit="1" customWidth="1"/>
  </cols>
  <sheetData>
    <row r="11" spans="1:39" x14ac:dyDescent="0.25">
      <c r="A11" s="212" t="s">
        <v>309</v>
      </c>
      <c r="B11" s="212"/>
      <c r="C11" s="212"/>
      <c r="D11" s="212"/>
      <c r="E11" s="212"/>
      <c r="F11" s="212"/>
      <c r="G11" s="212"/>
      <c r="H11" s="212"/>
      <c r="I11" s="212"/>
      <c r="J11" s="212"/>
    </row>
    <row r="12" spans="1:39" x14ac:dyDescent="0.25">
      <c r="A12" s="212"/>
      <c r="B12" s="212"/>
      <c r="C12" s="212"/>
      <c r="D12" s="212"/>
      <c r="E12" s="212"/>
      <c r="F12" s="212"/>
      <c r="G12" s="212"/>
      <c r="H12" s="212"/>
      <c r="I12" s="212"/>
      <c r="J12" s="212"/>
    </row>
    <row r="13" spans="1:39" x14ac:dyDescent="0.25">
      <c r="A13" s="212"/>
      <c r="B13" s="212"/>
      <c r="C13" s="212"/>
      <c r="D13" s="212"/>
      <c r="E13" s="212"/>
      <c r="F13" s="212"/>
      <c r="G13" s="212"/>
      <c r="H13" s="212"/>
      <c r="I13" s="212"/>
      <c r="J13" s="212"/>
    </row>
    <row r="14" spans="1:39" ht="15.6" x14ac:dyDescent="0.25">
      <c r="H14" t="s">
        <v>613</v>
      </c>
      <c r="L14" t="s">
        <v>339</v>
      </c>
      <c r="P14" t="s">
        <v>340</v>
      </c>
      <c r="Q14">
        <f>2*(2.5+72+2.5)+(3*18)-(2*0.4375)</f>
        <v>207.125</v>
      </c>
      <c r="T14" t="s">
        <v>341</v>
      </c>
      <c r="AM14" s="8"/>
    </row>
    <row r="15" spans="1:39" ht="47.5" x14ac:dyDescent="0.25">
      <c r="H15" s="9" t="s">
        <v>609</v>
      </c>
      <c r="I15" s="10">
        <f>2*66.5+3*16-2*0.375</f>
        <v>180.25</v>
      </c>
      <c r="J15" s="10" t="s">
        <v>92</v>
      </c>
      <c r="K15" s="9" t="s">
        <v>608</v>
      </c>
      <c r="L15" s="9" t="s">
        <v>91</v>
      </c>
      <c r="M15" s="10">
        <v>0</v>
      </c>
      <c r="N15" s="10" t="s">
        <v>92</v>
      </c>
      <c r="O15" s="9" t="s">
        <v>93</v>
      </c>
      <c r="P15" s="9" t="s">
        <v>91</v>
      </c>
      <c r="Q15" s="10">
        <v>0</v>
      </c>
      <c r="R15" s="10" t="s">
        <v>92</v>
      </c>
      <c r="S15" s="9" t="s">
        <v>93</v>
      </c>
      <c r="T15" s="9" t="s">
        <v>91</v>
      </c>
      <c r="U15" s="10">
        <v>0</v>
      </c>
      <c r="V15" s="10" t="s">
        <v>92</v>
      </c>
      <c r="W15" s="9" t="s">
        <v>93</v>
      </c>
      <c r="X15" s="115"/>
    </row>
    <row r="16" spans="1:39" ht="133.65" x14ac:dyDescent="0.25">
      <c r="B16" s="116">
        <v>514</v>
      </c>
      <c r="C16" s="132" t="s">
        <v>94</v>
      </c>
      <c r="D16" s="115" t="s">
        <v>95</v>
      </c>
      <c r="E16" s="116" t="s">
        <v>40</v>
      </c>
      <c r="F16" s="12">
        <f>P33</f>
        <v>35075.428270853714</v>
      </c>
      <c r="H16" s="58"/>
      <c r="I16" s="10">
        <f>I15/12</f>
        <v>15.020833333333334</v>
      </c>
      <c r="J16" s="10" t="s">
        <v>52</v>
      </c>
      <c r="K16" s="13"/>
      <c r="L16" s="58" t="s">
        <v>337</v>
      </c>
      <c r="M16" s="10">
        <f>M15/12</f>
        <v>0</v>
      </c>
      <c r="N16" s="10" t="s">
        <v>52</v>
      </c>
      <c r="O16" s="13"/>
      <c r="P16" s="58" t="s">
        <v>381</v>
      </c>
      <c r="Q16" s="10">
        <f>Q15/12</f>
        <v>0</v>
      </c>
      <c r="R16" s="10" t="s">
        <v>52</v>
      </c>
      <c r="S16" s="13"/>
      <c r="T16" s="58" t="s">
        <v>382</v>
      </c>
      <c r="U16" s="10">
        <f>U15/12</f>
        <v>0</v>
      </c>
      <c r="V16" s="10" t="s">
        <v>52</v>
      </c>
      <c r="W16" s="13"/>
      <c r="X16" s="116"/>
    </row>
    <row r="17" spans="2:68" ht="74.25" x14ac:dyDescent="0.25">
      <c r="B17" s="116">
        <v>514</v>
      </c>
      <c r="C17" s="132" t="s">
        <v>96</v>
      </c>
      <c r="D17" s="115" t="s">
        <v>97</v>
      </c>
      <c r="E17" s="116" t="s">
        <v>40</v>
      </c>
      <c r="F17" s="12">
        <f>P33</f>
        <v>35075.428270853714</v>
      </c>
      <c r="H17" s="10" t="s">
        <v>610</v>
      </c>
      <c r="I17" s="10">
        <f>1.18+77+128+128+77+1.15</f>
        <v>412.33</v>
      </c>
      <c r="J17" s="10" t="s">
        <v>52</v>
      </c>
      <c r="K17" s="10"/>
      <c r="L17" s="10" t="s">
        <v>100</v>
      </c>
      <c r="M17" s="10"/>
      <c r="N17" s="10" t="s">
        <v>52</v>
      </c>
      <c r="O17" s="10"/>
      <c r="P17" s="10" t="s">
        <v>100</v>
      </c>
      <c r="Q17" s="10">
        <v>0</v>
      </c>
      <c r="R17" s="10" t="s">
        <v>52</v>
      </c>
      <c r="S17" s="10"/>
      <c r="T17" s="10" t="s">
        <v>100</v>
      </c>
      <c r="U17" s="10">
        <v>0</v>
      </c>
      <c r="V17" s="10" t="s">
        <v>52</v>
      </c>
      <c r="W17" s="10"/>
    </row>
    <row r="18" spans="2:68" ht="89.1" x14ac:dyDescent="0.25">
      <c r="B18" s="116">
        <v>514</v>
      </c>
      <c r="C18" s="132" t="s">
        <v>98</v>
      </c>
      <c r="D18" s="115" t="s">
        <v>99</v>
      </c>
      <c r="E18" s="116" t="s">
        <v>40</v>
      </c>
      <c r="F18" s="12">
        <f>P33</f>
        <v>35075.428270853714</v>
      </c>
      <c r="H18" s="22" t="s">
        <v>106</v>
      </c>
      <c r="I18" s="22" t="s">
        <v>613</v>
      </c>
      <c r="J18" s="24"/>
      <c r="K18" s="22"/>
      <c r="L18" s="22" t="s">
        <v>106</v>
      </c>
      <c r="M18" s="22" t="s">
        <v>339</v>
      </c>
      <c r="N18" s="24"/>
      <c r="O18" s="22"/>
      <c r="P18" s="22" t="s">
        <v>106</v>
      </c>
      <c r="Q18" s="23" t="s">
        <v>340</v>
      </c>
      <c r="R18" s="24"/>
      <c r="S18" s="22"/>
      <c r="T18" s="22" t="s">
        <v>106</v>
      </c>
      <c r="U18" s="23" t="s">
        <v>341</v>
      </c>
      <c r="V18" s="24"/>
      <c r="W18" s="22"/>
      <c r="X18" s="117"/>
      <c r="Y18" s="223" t="s">
        <v>352</v>
      </c>
      <c r="Z18" s="224"/>
      <c r="AA18" s="224"/>
      <c r="AB18" s="224"/>
      <c r="AC18" s="224"/>
      <c r="AD18" s="224"/>
      <c r="AE18" s="224"/>
      <c r="AF18" s="225"/>
      <c r="AH18" s="167" t="s">
        <v>407</v>
      </c>
      <c r="AI18" s="85"/>
      <c r="AJ18" s="85"/>
      <c r="AK18" s="85"/>
      <c r="AL18" s="85"/>
      <c r="AM18" s="85" t="s">
        <v>102</v>
      </c>
      <c r="AN18" s="85"/>
      <c r="AO18" s="168">
        <v>8.1999999999999993</v>
      </c>
      <c r="AP18" s="169" t="s">
        <v>103</v>
      </c>
      <c r="AQ18" s="86"/>
      <c r="AS18" s="163" t="s">
        <v>185</v>
      </c>
      <c r="AT18" s="34"/>
      <c r="AU18" s="34"/>
      <c r="AV18" s="34"/>
      <c r="AW18" s="34"/>
      <c r="AX18" s="34" t="s">
        <v>102</v>
      </c>
      <c r="AY18" s="34"/>
      <c r="AZ18" s="164">
        <v>8.1999999999999993</v>
      </c>
      <c r="BA18" s="165" t="s">
        <v>103</v>
      </c>
      <c r="BB18" s="35"/>
    </row>
    <row r="19" spans="2:68" ht="74.25" x14ac:dyDescent="0.35">
      <c r="B19" s="116">
        <v>514</v>
      </c>
      <c r="C19" s="132" t="s">
        <v>104</v>
      </c>
      <c r="D19" s="115" t="s">
        <v>105</v>
      </c>
      <c r="E19" s="116" t="s">
        <v>40</v>
      </c>
      <c r="F19" s="12">
        <f>P33</f>
        <v>35075.428270853714</v>
      </c>
      <c r="H19" s="10" t="s">
        <v>112</v>
      </c>
      <c r="I19" s="10">
        <f>I17*I16</f>
        <v>6193.5402083333329</v>
      </c>
      <c r="J19" s="10" t="s">
        <v>113</v>
      </c>
      <c r="K19" s="10"/>
      <c r="L19" s="10" t="s">
        <v>112</v>
      </c>
      <c r="M19" s="10">
        <f>M17*M16</f>
        <v>0</v>
      </c>
      <c r="N19" s="10" t="s">
        <v>113</v>
      </c>
      <c r="O19" s="10"/>
      <c r="P19" s="10" t="s">
        <v>112</v>
      </c>
      <c r="Q19" s="10">
        <f>Q17*Q16</f>
        <v>0</v>
      </c>
      <c r="R19" s="10" t="s">
        <v>113</v>
      </c>
      <c r="S19" s="10"/>
      <c r="T19" s="10" t="s">
        <v>112</v>
      </c>
      <c r="U19" s="10">
        <f>U17*U16</f>
        <v>0</v>
      </c>
      <c r="V19" s="10" t="s">
        <v>113</v>
      </c>
      <c r="W19" s="10"/>
      <c r="X19" s="19"/>
      <c r="Y19" s="62"/>
      <c r="Z19" s="63" t="s">
        <v>114</v>
      </c>
      <c r="AA19" s="140">
        <v>8</v>
      </c>
      <c r="AB19" s="140" t="s">
        <v>52</v>
      </c>
      <c r="AC19" s="140"/>
      <c r="AD19" s="63"/>
      <c r="AE19" s="63"/>
      <c r="AF19" s="66"/>
      <c r="AH19" s="216" t="s">
        <v>352</v>
      </c>
      <c r="AI19" s="217"/>
      <c r="AJ19" s="217"/>
      <c r="AK19" s="217"/>
      <c r="AL19" s="217"/>
      <c r="AM19" s="217"/>
      <c r="AN19" s="217"/>
      <c r="AO19" s="63"/>
      <c r="AP19" s="63"/>
      <c r="AQ19" s="66"/>
      <c r="AS19" s="32"/>
      <c r="AT19" s="28"/>
      <c r="AU19" s="28" t="s">
        <v>101</v>
      </c>
      <c r="AV19" s="28" t="s">
        <v>630</v>
      </c>
      <c r="AW19" s="28" t="s">
        <v>631</v>
      </c>
      <c r="AX19" s="28"/>
      <c r="AY19" s="28"/>
      <c r="AZ19" s="25" t="s">
        <v>118</v>
      </c>
      <c r="BA19">
        <v>2</v>
      </c>
      <c r="BB19" s="21" t="s">
        <v>92</v>
      </c>
    </row>
    <row r="20" spans="2:68" ht="75" thickBot="1" x14ac:dyDescent="0.4">
      <c r="B20" s="116">
        <v>514</v>
      </c>
      <c r="C20" s="132" t="s">
        <v>109</v>
      </c>
      <c r="D20" s="133" t="s">
        <v>110</v>
      </c>
      <c r="E20" s="116" t="s">
        <v>111</v>
      </c>
      <c r="F20" s="134">
        <f>ROUNDUP(J21*J23/60,0)</f>
        <v>28</v>
      </c>
      <c r="H20" s="90" t="s">
        <v>117</v>
      </c>
      <c r="I20" s="91">
        <f>I19*1.1</f>
        <v>6812.8942291666672</v>
      </c>
      <c r="J20" s="90" t="s">
        <v>113</v>
      </c>
      <c r="K20" s="90"/>
      <c r="L20" s="10" t="s">
        <v>117</v>
      </c>
      <c r="M20" s="31">
        <f>M19*1.1</f>
        <v>0</v>
      </c>
      <c r="N20" s="10" t="s">
        <v>113</v>
      </c>
      <c r="O20" s="10"/>
      <c r="P20" s="10" t="s">
        <v>117</v>
      </c>
      <c r="Q20" s="31">
        <f>Q19*1.1</f>
        <v>0</v>
      </c>
      <c r="R20" s="10" t="s">
        <v>113</v>
      </c>
      <c r="S20" s="10"/>
      <c r="T20" s="10" t="s">
        <v>117</v>
      </c>
      <c r="U20" s="31">
        <f>U19*1.1</f>
        <v>0</v>
      </c>
      <c r="V20" s="10" t="s">
        <v>113</v>
      </c>
      <c r="W20" s="10"/>
      <c r="X20" s="19"/>
      <c r="Y20" s="62" t="s">
        <v>419</v>
      </c>
      <c r="Z20" s="161" t="s">
        <v>386</v>
      </c>
      <c r="AA20" s="63">
        <f>8*12</f>
        <v>96</v>
      </c>
      <c r="AB20" s="63" t="s">
        <v>92</v>
      </c>
      <c r="AC20" s="63"/>
      <c r="AD20" s="68"/>
      <c r="AE20" s="63"/>
      <c r="AF20" s="66"/>
      <c r="AH20" s="67"/>
      <c r="AI20" s="65"/>
      <c r="AJ20" s="65" t="s">
        <v>101</v>
      </c>
      <c r="AK20" s="65" t="s">
        <v>119</v>
      </c>
      <c r="AL20" s="65" t="s">
        <v>120</v>
      </c>
      <c r="AM20" s="65"/>
      <c r="AN20" s="65"/>
      <c r="AO20" s="68" t="s">
        <v>118</v>
      </c>
      <c r="AP20" s="63">
        <v>2</v>
      </c>
      <c r="AQ20" s="66" t="s">
        <v>92</v>
      </c>
      <c r="AS20" s="32"/>
      <c r="AT20" s="28" t="s">
        <v>114</v>
      </c>
      <c r="AU20" s="28">
        <v>12.58</v>
      </c>
      <c r="AV20" s="28">
        <f>AU20/4</f>
        <v>3.145</v>
      </c>
      <c r="AW20" s="28">
        <f>AU20/8</f>
        <v>1.5725</v>
      </c>
      <c r="AX20" s="28"/>
      <c r="AY20" s="28"/>
      <c r="AZ20" t="s">
        <v>92</v>
      </c>
      <c r="BB20" s="21"/>
    </row>
    <row r="21" spans="2:68" ht="44.55" x14ac:dyDescent="0.25">
      <c r="B21" s="116">
        <v>514</v>
      </c>
      <c r="C21" s="36">
        <v>10000</v>
      </c>
      <c r="D21" s="133" t="s">
        <v>115</v>
      </c>
      <c r="E21" s="116" t="s">
        <v>116</v>
      </c>
      <c r="F21" s="30">
        <f>ROUNDUP(MAX(F16/1200,(J21*J23/150)),0)</f>
        <v>30</v>
      </c>
      <c r="H21" s="92" t="s">
        <v>121</v>
      </c>
      <c r="I21" s="93"/>
      <c r="J21" s="94">
        <f>I17+M17+Q17+U17</f>
        <v>412.33</v>
      </c>
      <c r="K21" s="95" t="s">
        <v>52</v>
      </c>
      <c r="Y21" s="62"/>
      <c r="Z21" s="162" t="s">
        <v>422</v>
      </c>
      <c r="AA21" s="63">
        <f>66.5-2</f>
        <v>64.5</v>
      </c>
      <c r="AB21" s="63" t="s">
        <v>92</v>
      </c>
      <c r="AC21" s="63"/>
      <c r="AD21" s="68"/>
      <c r="AE21" s="63"/>
      <c r="AF21" s="66"/>
      <c r="AH21" s="67"/>
      <c r="AI21" s="65" t="s">
        <v>114</v>
      </c>
      <c r="AJ21" s="65">
        <v>14.12</v>
      </c>
      <c r="AK21" s="65">
        <f>AJ21/3</f>
        <v>4.7066666666666661</v>
      </c>
      <c r="AL21" s="65">
        <f>AJ21/6</f>
        <v>2.3533333333333331</v>
      </c>
      <c r="AM21" s="65"/>
      <c r="AN21" s="65"/>
      <c r="AO21" s="63" t="s">
        <v>92</v>
      </c>
      <c r="AP21" s="63"/>
      <c r="AQ21" s="66"/>
      <c r="AS21" s="32"/>
      <c r="AT21" s="28" t="s">
        <v>321</v>
      </c>
      <c r="AU21" s="28">
        <v>66.5</v>
      </c>
      <c r="AV21" s="36" t="s">
        <v>92</v>
      </c>
      <c r="AW21" s="28"/>
      <c r="AX21" s="28"/>
      <c r="AY21" s="28"/>
      <c r="AZ21" t="s">
        <v>92</v>
      </c>
      <c r="BB21" s="21"/>
    </row>
    <row r="22" spans="2:68" ht="15.05" customHeight="1" x14ac:dyDescent="0.25">
      <c r="H22" s="102" t="s">
        <v>342</v>
      </c>
      <c r="I22" s="103"/>
      <c r="J22" s="128">
        <f>(I20+M20+Q20+U20)</f>
        <v>6812.8942291666672</v>
      </c>
      <c r="K22" s="104" t="s">
        <v>113</v>
      </c>
      <c r="M22" t="s">
        <v>375</v>
      </c>
      <c r="N22" s="52">
        <f>BL29</f>
        <v>0</v>
      </c>
      <c r="O22" t="s">
        <v>126</v>
      </c>
      <c r="Y22" s="62"/>
      <c r="Z22" s="63"/>
      <c r="AA22" s="63"/>
      <c r="AB22" s="63"/>
      <c r="AC22" s="63"/>
      <c r="AD22" s="63"/>
      <c r="AE22" s="63"/>
      <c r="AF22" s="66"/>
      <c r="AH22" s="67"/>
      <c r="AI22" s="65" t="s">
        <v>321</v>
      </c>
      <c r="AJ22" s="65">
        <v>66.5</v>
      </c>
      <c r="AK22" s="69" t="s">
        <v>92</v>
      </c>
      <c r="AL22" s="65"/>
      <c r="AM22" s="65"/>
      <c r="AN22" s="65"/>
      <c r="AO22" s="63" t="s">
        <v>92</v>
      </c>
      <c r="AP22" s="63"/>
      <c r="AQ22" s="66"/>
      <c r="AS22" s="32"/>
      <c r="AT22" s="28"/>
      <c r="AU22" s="28">
        <f>AU21/12</f>
        <v>5.541666666666667</v>
      </c>
      <c r="AV22" s="36" t="s">
        <v>52</v>
      </c>
      <c r="AW22" s="166">
        <f>AT26^2+AT29^2</f>
        <v>40.601094444444449</v>
      </c>
      <c r="AX22" s="28"/>
      <c r="AY22" s="37">
        <f>AT26^2+AU29^2</f>
        <v>33.182825694444446</v>
      </c>
      <c r="AZ22" t="s">
        <v>92</v>
      </c>
      <c r="BB22" s="21"/>
      <c r="BI22" s="14"/>
      <c r="BJ22" s="16"/>
      <c r="BK22" s="16"/>
      <c r="BL22" s="16"/>
      <c r="BM22" s="16"/>
      <c r="BN22" s="16"/>
      <c r="BO22" s="16"/>
      <c r="BP22" s="17"/>
    </row>
    <row r="23" spans="2:68" x14ac:dyDescent="0.25">
      <c r="H23" s="96" t="s">
        <v>123</v>
      </c>
      <c r="I23" s="35"/>
      <c r="J23" s="10">
        <v>4</v>
      </c>
      <c r="K23" s="97"/>
      <c r="M23" t="s">
        <v>374</v>
      </c>
      <c r="N23" s="52">
        <f>BP49</f>
        <v>113.65461217807733</v>
      </c>
      <c r="O23" t="s">
        <v>126</v>
      </c>
      <c r="R23" s="14" t="s">
        <v>363</v>
      </c>
      <c r="S23" s="16" t="s">
        <v>423</v>
      </c>
      <c r="T23" s="16" t="s">
        <v>365</v>
      </c>
      <c r="U23" s="17" t="s">
        <v>424</v>
      </c>
      <c r="Y23" s="62"/>
      <c r="Z23" s="63"/>
      <c r="AA23" s="63"/>
      <c r="AB23" s="63"/>
      <c r="AC23" s="63"/>
      <c r="AD23" s="63"/>
      <c r="AE23" s="63"/>
      <c r="AF23" s="66"/>
      <c r="AH23" s="67"/>
      <c r="AI23" s="65"/>
      <c r="AJ23" s="65">
        <f>AJ22/12</f>
        <v>5.541666666666667</v>
      </c>
      <c r="AK23" s="69" t="s">
        <v>52</v>
      </c>
      <c r="AL23" s="65">
        <f>AI27^2+AI30^2</f>
        <v>40.136400000000002</v>
      </c>
      <c r="AM23" s="65"/>
      <c r="AN23" s="70">
        <f>AI27^2+AJ30^2</f>
        <v>34.809372250000003</v>
      </c>
      <c r="AO23" s="63" t="s">
        <v>92</v>
      </c>
      <c r="AP23" s="63"/>
      <c r="AQ23" s="66"/>
      <c r="AS23" s="32"/>
      <c r="AT23" s="28"/>
      <c r="AU23" s="28"/>
      <c r="AV23" s="36"/>
      <c r="AW23" s="28"/>
      <c r="AX23" s="28"/>
      <c r="AY23" s="28"/>
      <c r="BB23" s="21"/>
      <c r="BI23" s="19"/>
      <c r="BK23" t="s">
        <v>368</v>
      </c>
      <c r="BP23" s="21"/>
    </row>
    <row r="24" spans="2:68" ht="15.6" thickBot="1" x14ac:dyDescent="0.3">
      <c r="H24" s="98" t="s">
        <v>360</v>
      </c>
      <c r="I24" s="99"/>
      <c r="J24" s="100">
        <f>J22*J23</f>
        <v>27251.576916666669</v>
      </c>
      <c r="K24" s="101" t="s">
        <v>113</v>
      </c>
      <c r="R24" s="19" t="s">
        <v>366</v>
      </c>
      <c r="S24">
        <v>5</v>
      </c>
      <c r="T24">
        <v>5</v>
      </c>
      <c r="U24" s="21">
        <v>7.84</v>
      </c>
      <c r="Y24" s="62"/>
      <c r="Z24" s="63"/>
      <c r="AA24" s="63"/>
      <c r="AB24" s="63"/>
      <c r="AC24" s="63"/>
      <c r="AD24" s="63"/>
      <c r="AE24" s="63"/>
      <c r="AF24" s="66"/>
      <c r="AH24" s="67"/>
      <c r="AI24" s="65"/>
      <c r="AJ24" s="65"/>
      <c r="AK24" s="69"/>
      <c r="AL24" s="65"/>
      <c r="AM24" s="65"/>
      <c r="AN24" s="65"/>
      <c r="AO24" s="63"/>
      <c r="AP24" s="63"/>
      <c r="AQ24" s="66"/>
      <c r="AS24" s="32"/>
      <c r="AT24" s="28"/>
      <c r="AU24" s="28"/>
      <c r="AV24" s="28"/>
      <c r="AW24" s="28"/>
      <c r="AX24" s="28"/>
      <c r="AY24" s="28"/>
      <c r="BA24">
        <v>1.333</v>
      </c>
      <c r="BB24" s="21" t="s">
        <v>125</v>
      </c>
      <c r="BI24" s="19"/>
      <c r="BJ24" t="s">
        <v>370</v>
      </c>
      <c r="BK24" t="s">
        <v>364</v>
      </c>
      <c r="BL24">
        <f>(BJ31*BI33)+(BP33*BM30)+(2*(BI33-BP33)*BM30/2)</f>
        <v>798</v>
      </c>
      <c r="BM24" t="s">
        <v>369</v>
      </c>
      <c r="BP24" s="21"/>
    </row>
    <row r="25" spans="2:68" x14ac:dyDescent="0.25">
      <c r="H25" s="4"/>
      <c r="R25" s="19" t="s">
        <v>358</v>
      </c>
      <c r="S25">
        <v>20</v>
      </c>
      <c r="T25">
        <v>5</v>
      </c>
      <c r="U25" s="21">
        <v>0</v>
      </c>
      <c r="Y25" s="62"/>
      <c r="Z25" s="63">
        <f>(Z26)/12</f>
        <v>5.375</v>
      </c>
      <c r="AA25" s="63" t="s">
        <v>2</v>
      </c>
      <c r="AB25" s="63"/>
      <c r="AC25" s="63"/>
      <c r="AD25" s="63"/>
      <c r="AE25" s="63"/>
      <c r="AF25" s="66"/>
      <c r="AH25" s="67"/>
      <c r="AI25" s="65"/>
      <c r="AJ25" s="65"/>
      <c r="AK25" s="65"/>
      <c r="AL25" s="65"/>
      <c r="AM25" s="65"/>
      <c r="AN25" s="65"/>
      <c r="AO25" s="63"/>
      <c r="AP25" s="63">
        <v>1.333</v>
      </c>
      <c r="AQ25" s="66" t="s">
        <v>125</v>
      </c>
      <c r="AS25" s="32"/>
      <c r="AT25" s="28"/>
      <c r="AU25" s="37">
        <f>SQRT(AY22)</f>
        <v>5.7604536014487993</v>
      </c>
      <c r="AV25" s="37"/>
      <c r="AW25" s="37">
        <f>AS26</f>
        <v>6.3718988099658684</v>
      </c>
      <c r="AY25" s="28"/>
      <c r="BA25" s="1">
        <f>0.33*BA24*2</f>
        <v>0.87978000000000001</v>
      </c>
      <c r="BB25" s="21" t="s">
        <v>126</v>
      </c>
      <c r="BI25" s="19"/>
      <c r="BJ25" t="s">
        <v>371</v>
      </c>
      <c r="BK25" t="s">
        <v>364</v>
      </c>
      <c r="BL25">
        <f>0</f>
        <v>0</v>
      </c>
      <c r="BM25" t="s">
        <v>369</v>
      </c>
      <c r="BP25" s="21"/>
    </row>
    <row r="26" spans="2:68" x14ac:dyDescent="0.25">
      <c r="H26" s="14" t="s">
        <v>325</v>
      </c>
      <c r="I26" s="16"/>
      <c r="J26" s="16">
        <f>2*(6*62)/144</f>
        <v>5.166666666666667</v>
      </c>
      <c r="K26" s="17" t="s">
        <v>126</v>
      </c>
      <c r="R26" s="19" t="s">
        <v>361</v>
      </c>
      <c r="S26">
        <f>S24*S25</f>
        <v>100</v>
      </c>
      <c r="T26">
        <f>T24*T25</f>
        <v>25</v>
      </c>
      <c r="U26" s="21">
        <f>U24*U25</f>
        <v>0</v>
      </c>
      <c r="Y26" s="62"/>
      <c r="Z26" s="63">
        <f>AA21</f>
        <v>64.5</v>
      </c>
      <c r="AA26" s="63"/>
      <c r="AB26" s="63"/>
      <c r="AC26" s="63"/>
      <c r="AD26" s="63">
        <f>(SQRT((AB29/2)^2+(Z25)^2))</f>
        <v>6.7000466416286981</v>
      </c>
      <c r="AE26" s="63" t="s">
        <v>2</v>
      </c>
      <c r="AF26" s="66"/>
      <c r="AH26" s="67"/>
      <c r="AI26" s="65"/>
      <c r="AJ26" s="70">
        <f>SQRT(AN23)</f>
        <v>5.8999468006076121</v>
      </c>
      <c r="AK26" s="70"/>
      <c r="AL26" s="65"/>
      <c r="AM26" s="70">
        <f>AH27</f>
        <v>6.335</v>
      </c>
      <c r="AN26" s="65"/>
      <c r="AO26" s="63"/>
      <c r="AP26" s="71">
        <f>0.33*AP25*2</f>
        <v>0.87978000000000001</v>
      </c>
      <c r="AQ26" s="66" t="s">
        <v>126</v>
      </c>
      <c r="AS26" s="39">
        <f>SQRT(AW22)</f>
        <v>6.3718988099658684</v>
      </c>
      <c r="AT26" s="40">
        <f>AU22</f>
        <v>5.541666666666667</v>
      </c>
      <c r="AU26" s="28"/>
      <c r="AV26" s="28"/>
      <c r="AW26" s="28"/>
      <c r="AX26" s="28"/>
      <c r="AY26" s="28"/>
      <c r="BA26">
        <v>7</v>
      </c>
      <c r="BB26" s="21" t="s">
        <v>125</v>
      </c>
      <c r="BI26" s="19"/>
      <c r="BJ26" t="s">
        <v>372</v>
      </c>
      <c r="BK26" t="s">
        <v>364</v>
      </c>
      <c r="BL26">
        <f>(BL24+BL25)/144*2</f>
        <v>11.083333333333334</v>
      </c>
      <c r="BM26" t="s">
        <v>113</v>
      </c>
      <c r="BP26" s="21"/>
    </row>
    <row r="27" spans="2:68" ht="15.05" customHeight="1" x14ac:dyDescent="0.25">
      <c r="H27" s="19" t="s">
        <v>187</v>
      </c>
      <c r="J27">
        <f>(208)*4</f>
        <v>832</v>
      </c>
      <c r="K27" s="21" t="s">
        <v>329</v>
      </c>
      <c r="R27" s="19"/>
      <c r="U27" s="21"/>
      <c r="Y27" s="62"/>
      <c r="Z27" s="63"/>
      <c r="AA27" s="63"/>
      <c r="AB27" s="63"/>
      <c r="AC27" s="63"/>
      <c r="AD27" s="63"/>
      <c r="AE27" s="63"/>
      <c r="AF27" s="66"/>
      <c r="AH27" s="72">
        <v>6.335</v>
      </c>
      <c r="AI27" s="73">
        <v>5.58</v>
      </c>
      <c r="AJ27" s="65"/>
      <c r="AK27" s="65"/>
      <c r="AL27" s="65"/>
      <c r="AM27" s="65"/>
      <c r="AN27" s="65"/>
      <c r="AO27" s="63"/>
      <c r="AP27" s="63">
        <v>7</v>
      </c>
      <c r="AQ27" s="66" t="s">
        <v>125</v>
      </c>
      <c r="AS27" s="32"/>
      <c r="AT27" s="28"/>
      <c r="AU27" s="28"/>
      <c r="AV27" s="28"/>
      <c r="AW27" s="28"/>
      <c r="AX27" s="28"/>
      <c r="AY27" s="28"/>
      <c r="BA27" s="1">
        <f>0.33*BA26*2</f>
        <v>4.62</v>
      </c>
      <c r="BB27" s="21" t="s">
        <v>126</v>
      </c>
      <c r="BI27" s="19"/>
      <c r="BJ27" t="s">
        <v>358</v>
      </c>
      <c r="BL27">
        <v>0</v>
      </c>
      <c r="BP27" s="21"/>
    </row>
    <row r="28" spans="2:68" x14ac:dyDescent="0.25">
      <c r="H28" s="19" t="s">
        <v>188</v>
      </c>
      <c r="J28" s="7">
        <f>J26*J27</f>
        <v>4298.666666666667</v>
      </c>
      <c r="K28" s="21" t="s">
        <v>126</v>
      </c>
      <c r="R28" s="19"/>
      <c r="S28" t="s">
        <v>351</v>
      </c>
      <c r="T28">
        <f>S26+T26+U26</f>
        <v>125</v>
      </c>
      <c r="U28" s="21"/>
      <c r="Y28" s="62"/>
      <c r="Z28" s="63"/>
      <c r="AA28" s="63"/>
      <c r="AB28" s="63"/>
      <c r="AC28" s="63"/>
      <c r="AD28" s="63"/>
      <c r="AE28" s="63"/>
      <c r="AF28" s="66"/>
      <c r="AH28" s="67"/>
      <c r="AI28" s="65"/>
      <c r="AJ28" s="65"/>
      <c r="AK28" s="65"/>
      <c r="AL28" s="65"/>
      <c r="AM28" s="65"/>
      <c r="AN28" s="65"/>
      <c r="AO28" s="63"/>
      <c r="AP28" s="71">
        <f>0.33*AP27*2</f>
        <v>4.62</v>
      </c>
      <c r="AQ28" s="66" t="s">
        <v>126</v>
      </c>
      <c r="AS28" s="32"/>
      <c r="AT28" s="28"/>
      <c r="AU28" s="28"/>
      <c r="AV28" s="28"/>
      <c r="AW28" s="28"/>
      <c r="AX28" s="28"/>
      <c r="AY28" s="28"/>
      <c r="BB28" s="21"/>
      <c r="BI28" s="19"/>
      <c r="BJ28" t="s">
        <v>373</v>
      </c>
      <c r="BL28">
        <f>BL26*BL27</f>
        <v>0</v>
      </c>
      <c r="BP28" s="21"/>
    </row>
    <row r="29" spans="2:68" x14ac:dyDescent="0.25">
      <c r="H29" s="49" t="s">
        <v>189</v>
      </c>
      <c r="I29" s="3"/>
      <c r="J29" s="3"/>
      <c r="K29" s="44"/>
      <c r="R29" s="49"/>
      <c r="S29" s="112" t="s">
        <v>367</v>
      </c>
      <c r="T29" s="59">
        <f>T28*1.1</f>
        <v>137.5</v>
      </c>
      <c r="U29" s="44"/>
      <c r="Y29" s="62"/>
      <c r="Z29" s="63"/>
      <c r="AA29" s="63"/>
      <c r="AB29" s="140">
        <f>AA19</f>
        <v>8</v>
      </c>
      <c r="AC29" s="63"/>
      <c r="AD29" s="63"/>
      <c r="AE29" s="63"/>
      <c r="AF29" s="66"/>
      <c r="AH29" s="67"/>
      <c r="AI29" s="65"/>
      <c r="AJ29" s="65"/>
      <c r="AK29" s="65"/>
      <c r="AL29" s="65"/>
      <c r="AM29" s="65"/>
      <c r="AN29" s="65"/>
      <c r="AO29" s="63"/>
      <c r="AP29" s="63"/>
      <c r="AQ29" s="66"/>
      <c r="AS29" s="32"/>
      <c r="AT29" s="37">
        <f>AV20</f>
        <v>3.145</v>
      </c>
      <c r="AU29" s="37">
        <f>AW20</f>
        <v>1.5725</v>
      </c>
      <c r="AV29" s="28"/>
      <c r="AW29" s="28"/>
      <c r="AX29" s="28"/>
      <c r="AY29" s="28"/>
      <c r="BB29" s="21"/>
      <c r="BI29" s="19"/>
      <c r="BJ29" t="s">
        <v>367</v>
      </c>
      <c r="BL29" s="7">
        <f>BL28*1.1</f>
        <v>0</v>
      </c>
      <c r="BP29" s="21"/>
    </row>
    <row r="30" spans="2:68" ht="15.05" customHeight="1" x14ac:dyDescent="0.25">
      <c r="Y30" s="62"/>
      <c r="Z30" s="63"/>
      <c r="AA30" s="63"/>
      <c r="AB30" s="63"/>
      <c r="AC30" s="63"/>
      <c r="AD30" s="63"/>
      <c r="AE30" s="63"/>
      <c r="AF30" s="66"/>
      <c r="AH30" s="67"/>
      <c r="AI30" s="70">
        <v>3</v>
      </c>
      <c r="AJ30" s="70">
        <v>1.9165000000000001</v>
      </c>
      <c r="AK30" s="65"/>
      <c r="AL30" s="65"/>
      <c r="AM30" s="65"/>
      <c r="AN30" s="65"/>
      <c r="AO30" s="63"/>
      <c r="AP30" s="63"/>
      <c r="AQ30" s="66"/>
      <c r="AS30" s="42"/>
      <c r="AT30" s="43"/>
      <c r="AU30" s="43"/>
      <c r="AV30" s="43"/>
      <c r="AW30" s="43"/>
      <c r="AX30" s="43"/>
      <c r="AY30" s="43"/>
      <c r="AZ30" s="3"/>
      <c r="BA30" s="3"/>
      <c r="BB30" s="44"/>
      <c r="BI30" s="19"/>
      <c r="BM30">
        <v>39</v>
      </c>
      <c r="BP30" s="21"/>
    </row>
    <row r="31" spans="2:68" ht="15.6" thickBot="1" x14ac:dyDescent="0.3">
      <c r="H31" s="14" t="s">
        <v>383</v>
      </c>
      <c r="I31" s="16"/>
      <c r="J31" s="16">
        <f>2*(6*62)/144</f>
        <v>5.166666666666667</v>
      </c>
      <c r="K31" s="17" t="s">
        <v>126</v>
      </c>
      <c r="Y31" s="62" t="s">
        <v>420</v>
      </c>
      <c r="Z31" s="63"/>
      <c r="AA31" s="63"/>
      <c r="AB31" s="140">
        <f>(2*AD26)+AB29</f>
        <v>21.400093283257398</v>
      </c>
      <c r="AC31" s="63" t="s">
        <v>125</v>
      </c>
      <c r="AD31" s="63"/>
      <c r="AE31" s="63"/>
      <c r="AF31" s="66"/>
      <c r="AH31" s="74"/>
      <c r="AI31" s="75"/>
      <c r="AJ31" s="75"/>
      <c r="AK31" s="75"/>
      <c r="AL31" s="75"/>
      <c r="AM31" s="75"/>
      <c r="AN31" s="75"/>
      <c r="AO31" s="76"/>
      <c r="AP31" s="76"/>
      <c r="AQ31" s="77"/>
      <c r="AS31" s="45"/>
      <c r="AT31" s="46"/>
      <c r="AU31" s="46" t="s">
        <v>130</v>
      </c>
      <c r="AV31" s="47" t="s">
        <v>638</v>
      </c>
      <c r="AW31" s="46"/>
      <c r="AX31" s="46"/>
      <c r="AY31" s="46"/>
      <c r="AZ31" s="16"/>
      <c r="BA31" s="16"/>
      <c r="BB31" s="17"/>
      <c r="BI31" s="19"/>
      <c r="BJ31">
        <v>18</v>
      </c>
      <c r="BP31" s="21"/>
    </row>
    <row r="32" spans="2:68" x14ac:dyDescent="0.25">
      <c r="H32" s="19" t="s">
        <v>187</v>
      </c>
      <c r="J32">
        <v>64</v>
      </c>
      <c r="K32" s="21" t="s">
        <v>329</v>
      </c>
      <c r="O32" s="108" t="s">
        <v>362</v>
      </c>
      <c r="P32" s="109"/>
      <c r="Y32" s="62"/>
      <c r="Z32" s="63"/>
      <c r="AA32" s="63"/>
      <c r="AB32" s="63"/>
      <c r="AC32" s="63"/>
      <c r="AD32" s="63"/>
      <c r="AE32" s="63"/>
      <c r="AF32" s="66"/>
      <c r="AH32" s="78"/>
      <c r="AI32" s="79"/>
      <c r="AJ32" s="79" t="s">
        <v>130</v>
      </c>
      <c r="AK32" s="80" t="s">
        <v>353</v>
      </c>
      <c r="AL32" s="79"/>
      <c r="AM32" s="79"/>
      <c r="AN32" s="79"/>
      <c r="AO32" s="60"/>
      <c r="AP32" s="60"/>
      <c r="AQ32" s="61"/>
      <c r="AS32" s="42"/>
      <c r="AT32" s="43"/>
      <c r="AU32" s="43"/>
      <c r="AV32" s="43">
        <f>AU20+(2*AS26)+(2*AU25)+AT26</f>
        <v>42.386371489496</v>
      </c>
      <c r="AW32" s="43" t="s">
        <v>52</v>
      </c>
      <c r="AX32" s="43"/>
      <c r="AY32" s="43"/>
      <c r="AZ32" s="3"/>
      <c r="BA32" s="3"/>
      <c r="BB32" s="44"/>
      <c r="BI32" s="19"/>
      <c r="BP32" s="21"/>
    </row>
    <row r="33" spans="8:69" ht="15.6" thickBot="1" x14ac:dyDescent="0.3">
      <c r="H33" s="19" t="s">
        <v>188</v>
      </c>
      <c r="J33" s="7">
        <f>J31*J32</f>
        <v>330.66666666666669</v>
      </c>
      <c r="K33" s="21" t="s">
        <v>126</v>
      </c>
      <c r="O33" s="110" t="s">
        <v>351</v>
      </c>
      <c r="P33" s="111">
        <f>J24+J28+J33+I42+I52+I61+T29+N22+N23</f>
        <v>35075.428270853714</v>
      </c>
      <c r="Y33" s="141" t="s">
        <v>421</v>
      </c>
      <c r="Z33" s="63"/>
      <c r="AA33" s="63"/>
      <c r="AB33" s="71">
        <f>0.25*4*AB31</f>
        <v>21.400093283257398</v>
      </c>
      <c r="AC33" s="63" t="s">
        <v>126</v>
      </c>
      <c r="AD33" s="63"/>
      <c r="AE33" s="63"/>
      <c r="AF33" s="66"/>
      <c r="AH33" s="74"/>
      <c r="AI33" s="75"/>
      <c r="AJ33" s="75"/>
      <c r="AK33" s="75">
        <f>AJ21+(2*AH27)+(2*AJ26)</f>
        <v>38.589893601215223</v>
      </c>
      <c r="AL33" s="75" t="s">
        <v>52</v>
      </c>
      <c r="AM33" s="75"/>
      <c r="AN33" s="75"/>
      <c r="AO33" s="76"/>
      <c r="AP33" s="76"/>
      <c r="AQ33" s="77"/>
      <c r="AS33" s="45"/>
      <c r="AT33" s="46"/>
      <c r="AU33" s="46"/>
      <c r="AV33" s="46"/>
      <c r="AW33" s="46"/>
      <c r="AX33" s="46"/>
      <c r="AY33" s="46"/>
      <c r="AZ33" s="16"/>
      <c r="BA33" s="16"/>
      <c r="BB33" s="17"/>
      <c r="BI33" s="19">
        <v>14</v>
      </c>
      <c r="BP33" s="21">
        <v>6</v>
      </c>
    </row>
    <row r="34" spans="8:69" x14ac:dyDescent="0.25">
      <c r="H34" s="49" t="s">
        <v>189</v>
      </c>
      <c r="I34" s="3"/>
      <c r="J34" s="3"/>
      <c r="K34" s="44"/>
      <c r="Y34" s="62" t="s">
        <v>132</v>
      </c>
      <c r="Z34" s="63"/>
      <c r="AA34" s="63" t="s">
        <v>133</v>
      </c>
      <c r="AB34" s="140">
        <f>AB33*1.1</f>
        <v>23.540102611583141</v>
      </c>
      <c r="AC34" s="63" t="s">
        <v>126</v>
      </c>
      <c r="AD34" s="63"/>
      <c r="AE34" s="63"/>
      <c r="AF34" s="66"/>
      <c r="AH34" s="78"/>
      <c r="AI34" s="79"/>
      <c r="AJ34" s="79"/>
      <c r="AK34" s="79"/>
      <c r="AL34" s="79"/>
      <c r="AM34" s="79"/>
      <c r="AN34" s="79"/>
      <c r="AO34" s="60"/>
      <c r="AP34" s="60"/>
      <c r="AQ34" s="61"/>
      <c r="AS34" s="32"/>
      <c r="AT34" s="28"/>
      <c r="AU34" s="28"/>
      <c r="AV34" s="28"/>
      <c r="AW34" s="28"/>
      <c r="AX34" s="28"/>
      <c r="AY34" s="28"/>
      <c r="BB34" s="21"/>
      <c r="BI34" s="19"/>
      <c r="BP34" s="21"/>
    </row>
    <row r="35" spans="8:69" x14ac:dyDescent="0.25">
      <c r="Y35" s="62"/>
      <c r="Z35" s="63"/>
      <c r="AA35" s="63"/>
      <c r="AB35" s="140"/>
      <c r="AC35" s="63"/>
      <c r="AD35" s="63"/>
      <c r="AE35" s="63"/>
      <c r="AF35" s="66"/>
      <c r="AH35" s="67"/>
      <c r="AI35" s="65"/>
      <c r="AJ35" s="65"/>
      <c r="AK35" s="65"/>
      <c r="AL35" s="65"/>
      <c r="AM35" s="65"/>
      <c r="AN35" s="65"/>
      <c r="AO35" s="63"/>
      <c r="AP35" s="63"/>
      <c r="AQ35" s="66"/>
      <c r="AS35" s="32"/>
      <c r="AT35" s="28" t="s">
        <v>134</v>
      </c>
      <c r="AU35" s="28"/>
      <c r="AV35" s="28">
        <f>AV32*(0.3333*4)</f>
        <v>56.509510469796062</v>
      </c>
      <c r="AW35" s="28" t="s">
        <v>126</v>
      </c>
      <c r="AX35" s="28"/>
      <c r="AY35" s="28"/>
      <c r="BB35" s="21"/>
      <c r="BI35" s="19"/>
      <c r="BP35" s="21"/>
    </row>
    <row r="36" spans="8:69" x14ac:dyDescent="0.25">
      <c r="H36" t="s">
        <v>435</v>
      </c>
      <c r="Y36" s="82"/>
      <c r="Z36" s="76"/>
      <c r="AA36" s="76"/>
      <c r="AB36" s="76"/>
      <c r="AC36" s="76"/>
      <c r="AD36" s="76"/>
      <c r="AE36" s="76"/>
      <c r="AF36" s="77"/>
      <c r="AH36" s="67"/>
      <c r="AI36" s="65" t="s">
        <v>134</v>
      </c>
      <c r="AJ36" s="65"/>
      <c r="AK36" s="65">
        <f>AK33*(0.3333*4)</f>
        <v>51.448046149140133</v>
      </c>
      <c r="AL36" s="65" t="s">
        <v>126</v>
      </c>
      <c r="AM36" s="65"/>
      <c r="AN36" s="65"/>
      <c r="AO36" s="63"/>
      <c r="AP36" s="63"/>
      <c r="AQ36" s="66"/>
      <c r="AS36" s="42"/>
      <c r="AT36" s="43" t="s">
        <v>135</v>
      </c>
      <c r="AU36" s="43"/>
      <c r="AV36" s="43"/>
      <c r="AW36" s="43"/>
      <c r="AX36" s="43"/>
      <c r="AY36" s="43"/>
      <c r="AZ36" s="3"/>
      <c r="BA36" s="3"/>
      <c r="BB36" s="44"/>
      <c r="BI36" s="19"/>
      <c r="BP36" s="21"/>
    </row>
    <row r="37" spans="8:69" x14ac:dyDescent="0.25">
      <c r="H37" s="10" t="s">
        <v>91</v>
      </c>
      <c r="I37" s="10">
        <v>1.33</v>
      </c>
      <c r="J37" s="10" t="s">
        <v>52</v>
      </c>
      <c r="K37" s="10"/>
      <c r="AH37" s="74"/>
      <c r="AI37" s="75" t="s">
        <v>135</v>
      </c>
      <c r="AJ37" s="75"/>
      <c r="AK37" s="75"/>
      <c r="AL37" s="75"/>
      <c r="AM37" s="75"/>
      <c r="AN37" s="75"/>
      <c r="AO37" s="76"/>
      <c r="AP37" s="76"/>
      <c r="AQ37" s="77"/>
      <c r="AS37" s="14"/>
      <c r="AT37" s="16"/>
      <c r="AU37" s="16"/>
      <c r="AV37" s="16"/>
      <c r="AW37" s="16"/>
      <c r="AX37" s="16"/>
      <c r="AY37" s="16"/>
      <c r="AZ37" s="16"/>
      <c r="BA37" s="16"/>
      <c r="BB37" s="17"/>
      <c r="BI37" s="19"/>
      <c r="BP37" s="21"/>
    </row>
    <row r="38" spans="8:69" x14ac:dyDescent="0.25">
      <c r="H38" s="10" t="s">
        <v>100</v>
      </c>
      <c r="I38" s="41">
        <v>42.39</v>
      </c>
      <c r="J38" s="10" t="s">
        <v>52</v>
      </c>
      <c r="K38" s="10"/>
      <c r="AH38" s="81"/>
      <c r="AI38" s="60"/>
      <c r="AJ38" s="60"/>
      <c r="AK38" s="60"/>
      <c r="AL38" s="60"/>
      <c r="AM38" s="60"/>
      <c r="AN38" s="60"/>
      <c r="AO38" s="60"/>
      <c r="AP38" s="60"/>
      <c r="AQ38" s="61"/>
      <c r="AS38" s="19"/>
      <c r="AT38" s="222" t="s">
        <v>136</v>
      </c>
      <c r="BB38" s="21"/>
      <c r="BI38" s="19">
        <v>1.375</v>
      </c>
      <c r="BP38" s="21"/>
    </row>
    <row r="39" spans="8:69" x14ac:dyDescent="0.25">
      <c r="H39" s="10" t="s">
        <v>106</v>
      </c>
      <c r="I39" t="str">
        <f>'BUT-4-1580L'!$I$280</f>
        <v>End Crossframes</v>
      </c>
      <c r="K39" s="10"/>
      <c r="Y39" s="14"/>
      <c r="Z39" s="15" t="s">
        <v>384</v>
      </c>
      <c r="AA39" s="16"/>
      <c r="AB39" s="16"/>
      <c r="AC39" s="16"/>
      <c r="AD39" s="16"/>
      <c r="AE39" s="16"/>
      <c r="AF39" s="17"/>
      <c r="AH39" s="62"/>
      <c r="AI39" s="211" t="s">
        <v>136</v>
      </c>
      <c r="AJ39" s="63"/>
      <c r="AK39" s="63"/>
      <c r="AL39" s="63"/>
      <c r="AM39" s="63"/>
      <c r="AN39" s="63"/>
      <c r="AO39" s="63"/>
      <c r="AP39" s="63"/>
      <c r="AQ39" s="66"/>
      <c r="AS39" s="19"/>
      <c r="AT39" s="222"/>
      <c r="AV39">
        <f>AZ18*AV32</f>
        <v>347.56824621386716</v>
      </c>
      <c r="AW39" t="s">
        <v>137</v>
      </c>
      <c r="BB39" s="21"/>
      <c r="BI39" s="19"/>
      <c r="BP39" s="21"/>
    </row>
    <row r="40" spans="8:69" x14ac:dyDescent="0.25">
      <c r="H40" s="10" t="s">
        <v>128</v>
      </c>
      <c r="I40" s="33">
        <v>6</v>
      </c>
      <c r="J40" s="35"/>
      <c r="K40" s="10"/>
      <c r="Y40" s="19"/>
      <c r="AA40" t="s">
        <v>101</v>
      </c>
      <c r="AF40" s="21"/>
      <c r="AH40" s="62"/>
      <c r="AI40" s="211"/>
      <c r="AJ40" s="63"/>
      <c r="AK40" s="63">
        <f>AO18*AK33</f>
        <v>316.43712752996481</v>
      </c>
      <c r="AL40" s="63" t="s">
        <v>137</v>
      </c>
      <c r="AM40" s="63"/>
      <c r="AN40" s="63"/>
      <c r="AO40" s="63"/>
      <c r="AP40" s="63"/>
      <c r="AQ40" s="66"/>
      <c r="AS40" s="49"/>
      <c r="AT40" s="228"/>
      <c r="AU40" s="3"/>
      <c r="AV40" s="3"/>
      <c r="AW40" s="3"/>
      <c r="AX40" s="3"/>
      <c r="AY40" s="3"/>
      <c r="AZ40" s="3"/>
      <c r="BA40" s="3"/>
      <c r="BB40" s="44"/>
      <c r="BI40" s="19"/>
      <c r="BL40">
        <f>BJ31+BM30</f>
        <v>57</v>
      </c>
      <c r="BP40" s="21"/>
    </row>
    <row r="41" spans="8:69" x14ac:dyDescent="0.25">
      <c r="H41" s="10" t="s">
        <v>112</v>
      </c>
      <c r="I41" s="160">
        <f>I37*I38</f>
        <v>56.378700000000002</v>
      </c>
      <c r="J41" s="10" t="s">
        <v>113</v>
      </c>
      <c r="K41" s="10"/>
      <c r="Y41" s="19"/>
      <c r="AD41" s="25"/>
      <c r="AF41" s="21"/>
      <c r="AH41" s="82"/>
      <c r="AI41" s="218"/>
      <c r="AJ41" s="76"/>
      <c r="AK41" s="76"/>
      <c r="AL41" s="76"/>
      <c r="AM41" s="76"/>
      <c r="AN41" s="76"/>
      <c r="AO41" s="76"/>
      <c r="AP41" s="76"/>
      <c r="AQ41" s="77"/>
      <c r="AS41" s="14"/>
      <c r="AT41" s="16"/>
      <c r="AU41" s="16"/>
      <c r="AV41" s="16"/>
      <c r="AW41" s="16"/>
      <c r="AX41" s="16"/>
      <c r="AY41" s="16"/>
      <c r="AZ41" s="16"/>
      <c r="BA41" s="16"/>
      <c r="BB41" s="17"/>
      <c r="BI41" s="49"/>
      <c r="BJ41" s="3"/>
      <c r="BK41" s="3"/>
      <c r="BL41" s="3"/>
      <c r="BM41" s="3"/>
      <c r="BN41" s="3"/>
      <c r="BO41" s="3"/>
      <c r="BP41" s="44"/>
    </row>
    <row r="42" spans="8:69" ht="29.7" x14ac:dyDescent="0.25">
      <c r="H42" s="106" t="s">
        <v>354</v>
      </c>
      <c r="I42" s="31">
        <f>I41*1.1*I40</f>
        <v>372.09942000000007</v>
      </c>
      <c r="J42" s="10" t="s">
        <v>113</v>
      </c>
      <c r="K42" s="10"/>
      <c r="Y42" s="19"/>
      <c r="Z42" t="s">
        <v>114</v>
      </c>
      <c r="AA42" s="27">
        <v>8</v>
      </c>
      <c r="AB42" s="27" t="s">
        <v>52</v>
      </c>
      <c r="AC42" s="27"/>
      <c r="AF42" s="21"/>
      <c r="AH42" s="81"/>
      <c r="AI42" s="60"/>
      <c r="AJ42" s="60"/>
      <c r="AK42" s="60"/>
      <c r="AL42" s="60"/>
      <c r="AM42" s="60"/>
      <c r="AN42" s="60"/>
      <c r="AO42" s="60"/>
      <c r="AP42" s="60"/>
      <c r="AQ42" s="61"/>
      <c r="AS42" s="19"/>
      <c r="BB42" s="21"/>
    </row>
    <row r="43" spans="8:69" x14ac:dyDescent="0.25">
      <c r="I43" s="105"/>
      <c r="Y43" s="19"/>
      <c r="AA43" s="27"/>
      <c r="AB43" s="27"/>
      <c r="AC43" s="27"/>
      <c r="AF43" s="21"/>
      <c r="AH43" s="62"/>
      <c r="AI43" s="63"/>
      <c r="AJ43" s="63"/>
      <c r="AK43" s="63"/>
      <c r="AL43" s="63"/>
      <c r="AM43" s="63"/>
      <c r="AN43" s="63"/>
      <c r="AO43" s="63"/>
      <c r="AP43" s="63"/>
      <c r="AQ43" s="66"/>
      <c r="AS43" s="19"/>
      <c r="AT43" s="222" t="s">
        <v>138</v>
      </c>
      <c r="AV43">
        <f>1.1*AV39</f>
        <v>382.32507083525388</v>
      </c>
      <c r="AW43" t="s">
        <v>137</v>
      </c>
      <c r="BB43" s="21"/>
    </row>
    <row r="44" spans="8:69" x14ac:dyDescent="0.25">
      <c r="H44" t="s">
        <v>384</v>
      </c>
      <c r="Y44" s="19" t="s">
        <v>629</v>
      </c>
      <c r="Z44" s="28" t="s">
        <v>482</v>
      </c>
      <c r="AA44">
        <f>66.5</f>
        <v>66.5</v>
      </c>
      <c r="AB44" t="s">
        <v>92</v>
      </c>
      <c r="AD44" s="25"/>
      <c r="AF44" s="21"/>
      <c r="AH44" s="62"/>
      <c r="AI44" s="211" t="s">
        <v>138</v>
      </c>
      <c r="AJ44" s="63"/>
      <c r="AK44" s="63">
        <f>1.1*AK40</f>
        <v>348.08084028296133</v>
      </c>
      <c r="AL44" s="63" t="s">
        <v>137</v>
      </c>
      <c r="AM44" s="63"/>
      <c r="AN44" s="63"/>
      <c r="AO44" s="63"/>
      <c r="AP44" s="63"/>
      <c r="AQ44" s="66"/>
      <c r="AS44" s="49"/>
      <c r="AT44" s="228"/>
      <c r="AU44" s="3"/>
      <c r="AV44" s="3"/>
      <c r="AW44" s="3"/>
      <c r="AX44" s="3"/>
      <c r="AY44" s="3"/>
      <c r="AZ44" s="3"/>
      <c r="BA44" s="3"/>
      <c r="BB44" s="44"/>
    </row>
    <row r="45" spans="8:69" x14ac:dyDescent="0.25">
      <c r="H45" s="10" t="s">
        <v>344</v>
      </c>
      <c r="I45" s="10">
        <v>1</v>
      </c>
      <c r="J45" s="10" t="s">
        <v>52</v>
      </c>
      <c r="K45" s="10"/>
      <c r="Y45" s="107"/>
      <c r="AA45">
        <f>AA44/12</f>
        <v>5.541666666666667</v>
      </c>
      <c r="AB45" t="s">
        <v>52</v>
      </c>
      <c r="AD45" s="25"/>
      <c r="AF45" s="21"/>
      <c r="AH45" s="82"/>
      <c r="AI45" s="218"/>
      <c r="AJ45" s="76"/>
      <c r="AK45" s="76"/>
      <c r="AL45" s="76"/>
      <c r="AM45" s="76"/>
      <c r="AN45" s="76"/>
      <c r="AO45" s="76"/>
      <c r="AP45" s="76"/>
      <c r="AQ45" s="77"/>
      <c r="AS45" s="14"/>
      <c r="AT45" s="16"/>
      <c r="AU45" s="16"/>
      <c r="AV45" s="16"/>
      <c r="AW45" s="16"/>
      <c r="AX45" s="16"/>
      <c r="AY45" s="16"/>
      <c r="AZ45" s="16"/>
      <c r="BA45" s="16"/>
      <c r="BB45" s="17"/>
      <c r="BJ45" t="s">
        <v>374</v>
      </c>
    </row>
    <row r="46" spans="8:69" x14ac:dyDescent="0.25">
      <c r="H46" s="10" t="s">
        <v>345</v>
      </c>
      <c r="I46">
        <v>1</v>
      </c>
      <c r="J46" s="10" t="s">
        <v>52</v>
      </c>
      <c r="K46" s="10"/>
      <c r="Y46" s="19"/>
      <c r="AF46" s="21"/>
      <c r="AH46" s="81"/>
      <c r="AI46" s="60"/>
      <c r="AJ46" s="60"/>
      <c r="AK46" s="60"/>
      <c r="AL46" s="60"/>
      <c r="AM46" s="60"/>
      <c r="AN46" s="60"/>
      <c r="AO46" s="60"/>
      <c r="AP46" s="60"/>
      <c r="AQ46" s="61"/>
      <c r="AS46" s="19"/>
      <c r="AT46" s="222" t="s">
        <v>139</v>
      </c>
      <c r="AV46">
        <v>8</v>
      </c>
      <c r="BB46" s="21"/>
      <c r="BL46">
        <v>8</v>
      </c>
      <c r="BM46" t="s">
        <v>92</v>
      </c>
      <c r="BO46" t="s">
        <v>364</v>
      </c>
      <c r="BP46">
        <f>PI()*BL46/12*BN53</f>
        <v>12.915296838417877</v>
      </c>
    </row>
    <row r="47" spans="8:69" x14ac:dyDescent="0.25">
      <c r="H47" s="10" t="s">
        <v>346</v>
      </c>
      <c r="I47" s="41">
        <v>9.43</v>
      </c>
      <c r="J47" s="10" t="s">
        <v>52</v>
      </c>
      <c r="K47" s="10"/>
      <c r="Y47" s="19"/>
      <c r="AF47" s="21"/>
      <c r="AH47" s="62"/>
      <c r="AI47" s="211" t="s">
        <v>139</v>
      </c>
      <c r="AJ47" s="63"/>
      <c r="AK47" s="63">
        <v>18</v>
      </c>
      <c r="AL47" s="63"/>
      <c r="AM47" s="63"/>
      <c r="AN47" s="63"/>
      <c r="AO47" s="63"/>
      <c r="AP47" s="63"/>
      <c r="AQ47" s="66"/>
      <c r="AS47" s="19"/>
      <c r="AT47" s="222"/>
      <c r="BB47" s="21"/>
      <c r="BO47" t="s">
        <v>358</v>
      </c>
      <c r="BP47">
        <v>8</v>
      </c>
      <c r="BQ47" t="s">
        <v>116</v>
      </c>
    </row>
    <row r="48" spans="8:69" x14ac:dyDescent="0.25">
      <c r="H48" s="10" t="s">
        <v>347</v>
      </c>
      <c r="I48">
        <v>8</v>
      </c>
      <c r="J48" s="10" t="s">
        <v>52</v>
      </c>
      <c r="K48" s="10"/>
      <c r="Y48" s="19"/>
      <c r="AF48" s="21"/>
      <c r="AH48" s="62"/>
      <c r="AI48" s="211"/>
      <c r="AJ48" s="63"/>
      <c r="AK48" s="63"/>
      <c r="AL48" s="63"/>
      <c r="AM48" s="63"/>
      <c r="AN48" s="63"/>
      <c r="AO48" s="63"/>
      <c r="AP48" s="63"/>
      <c r="AQ48" s="66"/>
      <c r="AS48" s="49"/>
      <c r="AT48" s="3"/>
      <c r="AU48" s="3"/>
      <c r="AV48" s="3"/>
      <c r="AW48" s="3"/>
      <c r="AX48" s="3"/>
      <c r="AY48" s="3"/>
      <c r="AZ48" s="3"/>
      <c r="BA48" s="3"/>
      <c r="BB48" s="44"/>
      <c r="BO48" t="s">
        <v>361</v>
      </c>
      <c r="BP48">
        <f>BP46*BP47</f>
        <v>103.32237470734302</v>
      </c>
    </row>
    <row r="49" spans="1:69" ht="103.95" x14ac:dyDescent="0.25">
      <c r="H49" s="10" t="s">
        <v>106</v>
      </c>
      <c r="I49" s="33" t="s">
        <v>193</v>
      </c>
      <c r="J49" s="35"/>
      <c r="K49" s="10"/>
      <c r="Y49" s="19"/>
      <c r="Z49">
        <f>(AA44-(2.25+1)*2)/12</f>
        <v>5</v>
      </c>
      <c r="AA49" t="s">
        <v>2</v>
      </c>
      <c r="AC49">
        <f>SQRT((AB52)^2+(Z49)^2)</f>
        <v>9.4339811320566032</v>
      </c>
      <c r="AD49" t="s">
        <v>2</v>
      </c>
      <c r="AF49" s="21"/>
      <c r="AH49" s="82"/>
      <c r="AI49" s="76"/>
      <c r="AJ49" s="76"/>
      <c r="AK49" s="76"/>
      <c r="AL49" s="76"/>
      <c r="AM49" s="76"/>
      <c r="AN49" s="76"/>
      <c r="AO49" s="76"/>
      <c r="AP49" s="76"/>
      <c r="AQ49" s="77"/>
      <c r="AS49" s="33"/>
      <c r="AT49" s="53" t="s">
        <v>140</v>
      </c>
      <c r="AU49" s="34"/>
      <c r="AV49" s="34">
        <f>AV43*AV46</f>
        <v>3058.6005666820311</v>
      </c>
      <c r="AW49" s="34" t="s">
        <v>137</v>
      </c>
      <c r="AX49" s="34"/>
      <c r="AY49" s="34"/>
      <c r="AZ49" s="34"/>
      <c r="BA49" s="34"/>
      <c r="BB49" s="35"/>
      <c r="BO49" t="s">
        <v>367</v>
      </c>
      <c r="BP49" s="7">
        <f>BP48*1.1</f>
        <v>113.65461217807733</v>
      </c>
      <c r="BQ49" t="s">
        <v>40</v>
      </c>
    </row>
    <row r="50" spans="1:69" ht="103.95" x14ac:dyDescent="0.25">
      <c r="H50" s="10" t="s">
        <v>128</v>
      </c>
      <c r="I50" s="33">
        <f>29*3</f>
        <v>87</v>
      </c>
      <c r="J50" s="35"/>
      <c r="K50" s="10"/>
      <c r="Y50" s="19"/>
      <c r="Z50">
        <f>Z49*12</f>
        <v>60</v>
      </c>
      <c r="AF50" s="21"/>
      <c r="AH50" s="83"/>
      <c r="AI50" s="84" t="s">
        <v>140</v>
      </c>
      <c r="AJ50" s="85"/>
      <c r="AK50" s="85">
        <f>AK44*AK47</f>
        <v>6265.4551250933036</v>
      </c>
      <c r="AL50" s="85" t="s">
        <v>137</v>
      </c>
      <c r="AM50" s="85"/>
      <c r="AN50" s="85"/>
      <c r="AO50" s="85"/>
      <c r="AP50" s="85"/>
      <c r="AQ50" s="86"/>
    </row>
    <row r="51" spans="1:69" x14ac:dyDescent="0.25">
      <c r="H51" s="10" t="s">
        <v>112</v>
      </c>
      <c r="I51" s="10">
        <f>AB57*I50</f>
        <v>2337.5127169778489</v>
      </c>
      <c r="J51" s="10" t="s">
        <v>113</v>
      </c>
      <c r="K51" s="10"/>
      <c r="Y51" s="19"/>
      <c r="AF51" s="21"/>
    </row>
    <row r="52" spans="1:69" ht="29.7" x14ac:dyDescent="0.25">
      <c r="H52" s="106" t="s">
        <v>354</v>
      </c>
      <c r="I52" s="31">
        <f>I51*1.1</f>
        <v>2571.2639886756338</v>
      </c>
      <c r="J52" s="10" t="s">
        <v>113</v>
      </c>
      <c r="K52" s="10"/>
      <c r="Y52" s="19"/>
      <c r="AB52" s="27">
        <f>AA42</f>
        <v>8</v>
      </c>
      <c r="AF52" s="21"/>
    </row>
    <row r="53" spans="1:69" x14ac:dyDescent="0.25">
      <c r="Y53" s="19"/>
      <c r="AF53" s="21"/>
      <c r="BN53">
        <f>5.5+0.6666</f>
        <v>6.1665999999999999</v>
      </c>
      <c r="BO53" t="s">
        <v>52</v>
      </c>
    </row>
    <row r="54" spans="1:69" x14ac:dyDescent="0.25">
      <c r="Y54" s="19"/>
      <c r="AF54" s="21"/>
    </row>
    <row r="55" spans="1:69" x14ac:dyDescent="0.25">
      <c r="H55" t="s">
        <v>385</v>
      </c>
      <c r="Y55" s="19" t="s">
        <v>607</v>
      </c>
      <c r="AB55" s="27">
        <f>(1*AB52)</f>
        <v>8</v>
      </c>
      <c r="AC55" t="s">
        <v>125</v>
      </c>
      <c r="AF55" s="21"/>
    </row>
    <row r="56" spans="1:69" x14ac:dyDescent="0.25">
      <c r="H56" s="10" t="s">
        <v>91</v>
      </c>
      <c r="I56" s="10">
        <f>0</f>
        <v>0</v>
      </c>
      <c r="J56" s="10" t="s">
        <v>52</v>
      </c>
      <c r="K56" s="10"/>
      <c r="Y56" s="19" t="s">
        <v>349</v>
      </c>
      <c r="AB56">
        <f>AC49</f>
        <v>9.4339811320566032</v>
      </c>
      <c r="AC56" t="s">
        <v>125</v>
      </c>
      <c r="AF56" s="21"/>
    </row>
    <row r="57" spans="1:69" x14ac:dyDescent="0.25">
      <c r="H57" s="10" t="s">
        <v>100</v>
      </c>
      <c r="I57" s="41">
        <f>0</f>
        <v>0</v>
      </c>
      <c r="J57" s="10" t="s">
        <v>52</v>
      </c>
      <c r="K57" s="10"/>
      <c r="Y57" s="48" t="s">
        <v>350</v>
      </c>
      <c r="AB57" s="1">
        <f>2*(0.25*4*AB56)+(0.25*4*AB55)</f>
        <v>26.867962264113206</v>
      </c>
      <c r="AC57" t="s">
        <v>126</v>
      </c>
      <c r="AF57" s="21"/>
    </row>
    <row r="58" spans="1:69" x14ac:dyDescent="0.25">
      <c r="H58" s="10" t="s">
        <v>106</v>
      </c>
      <c r="I58" t="s">
        <v>385</v>
      </c>
      <c r="K58" s="10"/>
      <c r="Y58" s="19" t="s">
        <v>132</v>
      </c>
      <c r="AA58" t="s">
        <v>133</v>
      </c>
      <c r="AB58" s="27">
        <f>AB57*1.1</f>
        <v>29.554758490524531</v>
      </c>
      <c r="AC58" t="s">
        <v>126</v>
      </c>
      <c r="AF58" s="21"/>
    </row>
    <row r="59" spans="1:69" x14ac:dyDescent="0.25">
      <c r="H59" s="10" t="s">
        <v>128</v>
      </c>
      <c r="I59" s="33">
        <v>0</v>
      </c>
      <c r="J59" s="35"/>
      <c r="K59" s="10"/>
      <c r="Y59" s="49" t="s">
        <v>438</v>
      </c>
      <c r="Z59" s="3"/>
      <c r="AA59" s="3"/>
      <c r="AB59" s="135">
        <f>AB55+2*AB56</f>
        <v>26.867962264113206</v>
      </c>
      <c r="AC59" s="3"/>
      <c r="AD59" s="3"/>
      <c r="AE59" s="3"/>
      <c r="AF59" s="44"/>
    </row>
    <row r="60" spans="1:69" x14ac:dyDescent="0.25">
      <c r="H60" s="10" t="s">
        <v>112</v>
      </c>
      <c r="I60" s="10">
        <f>I57*I56*I59</f>
        <v>0</v>
      </c>
      <c r="J60" s="10" t="s">
        <v>113</v>
      </c>
      <c r="K60" s="10"/>
    </row>
    <row r="61" spans="1:69" ht="29.7" x14ac:dyDescent="0.25">
      <c r="H61" s="106" t="s">
        <v>354</v>
      </c>
      <c r="I61" s="31">
        <f>I60*1.1</f>
        <v>0</v>
      </c>
      <c r="J61" s="10" t="s">
        <v>113</v>
      </c>
      <c r="K61" s="10"/>
    </row>
    <row r="63" spans="1:69" x14ac:dyDescent="0.25">
      <c r="A63" s="130" t="s">
        <v>416</v>
      </c>
    </row>
    <row r="64" spans="1:69" x14ac:dyDescent="0.25">
      <c r="A64" s="7" t="s">
        <v>57</v>
      </c>
      <c r="B64" s="7"/>
      <c r="C64" s="7">
        <v>0</v>
      </c>
      <c r="D64" s="7" t="s">
        <v>116</v>
      </c>
    </row>
    <row r="66" spans="1:5" x14ac:dyDescent="0.25">
      <c r="A66" s="130" t="s">
        <v>415</v>
      </c>
      <c r="B66" s="6"/>
      <c r="C66" s="6"/>
    </row>
    <row r="67" spans="1:5" x14ac:dyDescent="0.25">
      <c r="A67" s="7" t="s">
        <v>409</v>
      </c>
      <c r="B67" s="7"/>
      <c r="C67" s="127">
        <f>0</f>
        <v>0</v>
      </c>
      <c r="D67" s="7" t="s">
        <v>137</v>
      </c>
      <c r="E67" s="7"/>
    </row>
    <row r="73" spans="1:5" x14ac:dyDescent="0.25">
      <c r="A73" s="2" t="s">
        <v>685</v>
      </c>
    </row>
    <row r="75" spans="1:5" x14ac:dyDescent="0.25">
      <c r="A75" s="2" t="s">
        <v>688</v>
      </c>
    </row>
    <row r="76" spans="1:5" x14ac:dyDescent="0.25">
      <c r="A76" t="s">
        <v>686</v>
      </c>
      <c r="C76">
        <f>2.583+((8.5+10.875)/12)+1.5+1+1.5+2.083+(10.25/12)</f>
        <v>11.13475</v>
      </c>
      <c r="D76" t="s">
        <v>2</v>
      </c>
    </row>
    <row r="77" spans="1:5" x14ac:dyDescent="0.25">
      <c r="A77" t="s">
        <v>207</v>
      </c>
      <c r="C77">
        <v>382.5</v>
      </c>
      <c r="D77" t="s">
        <v>2</v>
      </c>
    </row>
    <row r="78" spans="1:5" x14ac:dyDescent="0.25">
      <c r="A78" t="s">
        <v>687</v>
      </c>
      <c r="C78" s="3">
        <v>2</v>
      </c>
      <c r="D78" s="3" t="s">
        <v>456</v>
      </c>
    </row>
    <row r="79" spans="1:5" x14ac:dyDescent="0.25">
      <c r="A79" t="s">
        <v>217</v>
      </c>
      <c r="C79">
        <f>C76*C77*C78</f>
        <v>8518.0837499999998</v>
      </c>
      <c r="D79" t="s">
        <v>278</v>
      </c>
    </row>
    <row r="82" spans="1:4" x14ac:dyDescent="0.25">
      <c r="A82" s="2" t="s">
        <v>689</v>
      </c>
    </row>
    <row r="83" spans="1:4" x14ac:dyDescent="0.25">
      <c r="A83" t="s">
        <v>686</v>
      </c>
      <c r="C83">
        <f>((8.5+10.875)/12)+1.5+1+1.5+2.083+(10.25/12)</f>
        <v>8.5517500000000002</v>
      </c>
      <c r="D83" t="s">
        <v>2</v>
      </c>
    </row>
    <row r="84" spans="1:4" x14ac:dyDescent="0.25">
      <c r="A84" t="s">
        <v>207</v>
      </c>
      <c r="C84">
        <v>26.25</v>
      </c>
      <c r="D84" t="s">
        <v>2</v>
      </c>
    </row>
    <row r="85" spans="1:4" x14ac:dyDescent="0.25">
      <c r="A85" t="s">
        <v>687</v>
      </c>
      <c r="C85" s="3">
        <v>4</v>
      </c>
      <c r="D85" s="3" t="s">
        <v>456</v>
      </c>
    </row>
    <row r="86" spans="1:4" x14ac:dyDescent="0.25">
      <c r="A86" t="s">
        <v>217</v>
      </c>
      <c r="C86">
        <f>C83*C84*C85</f>
        <v>897.93375000000003</v>
      </c>
      <c r="D86" t="s">
        <v>278</v>
      </c>
    </row>
    <row r="89" spans="1:4" x14ac:dyDescent="0.25">
      <c r="A89" s="2" t="s">
        <v>690</v>
      </c>
    </row>
    <row r="90" spans="1:4" x14ac:dyDescent="0.25">
      <c r="A90" t="s">
        <v>691</v>
      </c>
      <c r="C90">
        <f>(0+8)/2</f>
        <v>4</v>
      </c>
      <c r="D90" t="s">
        <v>2</v>
      </c>
    </row>
    <row r="91" spans="1:4" x14ac:dyDescent="0.25">
      <c r="A91" t="s">
        <v>207</v>
      </c>
      <c r="C91">
        <v>26.25</v>
      </c>
      <c r="D91" t="s">
        <v>2</v>
      </c>
    </row>
    <row r="92" spans="1:4" x14ac:dyDescent="0.25">
      <c r="A92" t="s">
        <v>696</v>
      </c>
      <c r="C92" s="3">
        <v>4</v>
      </c>
      <c r="D92" s="3" t="s">
        <v>456</v>
      </c>
    </row>
    <row r="93" spans="1:4" x14ac:dyDescent="0.25">
      <c r="A93" t="s">
        <v>217</v>
      </c>
      <c r="C93">
        <f>C90*C91*C92</f>
        <v>420</v>
      </c>
      <c r="D93" t="s">
        <v>278</v>
      </c>
    </row>
    <row r="96" spans="1:4" x14ac:dyDescent="0.25">
      <c r="A96" s="2" t="s">
        <v>692</v>
      </c>
    </row>
    <row r="97" spans="1:4" x14ac:dyDescent="0.25">
      <c r="A97" t="s">
        <v>691</v>
      </c>
      <c r="C97">
        <v>2</v>
      </c>
      <c r="D97" t="s">
        <v>2</v>
      </c>
    </row>
    <row r="98" spans="1:4" x14ac:dyDescent="0.25">
      <c r="A98" t="s">
        <v>207</v>
      </c>
      <c r="C98">
        <v>46.2</v>
      </c>
      <c r="D98" t="s">
        <v>2</v>
      </c>
    </row>
    <row r="99" spans="1:4" x14ac:dyDescent="0.25">
      <c r="A99" t="s">
        <v>695</v>
      </c>
      <c r="C99" s="3">
        <v>2</v>
      </c>
      <c r="D99" s="3" t="s">
        <v>456</v>
      </c>
    </row>
    <row r="100" spans="1:4" x14ac:dyDescent="0.25">
      <c r="A100" t="s">
        <v>217</v>
      </c>
      <c r="C100">
        <f>C97*C98*C99</f>
        <v>184.8</v>
      </c>
      <c r="D100" t="s">
        <v>278</v>
      </c>
    </row>
    <row r="103" spans="1:4" x14ac:dyDescent="0.25">
      <c r="A103" s="2" t="s">
        <v>693</v>
      </c>
    </row>
    <row r="104" spans="1:4" x14ac:dyDescent="0.25">
      <c r="A104" t="s">
        <v>691</v>
      </c>
      <c r="C104">
        <f>2.083+6</f>
        <v>8.0830000000000002</v>
      </c>
      <c r="D104" t="s">
        <v>2</v>
      </c>
    </row>
    <row r="105" spans="1:4" x14ac:dyDescent="0.25">
      <c r="A105" t="s">
        <v>207</v>
      </c>
      <c r="C105">
        <v>46.2</v>
      </c>
      <c r="D105" t="s">
        <v>2</v>
      </c>
    </row>
    <row r="106" spans="1:4" x14ac:dyDescent="0.25">
      <c r="A106" t="s">
        <v>697</v>
      </c>
      <c r="C106" s="3">
        <v>2</v>
      </c>
      <c r="D106" s="3" t="s">
        <v>456</v>
      </c>
    </row>
    <row r="107" spans="1:4" x14ac:dyDescent="0.25">
      <c r="A107" t="s">
        <v>217</v>
      </c>
      <c r="C107">
        <f>C104*C105*C106</f>
        <v>746.86920000000009</v>
      </c>
      <c r="D107" t="s">
        <v>278</v>
      </c>
    </row>
    <row r="110" spans="1:4" x14ac:dyDescent="0.25">
      <c r="A110" s="2" t="s">
        <v>694</v>
      </c>
    </row>
    <row r="111" spans="1:4" x14ac:dyDescent="0.25">
      <c r="A111" t="s">
        <v>686</v>
      </c>
      <c r="C111">
        <f>6+0.833+6</f>
        <v>12.833</v>
      </c>
      <c r="D111" t="s">
        <v>2</v>
      </c>
    </row>
    <row r="112" spans="1:4" x14ac:dyDescent="0.25">
      <c r="A112" t="s">
        <v>207</v>
      </c>
      <c r="C112">
        <v>2.16</v>
      </c>
      <c r="D112" t="s">
        <v>2</v>
      </c>
    </row>
    <row r="113" spans="1:6" x14ac:dyDescent="0.25">
      <c r="A113" t="s">
        <v>698</v>
      </c>
      <c r="C113" s="3">
        <v>4</v>
      </c>
      <c r="D113" s="3" t="s">
        <v>456</v>
      </c>
    </row>
    <row r="114" spans="1:6" x14ac:dyDescent="0.25">
      <c r="A114" t="s">
        <v>217</v>
      </c>
      <c r="C114">
        <f>C111*C112*C113</f>
        <v>110.87712000000001</v>
      </c>
      <c r="D114" t="s">
        <v>278</v>
      </c>
    </row>
    <row r="117" spans="1:6" x14ac:dyDescent="0.25">
      <c r="A117" t="s">
        <v>700</v>
      </c>
      <c r="C117">
        <f>C79</f>
        <v>8518.0837499999998</v>
      </c>
      <c r="D117" t="s">
        <v>701</v>
      </c>
      <c r="E117">
        <f>ROUND(C117/9,0)</f>
        <v>946</v>
      </c>
      <c r="F117" t="s">
        <v>525</v>
      </c>
    </row>
    <row r="118" spans="1:6" x14ac:dyDescent="0.25">
      <c r="A118" t="s">
        <v>699</v>
      </c>
      <c r="C118">
        <f>C86+C93+C100+C107+C114</f>
        <v>2360.4800700000005</v>
      </c>
      <c r="D118" t="s">
        <v>701</v>
      </c>
      <c r="E118">
        <f>ROUND(C118/9,0)</f>
        <v>262</v>
      </c>
      <c r="F118" t="s">
        <v>525</v>
      </c>
    </row>
    <row r="120" spans="1:6" x14ac:dyDescent="0.25">
      <c r="A120" s="7" t="s">
        <v>90</v>
      </c>
      <c r="B120" s="7"/>
      <c r="C120" s="7">
        <f>E117+E118</f>
        <v>1208</v>
      </c>
      <c r="D120" s="7" t="s">
        <v>525</v>
      </c>
    </row>
    <row r="124" spans="1:6" x14ac:dyDescent="0.25">
      <c r="A124" s="2" t="s">
        <v>705</v>
      </c>
    </row>
    <row r="126" spans="1:6" x14ac:dyDescent="0.25">
      <c r="A126" t="s">
        <v>700</v>
      </c>
      <c r="C126">
        <f>C117</f>
        <v>8518.0837499999998</v>
      </c>
      <c r="D126" t="s">
        <v>701</v>
      </c>
      <c r="E126">
        <f>ROUND(C126/9,0)</f>
        <v>946</v>
      </c>
      <c r="F126" t="s">
        <v>525</v>
      </c>
    </row>
    <row r="127" spans="1:6" x14ac:dyDescent="0.25">
      <c r="A127" t="s">
        <v>699</v>
      </c>
      <c r="C127">
        <f>C118-25</f>
        <v>2335.4800700000005</v>
      </c>
      <c r="D127" t="s">
        <v>701</v>
      </c>
      <c r="E127" s="3">
        <f>ROUND(C127/9,0)</f>
        <v>259</v>
      </c>
      <c r="F127" s="3" t="s">
        <v>525</v>
      </c>
    </row>
    <row r="128" spans="1:6" x14ac:dyDescent="0.25">
      <c r="E128" s="7">
        <f>SUM(E126:E127)</f>
        <v>1205</v>
      </c>
      <c r="F128" s="7" t="s">
        <v>525</v>
      </c>
    </row>
    <row r="133" spans="1:4" x14ac:dyDescent="0.25">
      <c r="A133" s="2" t="s">
        <v>711</v>
      </c>
    </row>
    <row r="135" spans="1:4" x14ac:dyDescent="0.25">
      <c r="A135" t="s">
        <v>713</v>
      </c>
      <c r="C135" s="1">
        <f>((3.5*2)+(1.67*1.83))*1.3</f>
        <v>13.072930000000001</v>
      </c>
      <c r="D135" t="s">
        <v>278</v>
      </c>
    </row>
    <row r="136" spans="1:4" x14ac:dyDescent="0.25">
      <c r="C136" s="1"/>
    </row>
    <row r="137" spans="1:4" x14ac:dyDescent="0.25">
      <c r="A137" t="s">
        <v>712</v>
      </c>
      <c r="C137" s="209">
        <f>((1.67*1)+(2.67*1.58)+(2*1.5))*1.3</f>
        <v>11.55518</v>
      </c>
      <c r="D137" s="3" t="s">
        <v>278</v>
      </c>
    </row>
    <row r="138" spans="1:4" x14ac:dyDescent="0.25">
      <c r="C138" s="1">
        <f>SUM(C135:C137)</f>
        <v>24.62811</v>
      </c>
      <c r="D138" t="s">
        <v>278</v>
      </c>
    </row>
  </sheetData>
  <mergeCells count="9">
    <mergeCell ref="AT38:AT40"/>
    <mergeCell ref="AT43:AT44"/>
    <mergeCell ref="AT46:AT47"/>
    <mergeCell ref="AI47:AI48"/>
    <mergeCell ref="A11:J13"/>
    <mergeCell ref="Y18:AF18"/>
    <mergeCell ref="AH19:AN19"/>
    <mergeCell ref="AI39:AI41"/>
    <mergeCell ref="AI44:AI45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0AE3A-3221-475D-B03F-3A78E628A21E}">
  <dimension ref="A1:J14"/>
  <sheetViews>
    <sheetView topLeftCell="A3" workbookViewId="0">
      <selection activeCell="M8" sqref="M8"/>
    </sheetView>
  </sheetViews>
  <sheetFormatPr defaultRowHeight="14.85" x14ac:dyDescent="0.25"/>
  <cols>
    <col min="2" max="2" width="12.28515625" customWidth="1"/>
    <col min="5" max="5" width="128" customWidth="1"/>
    <col min="6" max="7" width="12.7109375" customWidth="1"/>
    <col min="8" max="8" width="18.7109375" customWidth="1"/>
    <col min="9" max="10" width="12.7109375" customWidth="1"/>
  </cols>
  <sheetData>
    <row r="1" spans="1:10" ht="15.6" thickBot="1" x14ac:dyDescent="0.3">
      <c r="A1" s="219"/>
      <c r="B1" s="220"/>
      <c r="C1" s="220"/>
      <c r="D1" s="220"/>
      <c r="E1" s="170" t="s">
        <v>683</v>
      </c>
      <c r="F1" s="220" t="s">
        <v>717</v>
      </c>
      <c r="G1" s="220"/>
      <c r="H1" s="220"/>
      <c r="I1" s="220"/>
      <c r="J1" s="221"/>
    </row>
    <row r="2" spans="1:10" ht="15.6" thickBot="1" x14ac:dyDescent="0.3">
      <c r="A2" s="171" t="s">
        <v>640</v>
      </c>
      <c r="B2" s="172" t="s">
        <v>641</v>
      </c>
      <c r="C2" s="173" t="s">
        <v>378</v>
      </c>
      <c r="D2" s="174" t="s">
        <v>642</v>
      </c>
      <c r="E2" s="175" t="s">
        <v>643</v>
      </c>
      <c r="F2" s="176" t="s">
        <v>644</v>
      </c>
      <c r="G2" s="173" t="s">
        <v>645</v>
      </c>
      <c r="H2" s="173" t="s">
        <v>646</v>
      </c>
      <c r="I2" s="173" t="s">
        <v>647</v>
      </c>
      <c r="J2" s="208" t="s">
        <v>648</v>
      </c>
    </row>
    <row r="3" spans="1:10" x14ac:dyDescent="0.25">
      <c r="A3" s="183">
        <v>512</v>
      </c>
      <c r="B3" s="184">
        <v>10101</v>
      </c>
      <c r="C3" s="185">
        <f t="shared" ref="C3:C14" si="0">IF(D3="LUMP","LS",IF(SUM(F3:I3)=0,"",(SUM(F3:I3))))</f>
        <v>1208</v>
      </c>
      <c r="D3" s="186" t="s">
        <v>525</v>
      </c>
      <c r="E3" s="187" t="s">
        <v>654</v>
      </c>
      <c r="F3" s="185">
        <v>262</v>
      </c>
      <c r="G3" s="185"/>
      <c r="H3" s="185">
        <v>946</v>
      </c>
      <c r="I3" s="185"/>
      <c r="J3" s="189">
        <v>8</v>
      </c>
    </row>
    <row r="4" spans="1:10" x14ac:dyDescent="0.25">
      <c r="A4" s="190" t="s">
        <v>656</v>
      </c>
      <c r="B4" s="184" t="s">
        <v>657</v>
      </c>
      <c r="C4" s="185">
        <f t="shared" si="0"/>
        <v>1205</v>
      </c>
      <c r="D4" s="186" t="s">
        <v>525</v>
      </c>
      <c r="E4" s="187" t="s">
        <v>658</v>
      </c>
      <c r="F4" s="185">
        <v>259</v>
      </c>
      <c r="G4" s="185"/>
      <c r="H4" s="185">
        <v>946</v>
      </c>
      <c r="I4" s="185"/>
      <c r="J4" s="189"/>
    </row>
    <row r="5" spans="1:10" x14ac:dyDescent="0.25">
      <c r="A5" s="190"/>
      <c r="B5" s="184"/>
      <c r="C5" s="185" t="str">
        <f t="shared" si="0"/>
        <v/>
      </c>
      <c r="D5" s="186"/>
      <c r="E5" s="187"/>
      <c r="F5" s="185"/>
      <c r="G5" s="185"/>
      <c r="H5" s="191"/>
      <c r="I5" s="185"/>
      <c r="J5" s="189"/>
    </row>
    <row r="6" spans="1:10" x14ac:dyDescent="0.25">
      <c r="A6" s="192" t="s">
        <v>659</v>
      </c>
      <c r="B6" s="184">
        <v>50</v>
      </c>
      <c r="C6" s="185">
        <f t="shared" si="0"/>
        <v>35075</v>
      </c>
      <c r="D6" s="186" t="s">
        <v>278</v>
      </c>
      <c r="E6" s="187" t="s">
        <v>95</v>
      </c>
      <c r="F6" s="185"/>
      <c r="G6" s="191"/>
      <c r="H6" s="191">
        <v>35075</v>
      </c>
      <c r="I6" s="185"/>
      <c r="J6" s="189"/>
    </row>
    <row r="7" spans="1:10" x14ac:dyDescent="0.25">
      <c r="A7" s="192" t="s">
        <v>659</v>
      </c>
      <c r="B7" s="184">
        <v>56</v>
      </c>
      <c r="C7" s="185">
        <f t="shared" si="0"/>
        <v>35075</v>
      </c>
      <c r="D7" s="186" t="s">
        <v>278</v>
      </c>
      <c r="E7" s="187" t="s">
        <v>660</v>
      </c>
      <c r="F7" s="185"/>
      <c r="G7" s="191"/>
      <c r="H7" s="191">
        <v>35075</v>
      </c>
      <c r="I7" s="185"/>
      <c r="J7" s="189"/>
    </row>
    <row r="8" spans="1:10" x14ac:dyDescent="0.25">
      <c r="A8" s="192" t="s">
        <v>659</v>
      </c>
      <c r="B8" s="184">
        <v>60</v>
      </c>
      <c r="C8" s="185">
        <f t="shared" si="0"/>
        <v>35075</v>
      </c>
      <c r="D8" s="186" t="s">
        <v>278</v>
      </c>
      <c r="E8" s="187" t="s">
        <v>661</v>
      </c>
      <c r="F8" s="185"/>
      <c r="G8" s="191"/>
      <c r="H8" s="191">
        <v>35075</v>
      </c>
      <c r="I8" s="185"/>
      <c r="J8" s="189"/>
    </row>
    <row r="9" spans="1:10" x14ac:dyDescent="0.25">
      <c r="A9" s="192" t="s">
        <v>659</v>
      </c>
      <c r="B9" s="184">
        <v>66</v>
      </c>
      <c r="C9" s="185">
        <f t="shared" si="0"/>
        <v>35075</v>
      </c>
      <c r="D9" s="186" t="s">
        <v>278</v>
      </c>
      <c r="E9" s="187" t="s">
        <v>662</v>
      </c>
      <c r="F9" s="185"/>
      <c r="G9" s="191"/>
      <c r="H9" s="191">
        <v>35075</v>
      </c>
      <c r="I9" s="185"/>
      <c r="J9" s="189"/>
    </row>
    <row r="10" spans="1:10" x14ac:dyDescent="0.25">
      <c r="A10" s="192" t="s">
        <v>659</v>
      </c>
      <c r="B10" s="184">
        <v>504</v>
      </c>
      <c r="C10" s="185">
        <f t="shared" si="0"/>
        <v>28</v>
      </c>
      <c r="D10" s="186" t="s">
        <v>663</v>
      </c>
      <c r="E10" s="187" t="s">
        <v>110</v>
      </c>
      <c r="F10" s="185"/>
      <c r="G10" s="191"/>
      <c r="H10" s="191">
        <v>28</v>
      </c>
      <c r="I10" s="185"/>
      <c r="J10" s="189"/>
    </row>
    <row r="11" spans="1:10" x14ac:dyDescent="0.25">
      <c r="A11" s="192" t="s">
        <v>659</v>
      </c>
      <c r="B11" s="184">
        <v>10000</v>
      </c>
      <c r="C11" s="185">
        <f t="shared" si="0"/>
        <v>30</v>
      </c>
      <c r="D11" s="186" t="s">
        <v>116</v>
      </c>
      <c r="E11" s="187" t="s">
        <v>115</v>
      </c>
      <c r="F11" s="185"/>
      <c r="G11" s="185"/>
      <c r="H11" s="185">
        <v>30</v>
      </c>
      <c r="I11" s="185"/>
      <c r="J11" s="189"/>
    </row>
    <row r="12" spans="1:10" x14ac:dyDescent="0.25">
      <c r="A12" s="192"/>
      <c r="B12" s="184"/>
      <c r="C12" s="185"/>
      <c r="D12" s="186"/>
      <c r="E12" s="187"/>
      <c r="F12" s="185"/>
      <c r="G12" s="185"/>
      <c r="H12" s="191"/>
      <c r="I12" s="185"/>
      <c r="J12" s="189"/>
    </row>
    <row r="13" spans="1:10" x14ac:dyDescent="0.25">
      <c r="A13" s="192" t="s">
        <v>667</v>
      </c>
      <c r="B13" s="184">
        <v>11101</v>
      </c>
      <c r="C13" s="185">
        <f t="shared" si="0"/>
        <v>25</v>
      </c>
      <c r="D13" s="186" t="s">
        <v>278</v>
      </c>
      <c r="E13" s="187" t="s">
        <v>710</v>
      </c>
      <c r="F13" s="185">
        <v>25</v>
      </c>
      <c r="G13" s="185"/>
      <c r="H13" s="191"/>
      <c r="I13" s="185"/>
      <c r="J13" s="189">
        <v>8</v>
      </c>
    </row>
    <row r="14" spans="1:10" ht="15.6" thickBot="1" x14ac:dyDescent="0.3">
      <c r="A14" s="202"/>
      <c r="B14" s="203"/>
      <c r="C14" s="204" t="str">
        <f t="shared" si="0"/>
        <v/>
      </c>
      <c r="D14" s="205"/>
      <c r="E14" s="206"/>
      <c r="F14" s="204"/>
      <c r="G14" s="204"/>
      <c r="H14" s="204"/>
      <c r="I14" s="204"/>
      <c r="J14" s="207"/>
    </row>
  </sheetData>
  <mergeCells count="2">
    <mergeCell ref="A1:D1"/>
    <mergeCell ref="F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92AA-A94F-47E1-95AF-E6F90087692F}">
  <dimension ref="A11:BG144"/>
  <sheetViews>
    <sheetView topLeftCell="A133" zoomScale="109" zoomScaleNormal="109" workbookViewId="0">
      <selection activeCell="H145" sqref="H145"/>
    </sheetView>
  </sheetViews>
  <sheetFormatPr defaultRowHeight="14.85" x14ac:dyDescent="0.25"/>
  <cols>
    <col min="4" max="4" width="15.28515625" customWidth="1"/>
    <col min="8" max="8" width="15" customWidth="1"/>
    <col min="9" max="9" width="21.5703125" customWidth="1"/>
    <col min="12" max="12" width="12.7109375" customWidth="1"/>
    <col min="13" max="13" width="18.140625" customWidth="1"/>
    <col min="16" max="16" width="12.42578125" customWidth="1"/>
    <col min="17" max="17" width="13.28515625" customWidth="1"/>
    <col min="18" max="18" width="11" customWidth="1"/>
    <col min="19" max="19" width="14.85546875" customWidth="1"/>
    <col min="20" max="20" width="13.5703125" customWidth="1"/>
    <col min="21" max="21" width="12.5703125" customWidth="1"/>
    <col min="27" max="27" width="11.7109375" customWidth="1"/>
  </cols>
  <sheetData>
    <row r="11" spans="1:39" x14ac:dyDescent="0.25">
      <c r="A11" s="212" t="s">
        <v>309</v>
      </c>
      <c r="B11" s="212"/>
      <c r="C11" s="212"/>
      <c r="D11" s="212"/>
      <c r="E11" s="212"/>
      <c r="F11" s="212"/>
      <c r="G11" s="212"/>
      <c r="H11" s="212"/>
      <c r="I11" s="212"/>
      <c r="J11" s="212"/>
      <c r="L11">
        <f>2*36+3*16.5-2*0.76</f>
        <v>119.98</v>
      </c>
    </row>
    <row r="12" spans="1:39" x14ac:dyDescent="0.25">
      <c r="A12" s="212"/>
      <c r="B12" s="212"/>
      <c r="C12" s="212"/>
      <c r="D12" s="212"/>
      <c r="E12" s="212"/>
      <c r="F12" s="212"/>
      <c r="G12" s="212"/>
      <c r="H12" s="212"/>
      <c r="I12" s="212"/>
      <c r="J12" s="212"/>
    </row>
    <row r="13" spans="1:39" x14ac:dyDescent="0.25">
      <c r="A13" s="212"/>
      <c r="B13" s="212"/>
      <c r="C13" s="212"/>
      <c r="D13" s="212"/>
      <c r="E13" s="212"/>
      <c r="F13" s="212"/>
      <c r="G13" s="212"/>
      <c r="H13" s="212"/>
      <c r="I13" s="212"/>
      <c r="J13" s="212"/>
    </row>
    <row r="14" spans="1:39" ht="15.6" x14ac:dyDescent="0.25">
      <c r="H14" t="s">
        <v>338</v>
      </c>
      <c r="L14" t="s">
        <v>341</v>
      </c>
      <c r="Q14">
        <f>2*(2.5+72+2.5)+(3*18)-(2*0.4375)</f>
        <v>207.125</v>
      </c>
      <c r="AM14" s="8"/>
    </row>
    <row r="15" spans="1:39" ht="80.2" x14ac:dyDescent="0.25">
      <c r="H15" s="9" t="s">
        <v>609</v>
      </c>
      <c r="I15" s="10">
        <f>(2*36)+(3*12.11)-(2*0.76)</f>
        <v>106.81</v>
      </c>
      <c r="J15" s="10" t="s">
        <v>92</v>
      </c>
      <c r="K15" s="159" t="s">
        <v>608</v>
      </c>
      <c r="L15" s="159" t="s">
        <v>91</v>
      </c>
      <c r="M15" s="10">
        <f>(2*36)+(3*16.47)-(2*0.76)</f>
        <v>119.89</v>
      </c>
      <c r="N15" s="10" t="s">
        <v>92</v>
      </c>
      <c r="O15" s="159" t="s">
        <v>93</v>
      </c>
      <c r="P15" s="159" t="s">
        <v>91</v>
      </c>
      <c r="Q15" s="10">
        <f>(2*36)+(3*16.47)-(2*0.76)</f>
        <v>119.89</v>
      </c>
      <c r="R15" s="10" t="s">
        <v>92</v>
      </c>
      <c r="S15" s="9" t="s">
        <v>93</v>
      </c>
      <c r="T15" s="9" t="s">
        <v>91</v>
      </c>
      <c r="U15" s="10">
        <f>(2*36)+(3*12.11)-(2*0.76)</f>
        <v>106.81</v>
      </c>
      <c r="V15" s="10" t="s">
        <v>92</v>
      </c>
      <c r="W15" s="9" t="s">
        <v>93</v>
      </c>
      <c r="X15" s="115"/>
    </row>
    <row r="16" spans="1:39" ht="74.25" x14ac:dyDescent="0.25">
      <c r="B16" s="116">
        <v>514</v>
      </c>
      <c r="C16" s="132" t="s">
        <v>94</v>
      </c>
      <c r="D16" s="115" t="s">
        <v>95</v>
      </c>
      <c r="E16" s="116" t="s">
        <v>40</v>
      </c>
      <c r="F16" s="12">
        <f>P33</f>
        <v>15965.456363646646</v>
      </c>
      <c r="H16" s="58" t="s">
        <v>618</v>
      </c>
      <c r="I16" s="10">
        <f>I15/12</f>
        <v>8.9008333333333329</v>
      </c>
      <c r="J16" s="10" t="s">
        <v>52</v>
      </c>
      <c r="K16" s="13"/>
      <c r="L16" s="58" t="s">
        <v>619</v>
      </c>
      <c r="M16" s="10">
        <f>M15/12</f>
        <v>9.9908333333333328</v>
      </c>
      <c r="N16" s="10" t="s">
        <v>52</v>
      </c>
      <c r="O16" s="13"/>
      <c r="P16" s="58" t="s">
        <v>619</v>
      </c>
      <c r="Q16" s="10">
        <f>Q15/12</f>
        <v>9.9908333333333328</v>
      </c>
      <c r="R16" s="10" t="s">
        <v>52</v>
      </c>
      <c r="S16" s="13"/>
      <c r="T16" s="58" t="s">
        <v>618</v>
      </c>
      <c r="U16" s="10">
        <f>U15/12</f>
        <v>8.9008333333333329</v>
      </c>
      <c r="V16" s="10" t="s">
        <v>52</v>
      </c>
      <c r="W16" s="13"/>
      <c r="X16" s="116"/>
    </row>
    <row r="17" spans="2:58" ht="74.25" x14ac:dyDescent="0.25">
      <c r="B17" s="116">
        <v>514</v>
      </c>
      <c r="C17" s="132" t="s">
        <v>96</v>
      </c>
      <c r="D17" s="115" t="s">
        <v>97</v>
      </c>
      <c r="E17" s="116" t="s">
        <v>40</v>
      </c>
      <c r="F17" s="12">
        <f>P33</f>
        <v>15965.456363646646</v>
      </c>
      <c r="H17" s="10" t="s">
        <v>610</v>
      </c>
      <c r="I17" s="10">
        <v>63.82</v>
      </c>
      <c r="J17" s="10" t="s">
        <v>52</v>
      </c>
      <c r="K17" s="10"/>
      <c r="L17" s="10" t="s">
        <v>100</v>
      </c>
      <c r="M17" s="10">
        <v>89.75</v>
      </c>
      <c r="N17" s="10" t="s">
        <v>52</v>
      </c>
      <c r="O17" s="10"/>
      <c r="P17" s="10" t="s">
        <v>100</v>
      </c>
      <c r="Q17" s="10">
        <v>89.75</v>
      </c>
      <c r="R17" s="10" t="s">
        <v>52</v>
      </c>
      <c r="S17" s="10"/>
      <c r="T17" s="10" t="s">
        <v>100</v>
      </c>
      <c r="U17" s="10">
        <v>63.82</v>
      </c>
      <c r="V17" s="10" t="s">
        <v>52</v>
      </c>
      <c r="W17" s="10"/>
    </row>
    <row r="18" spans="2:58" ht="89.1" x14ac:dyDescent="0.25">
      <c r="B18" s="116">
        <v>514</v>
      </c>
      <c r="C18" s="132" t="s">
        <v>98</v>
      </c>
      <c r="D18" s="115" t="s">
        <v>99</v>
      </c>
      <c r="E18" s="116" t="s">
        <v>40</v>
      </c>
      <c r="F18" s="12">
        <f>P33</f>
        <v>15965.456363646646</v>
      </c>
      <c r="H18" s="22" t="s">
        <v>106</v>
      </c>
      <c r="I18" s="22" t="s">
        <v>107</v>
      </c>
      <c r="J18" s="24"/>
      <c r="K18" s="22"/>
      <c r="L18" s="22" t="s">
        <v>106</v>
      </c>
      <c r="M18" s="22" t="s">
        <v>341</v>
      </c>
      <c r="N18" s="24"/>
      <c r="O18" s="22"/>
      <c r="P18" s="22" t="s">
        <v>106</v>
      </c>
      <c r="Q18" s="22" t="s">
        <v>341</v>
      </c>
      <c r="R18" s="24"/>
      <c r="S18" s="22"/>
      <c r="T18" s="22" t="s">
        <v>106</v>
      </c>
      <c r="U18" s="22" t="s">
        <v>107</v>
      </c>
      <c r="V18" s="24"/>
      <c r="W18" s="22"/>
      <c r="X18" s="117"/>
      <c r="Y18" s="223" t="s">
        <v>352</v>
      </c>
      <c r="Z18" s="224"/>
      <c r="AA18" s="224"/>
      <c r="AB18" s="224"/>
      <c r="AC18" s="224"/>
      <c r="AD18" s="224"/>
      <c r="AE18" s="224"/>
      <c r="AF18" s="225"/>
      <c r="AH18" s="18" t="s">
        <v>407</v>
      </c>
      <c r="AM18" t="s">
        <v>102</v>
      </c>
      <c r="AO18" s="25">
        <v>8.1999999999999993</v>
      </c>
      <c r="AP18" s="55" t="s">
        <v>103</v>
      </c>
      <c r="AQ18" s="21"/>
    </row>
    <row r="19" spans="2:58" ht="74.25" x14ac:dyDescent="0.25">
      <c r="B19" s="116">
        <v>514</v>
      </c>
      <c r="C19" s="132" t="s">
        <v>104</v>
      </c>
      <c r="D19" s="115" t="s">
        <v>105</v>
      </c>
      <c r="E19" s="116" t="s">
        <v>40</v>
      </c>
      <c r="F19" s="12">
        <f>P33</f>
        <v>15965.456363646646</v>
      </c>
      <c r="H19" s="10" t="s">
        <v>112</v>
      </c>
      <c r="I19" s="10">
        <f>I17*I16</f>
        <v>568.05118333333326</v>
      </c>
      <c r="J19" s="10" t="s">
        <v>113</v>
      </c>
      <c r="K19" s="10"/>
      <c r="L19" s="10" t="s">
        <v>112</v>
      </c>
      <c r="M19" s="10">
        <f>M17*M16</f>
        <v>896.67729166666663</v>
      </c>
      <c r="N19" s="10" t="s">
        <v>113</v>
      </c>
      <c r="O19" s="10"/>
      <c r="P19" s="10" t="s">
        <v>112</v>
      </c>
      <c r="Q19" s="10">
        <f>Q17*Q16</f>
        <v>896.67729166666663</v>
      </c>
      <c r="R19" s="10" t="s">
        <v>113</v>
      </c>
      <c r="S19" s="10"/>
      <c r="T19" s="10" t="s">
        <v>112</v>
      </c>
      <c r="U19" s="10">
        <f>U17*U16</f>
        <v>568.05118333333326</v>
      </c>
      <c r="V19" s="10" t="s">
        <v>113</v>
      </c>
      <c r="W19" s="10"/>
      <c r="X19" s="19"/>
      <c r="Y19" s="62"/>
      <c r="Z19" s="63" t="s">
        <v>114</v>
      </c>
      <c r="AA19" s="140">
        <v>8</v>
      </c>
      <c r="AB19" s="140" t="s">
        <v>52</v>
      </c>
      <c r="AC19" s="140"/>
      <c r="AD19" s="63"/>
      <c r="AE19" s="63"/>
      <c r="AF19" s="66"/>
      <c r="AH19" s="226" t="s">
        <v>352</v>
      </c>
      <c r="AI19" s="227"/>
      <c r="AJ19" s="227"/>
      <c r="AK19" s="227"/>
      <c r="AL19" s="227"/>
      <c r="AM19" s="227"/>
      <c r="AN19" s="227"/>
      <c r="AQ19" s="21"/>
    </row>
    <row r="20" spans="2:58" ht="75" thickBot="1" x14ac:dyDescent="0.4">
      <c r="B20" s="116">
        <v>514</v>
      </c>
      <c r="C20" s="132" t="s">
        <v>109</v>
      </c>
      <c r="D20" s="133" t="s">
        <v>110</v>
      </c>
      <c r="E20" s="116" t="s">
        <v>111</v>
      </c>
      <c r="F20" s="134">
        <f>ROUNDUP(J21*J23/60,0)</f>
        <v>21</v>
      </c>
      <c r="H20" s="90" t="s">
        <v>117</v>
      </c>
      <c r="I20" s="91">
        <f>I19*1.1</f>
        <v>624.85630166666658</v>
      </c>
      <c r="J20" s="90" t="s">
        <v>113</v>
      </c>
      <c r="K20" s="90"/>
      <c r="L20" s="10" t="s">
        <v>117</v>
      </c>
      <c r="M20" s="31">
        <f>M19*1.1</f>
        <v>986.34502083333336</v>
      </c>
      <c r="N20" s="10" t="s">
        <v>113</v>
      </c>
      <c r="O20" s="10"/>
      <c r="P20" s="10" t="s">
        <v>117</v>
      </c>
      <c r="Q20" s="31">
        <f>Q19*1.1</f>
        <v>986.34502083333336</v>
      </c>
      <c r="R20" s="10" t="s">
        <v>113</v>
      </c>
      <c r="S20" s="10"/>
      <c r="T20" s="10" t="s">
        <v>117</v>
      </c>
      <c r="U20" s="31">
        <f>U19*1.1</f>
        <v>624.85630166666658</v>
      </c>
      <c r="V20" s="10" t="s">
        <v>113</v>
      </c>
      <c r="W20" s="10"/>
      <c r="X20" s="19"/>
      <c r="Y20" s="62" t="s">
        <v>618</v>
      </c>
      <c r="Z20" s="161" t="s">
        <v>386</v>
      </c>
      <c r="AA20" s="63">
        <f>8*12</f>
        <v>96</v>
      </c>
      <c r="AB20" s="63" t="s">
        <v>92</v>
      </c>
      <c r="AC20" s="63"/>
      <c r="AD20" s="68"/>
      <c r="AE20" s="63"/>
      <c r="AF20" s="66"/>
      <c r="AH20" s="32"/>
      <c r="AI20" s="28"/>
      <c r="AJ20" s="28" t="s">
        <v>101</v>
      </c>
      <c r="AK20" s="28" t="s">
        <v>119</v>
      </c>
      <c r="AL20" s="28" t="s">
        <v>120</v>
      </c>
      <c r="AM20" s="28"/>
      <c r="AN20" s="28"/>
      <c r="AO20" s="25" t="s">
        <v>118</v>
      </c>
      <c r="AP20">
        <v>2</v>
      </c>
      <c r="AQ20" s="21" t="s">
        <v>92</v>
      </c>
    </row>
    <row r="21" spans="2:58" ht="44.55" x14ac:dyDescent="0.25">
      <c r="B21" s="116">
        <v>514</v>
      </c>
      <c r="C21" s="36">
        <v>10000</v>
      </c>
      <c r="D21" s="133" t="s">
        <v>115</v>
      </c>
      <c r="E21" s="116" t="s">
        <v>116</v>
      </c>
      <c r="F21" s="30">
        <f>ROUNDUP(MAX(F16/1200,(J21*J23/150)),0)</f>
        <v>14</v>
      </c>
      <c r="H21" s="92" t="s">
        <v>121</v>
      </c>
      <c r="I21" s="93"/>
      <c r="J21" s="94">
        <f>I17+M17+Q17+U17</f>
        <v>307.14</v>
      </c>
      <c r="K21" s="95" t="s">
        <v>52</v>
      </c>
      <c r="Y21" s="62"/>
      <c r="Z21" s="162" t="s">
        <v>422</v>
      </c>
      <c r="AA21" s="63">
        <f>36-2</f>
        <v>34</v>
      </c>
      <c r="AB21" s="63" t="s">
        <v>92</v>
      </c>
      <c r="AC21" s="63"/>
      <c r="AD21" s="68"/>
      <c r="AE21" s="63"/>
      <c r="AF21" s="66"/>
      <c r="AH21" s="32"/>
      <c r="AI21" s="28" t="s">
        <v>114</v>
      </c>
      <c r="AJ21" s="28">
        <v>8.8000000000000007</v>
      </c>
      <c r="AK21" s="28">
        <f>AJ21/3</f>
        <v>2.9333333333333336</v>
      </c>
      <c r="AL21" s="28">
        <f>AJ21/6</f>
        <v>1.4666666666666668</v>
      </c>
      <c r="AM21" s="28"/>
      <c r="AN21" s="28"/>
      <c r="AO21" t="s">
        <v>92</v>
      </c>
      <c r="AQ21" s="21"/>
    </row>
    <row r="22" spans="2:58" x14ac:dyDescent="0.25">
      <c r="H22" s="102" t="s">
        <v>342</v>
      </c>
      <c r="I22" s="103"/>
      <c r="J22" s="128">
        <f>(I20+M20+Q20+U20)</f>
        <v>3222.4026450000001</v>
      </c>
      <c r="K22" s="104" t="s">
        <v>113</v>
      </c>
      <c r="M22" t="s">
        <v>375</v>
      </c>
      <c r="N22" s="52">
        <f>BB29</f>
        <v>0</v>
      </c>
      <c r="O22" t="s">
        <v>126</v>
      </c>
      <c r="Y22" s="62"/>
      <c r="Z22" s="63"/>
      <c r="AA22" s="63"/>
      <c r="AB22" s="63"/>
      <c r="AC22" s="63"/>
      <c r="AD22" s="63"/>
      <c r="AE22" s="63"/>
      <c r="AF22" s="66"/>
      <c r="AH22" s="32"/>
      <c r="AI22" s="28" t="s">
        <v>321</v>
      </c>
      <c r="AJ22" s="28">
        <v>36.5</v>
      </c>
      <c r="AK22" s="36" t="s">
        <v>92</v>
      </c>
      <c r="AL22" s="28"/>
      <c r="AM22" s="28"/>
      <c r="AN22" s="28"/>
      <c r="AO22" t="s">
        <v>92</v>
      </c>
      <c r="AQ22" s="21"/>
      <c r="AY22" s="14"/>
      <c r="AZ22" s="16"/>
      <c r="BA22" s="16"/>
      <c r="BB22" s="16"/>
      <c r="BC22" s="16"/>
      <c r="BD22" s="16"/>
      <c r="BE22" s="16"/>
      <c r="BF22" s="17"/>
    </row>
    <row r="23" spans="2:58" x14ac:dyDescent="0.25">
      <c r="H23" s="96" t="s">
        <v>123</v>
      </c>
      <c r="I23" s="35"/>
      <c r="J23" s="10">
        <v>4</v>
      </c>
      <c r="K23" s="97"/>
      <c r="M23" t="s">
        <v>374</v>
      </c>
      <c r="N23" s="52">
        <f>BF49</f>
        <v>810.9497836466453</v>
      </c>
      <c r="O23" t="s">
        <v>126</v>
      </c>
      <c r="R23" s="14" t="s">
        <v>363</v>
      </c>
      <c r="S23" s="16" t="s">
        <v>423</v>
      </c>
      <c r="T23" s="16" t="s">
        <v>365</v>
      </c>
      <c r="U23" s="17" t="s">
        <v>424</v>
      </c>
      <c r="Y23" s="62"/>
      <c r="Z23" s="63"/>
      <c r="AA23" s="63"/>
      <c r="AB23" s="63"/>
      <c r="AC23" s="63"/>
      <c r="AD23" s="63"/>
      <c r="AE23" s="63"/>
      <c r="AF23" s="66"/>
      <c r="AH23" s="32"/>
      <c r="AI23" s="28"/>
      <c r="AJ23" s="28">
        <f>AJ22/12</f>
        <v>3.0416666666666665</v>
      </c>
      <c r="AK23" s="36" t="s">
        <v>52</v>
      </c>
      <c r="AL23" s="28">
        <f>AI27^2+AI30^2</f>
        <v>16.111111111111111</v>
      </c>
      <c r="AM23" s="28"/>
      <c r="AN23" s="37">
        <f>AI27^2+AJ30^2</f>
        <v>10.784083361111112</v>
      </c>
      <c r="AO23" t="s">
        <v>92</v>
      </c>
      <c r="AQ23" s="21"/>
      <c r="AY23" s="19"/>
      <c r="BA23" t="s">
        <v>368</v>
      </c>
      <c r="BF23" s="21"/>
    </row>
    <row r="24" spans="2:58" ht="30.45" thickBot="1" x14ac:dyDescent="0.3">
      <c r="H24" s="98" t="s">
        <v>360</v>
      </c>
      <c r="I24" s="99"/>
      <c r="J24" s="100">
        <f>J22*J23</f>
        <v>12889.61058</v>
      </c>
      <c r="K24" s="101" t="s">
        <v>113</v>
      </c>
      <c r="R24" s="19" t="s">
        <v>366</v>
      </c>
      <c r="S24">
        <v>1.76</v>
      </c>
      <c r="T24">
        <v>1.76</v>
      </c>
      <c r="U24" s="21">
        <v>7.84</v>
      </c>
      <c r="Y24" s="62"/>
      <c r="Z24" s="63"/>
      <c r="AA24" s="63"/>
      <c r="AB24" s="63"/>
      <c r="AC24" s="63"/>
      <c r="AD24" s="63"/>
      <c r="AE24" s="63"/>
      <c r="AF24" s="66"/>
      <c r="AH24" s="32"/>
      <c r="AI24" s="28"/>
      <c r="AJ24" s="28"/>
      <c r="AK24" s="36"/>
      <c r="AL24" s="28"/>
      <c r="AM24" s="28"/>
      <c r="AN24" s="28"/>
      <c r="AQ24" s="21"/>
      <c r="AY24" s="19"/>
      <c r="AZ24" t="s">
        <v>370</v>
      </c>
      <c r="BA24" t="s">
        <v>364</v>
      </c>
      <c r="BB24">
        <f>(AZ31*AY33)+(BF33*BC30)+(2*(AY33-BF33)*BC30/2)</f>
        <v>798</v>
      </c>
      <c r="BC24" t="s">
        <v>369</v>
      </c>
      <c r="BF24" s="21"/>
    </row>
    <row r="25" spans="2:58" x14ac:dyDescent="0.25">
      <c r="H25" s="4"/>
      <c r="R25" s="19" t="s">
        <v>358</v>
      </c>
      <c r="S25">
        <v>0</v>
      </c>
      <c r="T25">
        <v>0</v>
      </c>
      <c r="U25" s="21">
        <v>0</v>
      </c>
      <c r="Y25" s="62"/>
      <c r="Z25" s="63">
        <f>(Z26)/12</f>
        <v>2.8333333333333335</v>
      </c>
      <c r="AA25" s="63" t="s">
        <v>2</v>
      </c>
      <c r="AB25" s="63"/>
      <c r="AC25" s="63"/>
      <c r="AD25" s="63"/>
      <c r="AE25" s="63"/>
      <c r="AF25" s="66"/>
      <c r="AH25" s="32"/>
      <c r="AI25" s="28"/>
      <c r="AJ25" s="28"/>
      <c r="AK25" s="28"/>
      <c r="AL25" s="28"/>
      <c r="AM25" s="28"/>
      <c r="AN25" s="28"/>
      <c r="AP25">
        <v>1.333</v>
      </c>
      <c r="AQ25" s="21" t="s">
        <v>125</v>
      </c>
      <c r="AY25" s="19"/>
      <c r="AZ25" t="s">
        <v>371</v>
      </c>
      <c r="BA25" t="s">
        <v>364</v>
      </c>
      <c r="BB25">
        <f>0</f>
        <v>0</v>
      </c>
      <c r="BC25" t="s">
        <v>369</v>
      </c>
      <c r="BF25" s="21"/>
    </row>
    <row r="26" spans="2:58" x14ac:dyDescent="0.25">
      <c r="H26" s="14" t="s">
        <v>325</v>
      </c>
      <c r="I26" s="16"/>
      <c r="J26" s="16">
        <f>2*(6*AI24)/144</f>
        <v>0</v>
      </c>
      <c r="K26" s="17" t="s">
        <v>126</v>
      </c>
      <c r="R26" s="19" t="s">
        <v>361</v>
      </c>
      <c r="S26">
        <f>S24*S25</f>
        <v>0</v>
      </c>
      <c r="T26">
        <f>T24*T25</f>
        <v>0</v>
      </c>
      <c r="U26" s="21">
        <f>U24*U25</f>
        <v>0</v>
      </c>
      <c r="Y26" s="62"/>
      <c r="Z26" s="63">
        <f>AA21</f>
        <v>34</v>
      </c>
      <c r="AA26" s="63"/>
      <c r="AB26" s="63"/>
      <c r="AC26" s="63"/>
      <c r="AD26" s="63">
        <f>(SQRT((AB29/2)^2+(Z25)^2))</f>
        <v>5.2333333333333334</v>
      </c>
      <c r="AE26" s="63" t="s">
        <v>2</v>
      </c>
      <c r="AF26" s="66"/>
      <c r="AH26" s="32"/>
      <c r="AI26" s="28"/>
      <c r="AJ26" s="37">
        <f>SQRT(AN23)</f>
        <v>3.2839128126536963</v>
      </c>
      <c r="AK26" s="37"/>
      <c r="AL26" s="28"/>
      <c r="AM26" s="37">
        <f>AH27</f>
        <v>4.0138648595974313</v>
      </c>
      <c r="AN26" s="28"/>
      <c r="AP26" s="1">
        <f>0.33*AP25*2</f>
        <v>0.87978000000000001</v>
      </c>
      <c r="AQ26" s="21" t="s">
        <v>126</v>
      </c>
      <c r="AY26" s="19"/>
      <c r="AZ26" t="s">
        <v>372</v>
      </c>
      <c r="BA26" t="s">
        <v>364</v>
      </c>
      <c r="BB26">
        <f>(BB24+BB25)/144*2</f>
        <v>11.083333333333334</v>
      </c>
      <c r="BC26" t="s">
        <v>113</v>
      </c>
      <c r="BF26" s="21"/>
    </row>
    <row r="27" spans="2:58" x14ac:dyDescent="0.25">
      <c r="H27" s="19" t="s">
        <v>187</v>
      </c>
      <c r="J27">
        <v>0</v>
      </c>
      <c r="K27" s="21" t="s">
        <v>329</v>
      </c>
      <c r="R27" s="19"/>
      <c r="U27" s="21"/>
      <c r="Y27" s="62"/>
      <c r="Z27" s="63"/>
      <c r="AA27" s="63"/>
      <c r="AB27" s="63"/>
      <c r="AC27" s="63"/>
      <c r="AD27" s="63"/>
      <c r="AE27" s="63"/>
      <c r="AF27" s="66"/>
      <c r="AH27" s="39">
        <f>SQRT(AL23)</f>
        <v>4.0138648595974313</v>
      </c>
      <c r="AI27" s="40">
        <f>AJ23-(2*2.25/12)</f>
        <v>2.6666666666666665</v>
      </c>
      <c r="AJ27" s="28"/>
      <c r="AK27" s="28"/>
      <c r="AL27" s="28"/>
      <c r="AM27" s="28"/>
      <c r="AN27" s="28"/>
      <c r="AP27">
        <v>7</v>
      </c>
      <c r="AQ27" s="21" t="s">
        <v>125</v>
      </c>
      <c r="AY27" s="19"/>
      <c r="AZ27" t="s">
        <v>358</v>
      </c>
      <c r="BB27">
        <v>0</v>
      </c>
      <c r="BF27" s="21"/>
    </row>
    <row r="28" spans="2:58" x14ac:dyDescent="0.25">
      <c r="H28" s="19" t="s">
        <v>188</v>
      </c>
      <c r="J28" s="7">
        <f>J26*J27</f>
        <v>0</v>
      </c>
      <c r="K28" s="21" t="s">
        <v>126</v>
      </c>
      <c r="R28" s="19"/>
      <c r="S28" t="s">
        <v>351</v>
      </c>
      <c r="T28">
        <f>S26+T26+U26</f>
        <v>0</v>
      </c>
      <c r="U28" s="21"/>
      <c r="Y28" s="62"/>
      <c r="Z28" s="63"/>
      <c r="AA28" s="63"/>
      <c r="AB28" s="63"/>
      <c r="AC28" s="63"/>
      <c r="AD28" s="63"/>
      <c r="AE28" s="63"/>
      <c r="AF28" s="66"/>
      <c r="AH28" s="32"/>
      <c r="AI28" s="28"/>
      <c r="AJ28" s="28"/>
      <c r="AK28" s="28"/>
      <c r="AL28" s="28"/>
      <c r="AM28" s="28"/>
      <c r="AN28" s="28"/>
      <c r="AP28" s="1">
        <f>0.33*AP27*2</f>
        <v>4.62</v>
      </c>
      <c r="AQ28" s="21" t="s">
        <v>126</v>
      </c>
      <c r="AY28" s="19"/>
      <c r="AZ28" t="s">
        <v>373</v>
      </c>
      <c r="BB28">
        <f>BB26*BB27</f>
        <v>0</v>
      </c>
      <c r="BF28" s="21"/>
    </row>
    <row r="29" spans="2:58" x14ac:dyDescent="0.25">
      <c r="H29" s="49" t="s">
        <v>189</v>
      </c>
      <c r="I29" s="3"/>
      <c r="J29" s="3"/>
      <c r="K29" s="44"/>
      <c r="R29" s="49"/>
      <c r="S29" s="112" t="s">
        <v>367</v>
      </c>
      <c r="T29" s="59">
        <f>T28*1.1</f>
        <v>0</v>
      </c>
      <c r="U29" s="44"/>
      <c r="Y29" s="62"/>
      <c r="Z29" s="63"/>
      <c r="AA29" s="63"/>
      <c r="AB29" s="140">
        <v>8.8000000000000007</v>
      </c>
      <c r="AC29" s="63"/>
      <c r="AD29" s="63"/>
      <c r="AE29" s="63"/>
      <c r="AF29" s="66"/>
      <c r="AH29" s="32"/>
      <c r="AI29" s="28"/>
      <c r="AJ29" s="28"/>
      <c r="AK29" s="28"/>
      <c r="AL29" s="28"/>
      <c r="AM29" s="28"/>
      <c r="AN29" s="28"/>
      <c r="AQ29" s="21"/>
      <c r="AY29" s="19"/>
      <c r="AZ29" t="s">
        <v>367</v>
      </c>
      <c r="BB29" s="7">
        <f>BB28*1.1</f>
        <v>0</v>
      </c>
      <c r="BF29" s="21"/>
    </row>
    <row r="30" spans="2:58" x14ac:dyDescent="0.25">
      <c r="Y30" s="62"/>
      <c r="Z30" s="63"/>
      <c r="AA30" s="63"/>
      <c r="AB30" s="63"/>
      <c r="AC30" s="63"/>
      <c r="AD30" s="63"/>
      <c r="AE30" s="63"/>
      <c r="AF30" s="66"/>
      <c r="AH30" s="32"/>
      <c r="AI30" s="37">
        <v>3</v>
      </c>
      <c r="AJ30" s="37">
        <v>1.9165000000000001</v>
      </c>
      <c r="AK30" s="28"/>
      <c r="AL30" s="28"/>
      <c r="AM30" s="28"/>
      <c r="AN30" s="28"/>
      <c r="AQ30" s="21"/>
      <c r="AY30" s="19"/>
      <c r="BC30">
        <v>39</v>
      </c>
      <c r="BF30" s="21"/>
    </row>
    <row r="31" spans="2:58" ht="15.6" thickBot="1" x14ac:dyDescent="0.3">
      <c r="H31" s="14" t="s">
        <v>383</v>
      </c>
      <c r="I31" s="16"/>
      <c r="J31" s="16">
        <f>2*(8*72)/144</f>
        <v>8</v>
      </c>
      <c r="K31" s="17" t="s">
        <v>126</v>
      </c>
      <c r="Y31" s="62" t="s">
        <v>420</v>
      </c>
      <c r="Z31" s="63"/>
      <c r="AA31" s="63"/>
      <c r="AB31" s="140">
        <f>(2*AD26)+AB29</f>
        <v>19.266666666666666</v>
      </c>
      <c r="AC31" s="63" t="s">
        <v>125</v>
      </c>
      <c r="AD31" s="63"/>
      <c r="AE31" s="63"/>
      <c r="AF31" s="66"/>
      <c r="AH31" s="42"/>
      <c r="AI31" s="43"/>
      <c r="AJ31" s="43"/>
      <c r="AK31" s="43"/>
      <c r="AL31" s="43"/>
      <c r="AM31" s="43"/>
      <c r="AN31" s="43"/>
      <c r="AO31" s="3"/>
      <c r="AP31" s="3"/>
      <c r="AQ31" s="44"/>
      <c r="AY31" s="19"/>
      <c r="AZ31">
        <v>18</v>
      </c>
      <c r="BF31" s="21"/>
    </row>
    <row r="32" spans="2:58" x14ac:dyDescent="0.25">
      <c r="H32" s="19" t="s">
        <v>187</v>
      </c>
      <c r="J32">
        <v>0</v>
      </c>
      <c r="K32" s="21" t="s">
        <v>329</v>
      </c>
      <c r="O32" s="108" t="s">
        <v>362</v>
      </c>
      <c r="P32" s="109"/>
      <c r="Y32" s="62"/>
      <c r="Z32" s="63"/>
      <c r="AA32" s="63"/>
      <c r="AB32" s="63"/>
      <c r="AC32" s="63"/>
      <c r="AD32" s="63"/>
      <c r="AE32" s="63"/>
      <c r="AF32" s="66"/>
      <c r="AH32" s="45"/>
      <c r="AI32" s="46"/>
      <c r="AJ32" s="46" t="s">
        <v>130</v>
      </c>
      <c r="AK32" s="47" t="s">
        <v>637</v>
      </c>
      <c r="AL32" s="46"/>
      <c r="AM32" s="46"/>
      <c r="AN32" s="46"/>
      <c r="AO32" s="16"/>
      <c r="AP32" s="16"/>
      <c r="AQ32" s="17"/>
      <c r="AY32" s="19"/>
      <c r="BF32" s="21"/>
    </row>
    <row r="33" spans="8:59" ht="15.6" thickBot="1" x14ac:dyDescent="0.3">
      <c r="H33" s="19" t="s">
        <v>188</v>
      </c>
      <c r="J33" s="7">
        <f>J31*J32</f>
        <v>0</v>
      </c>
      <c r="K33" s="21" t="s">
        <v>126</v>
      </c>
      <c r="O33" s="110" t="s">
        <v>351</v>
      </c>
      <c r="P33" s="111">
        <f>J24+J28+J33+I42+I52+I61+T29+N22+N23</f>
        <v>15965.456363646646</v>
      </c>
      <c r="Y33" s="141" t="s">
        <v>421</v>
      </c>
      <c r="Z33" s="63"/>
      <c r="AA33" s="63"/>
      <c r="AB33" s="71">
        <f>0.25*4*AB31</f>
        <v>19.266666666666666</v>
      </c>
      <c r="AC33" s="63" t="s">
        <v>126</v>
      </c>
      <c r="AD33" s="63"/>
      <c r="AE33" s="63"/>
      <c r="AF33" s="66"/>
      <c r="AH33" s="42"/>
      <c r="AI33" s="43"/>
      <c r="AJ33" s="43"/>
      <c r="AK33" s="43">
        <f>AJ21+(2*AH27)+(2*AJ26)</f>
        <v>23.395555344502256</v>
      </c>
      <c r="AL33" s="43" t="s">
        <v>52</v>
      </c>
      <c r="AM33" s="43"/>
      <c r="AN33" s="43"/>
      <c r="AO33" s="3"/>
      <c r="AP33" s="3"/>
      <c r="AQ33" s="44"/>
      <c r="AY33" s="19">
        <v>14</v>
      </c>
      <c r="BF33" s="21">
        <v>6</v>
      </c>
    </row>
    <row r="34" spans="8:59" x14ac:dyDescent="0.25">
      <c r="H34" s="49" t="s">
        <v>189</v>
      </c>
      <c r="I34" s="3"/>
      <c r="J34" s="3"/>
      <c r="K34" s="44"/>
      <c r="Y34" s="62" t="s">
        <v>132</v>
      </c>
      <c r="Z34" s="63"/>
      <c r="AA34" s="63" t="s">
        <v>133</v>
      </c>
      <c r="AB34" s="140">
        <f>AB33*1.1</f>
        <v>21.193333333333335</v>
      </c>
      <c r="AC34" s="63" t="s">
        <v>126</v>
      </c>
      <c r="AD34" s="63"/>
      <c r="AE34" s="63"/>
      <c r="AF34" s="66"/>
      <c r="AH34" s="45"/>
      <c r="AI34" s="46"/>
      <c r="AJ34" s="46"/>
      <c r="AK34" s="46"/>
      <c r="AL34" s="46"/>
      <c r="AM34" s="46"/>
      <c r="AN34" s="46"/>
      <c r="AO34" s="16"/>
      <c r="AP34" s="16"/>
      <c r="AQ34" s="17"/>
      <c r="AY34" s="19"/>
      <c r="BF34" s="21"/>
    </row>
    <row r="35" spans="8:59" x14ac:dyDescent="0.25">
      <c r="Y35" s="62"/>
      <c r="Z35" s="63"/>
      <c r="AA35" s="63"/>
      <c r="AB35" s="140">
        <f>AB34*6</f>
        <v>127.16000000000001</v>
      </c>
      <c r="AC35" s="63"/>
      <c r="AD35" s="63"/>
      <c r="AE35" s="63"/>
      <c r="AF35" s="66"/>
      <c r="AH35" s="32"/>
      <c r="AI35" s="28"/>
      <c r="AJ35" s="28"/>
      <c r="AK35" s="28"/>
      <c r="AL35" s="28"/>
      <c r="AM35" s="28"/>
      <c r="AN35" s="28"/>
      <c r="AQ35" s="21"/>
      <c r="AY35" s="19"/>
      <c r="BF35" s="21"/>
    </row>
    <row r="36" spans="8:59" x14ac:dyDescent="0.25">
      <c r="H36" t="s">
        <v>435</v>
      </c>
      <c r="Y36" s="82"/>
      <c r="Z36" s="76"/>
      <c r="AA36" s="76"/>
      <c r="AB36" s="76"/>
      <c r="AC36" s="76"/>
      <c r="AD36" s="76"/>
      <c r="AE36" s="76"/>
      <c r="AF36" s="77"/>
      <c r="AH36" s="32"/>
      <c r="AI36" s="28" t="s">
        <v>134</v>
      </c>
      <c r="AJ36" s="28"/>
      <c r="AK36" s="28">
        <f>AK33*(0.3333*4)</f>
        <v>31.190954385290407</v>
      </c>
      <c r="AL36" s="28" t="s">
        <v>126</v>
      </c>
      <c r="AM36" s="28"/>
      <c r="AN36" s="28"/>
      <c r="AQ36" s="21"/>
      <c r="AY36" s="19"/>
      <c r="BF36" s="21"/>
    </row>
    <row r="37" spans="8:59" x14ac:dyDescent="0.25">
      <c r="H37" s="10" t="s">
        <v>91</v>
      </c>
      <c r="I37" s="10">
        <v>1.33</v>
      </c>
      <c r="J37" s="10" t="s">
        <v>52</v>
      </c>
      <c r="K37" s="10"/>
      <c r="AH37" s="42"/>
      <c r="AI37" s="43" t="s">
        <v>135</v>
      </c>
      <c r="AJ37" s="43"/>
      <c r="AK37" s="43"/>
      <c r="AL37" s="43"/>
      <c r="AM37" s="43"/>
      <c r="AN37" s="43"/>
      <c r="AO37" s="3"/>
      <c r="AP37" s="3"/>
      <c r="AQ37" s="44"/>
      <c r="AY37" s="19"/>
      <c r="BF37" s="21"/>
    </row>
    <row r="38" spans="8:59" x14ac:dyDescent="0.25">
      <c r="H38" s="10" t="s">
        <v>100</v>
      </c>
      <c r="I38" s="41">
        <v>23.39</v>
      </c>
      <c r="J38" s="10" t="s">
        <v>52</v>
      </c>
      <c r="K38" s="10"/>
      <c r="AH38" s="14"/>
      <c r="AI38" s="16"/>
      <c r="AJ38" s="16"/>
      <c r="AK38" s="16"/>
      <c r="AL38" s="16"/>
      <c r="AM38" s="16"/>
      <c r="AN38" s="16"/>
      <c r="AO38" s="16"/>
      <c r="AP38" s="16"/>
      <c r="AQ38" s="17"/>
      <c r="AY38" s="19">
        <v>1.375</v>
      </c>
      <c r="BF38" s="21"/>
    </row>
    <row r="39" spans="8:59" x14ac:dyDescent="0.25">
      <c r="H39" s="10" t="s">
        <v>106</v>
      </c>
      <c r="I39" t="str">
        <f>'BUT-4-1580L'!$I$280</f>
        <v>End Crossframes</v>
      </c>
      <c r="K39" s="10"/>
      <c r="Y39" s="14"/>
      <c r="Z39" s="15" t="s">
        <v>384</v>
      </c>
      <c r="AA39" s="16"/>
      <c r="AB39" s="16"/>
      <c r="AC39" s="16"/>
      <c r="AD39" s="16"/>
      <c r="AE39" s="16"/>
      <c r="AF39" s="17"/>
      <c r="AH39" s="19"/>
      <c r="AI39" s="222" t="s">
        <v>136</v>
      </c>
      <c r="AQ39" s="21"/>
      <c r="AY39" s="19"/>
      <c r="BF39" s="21"/>
    </row>
    <row r="40" spans="8:59" x14ac:dyDescent="0.25">
      <c r="H40" s="10" t="s">
        <v>128</v>
      </c>
      <c r="I40" s="33">
        <v>6</v>
      </c>
      <c r="J40" s="35"/>
      <c r="K40" s="10"/>
      <c r="Y40" s="19"/>
      <c r="AA40" t="s">
        <v>101</v>
      </c>
      <c r="AF40" s="21"/>
      <c r="AH40" s="19"/>
      <c r="AI40" s="222"/>
      <c r="AK40">
        <f>AO18*AK33</f>
        <v>191.84355382491847</v>
      </c>
      <c r="AL40" t="s">
        <v>137</v>
      </c>
      <c r="AQ40" s="21"/>
      <c r="AY40" s="19"/>
      <c r="BB40">
        <f>AZ31+BC30</f>
        <v>57</v>
      </c>
      <c r="BF40" s="21"/>
    </row>
    <row r="41" spans="8:59" x14ac:dyDescent="0.25">
      <c r="H41" s="10" t="s">
        <v>112</v>
      </c>
      <c r="I41" s="10">
        <v>31.1</v>
      </c>
      <c r="J41" s="10" t="s">
        <v>113</v>
      </c>
      <c r="K41" s="10"/>
      <c r="Y41" s="19"/>
      <c r="AD41" s="25"/>
      <c r="AF41" s="21"/>
      <c r="AH41" s="49"/>
      <c r="AI41" s="228"/>
      <c r="AJ41" s="3"/>
      <c r="AK41" s="3"/>
      <c r="AL41" s="3"/>
      <c r="AM41" s="3"/>
      <c r="AN41" s="3"/>
      <c r="AO41" s="3"/>
      <c r="AP41" s="3"/>
      <c r="AQ41" s="44"/>
      <c r="AY41" s="49"/>
      <c r="AZ41" s="3"/>
      <c r="BA41" s="3"/>
      <c r="BB41" s="3"/>
      <c r="BC41" s="3"/>
      <c r="BD41" s="3"/>
      <c r="BE41" s="3"/>
      <c r="BF41" s="44"/>
    </row>
    <row r="42" spans="8:59" ht="29.7" x14ac:dyDescent="0.25">
      <c r="H42" s="106" t="s">
        <v>354</v>
      </c>
      <c r="I42" s="31">
        <f>I40*I41</f>
        <v>186.60000000000002</v>
      </c>
      <c r="J42" s="10" t="s">
        <v>113</v>
      </c>
      <c r="K42" s="10"/>
      <c r="Y42" s="19"/>
      <c r="Z42" t="s">
        <v>114</v>
      </c>
      <c r="AA42" s="27">
        <v>8</v>
      </c>
      <c r="AB42" s="27" t="s">
        <v>52</v>
      </c>
      <c r="AC42" s="27"/>
      <c r="AF42" s="21"/>
      <c r="AH42" s="14"/>
      <c r="AI42" s="16"/>
      <c r="AJ42" s="16"/>
      <c r="AK42" s="16"/>
      <c r="AL42" s="16"/>
      <c r="AM42" s="16"/>
      <c r="AN42" s="16"/>
      <c r="AO42" s="16"/>
      <c r="AP42" s="16"/>
      <c r="AQ42" s="17"/>
    </row>
    <row r="43" spans="8:59" x14ac:dyDescent="0.25">
      <c r="I43" s="105"/>
      <c r="Y43" s="19"/>
      <c r="AA43" s="27"/>
      <c r="AB43" s="27"/>
      <c r="AC43" s="27"/>
      <c r="AF43" s="21"/>
      <c r="AH43" s="19"/>
      <c r="AQ43" s="21"/>
    </row>
    <row r="44" spans="8:59" x14ac:dyDescent="0.25">
      <c r="H44" t="s">
        <v>384</v>
      </c>
      <c r="Y44" s="19" t="s">
        <v>619</v>
      </c>
      <c r="Z44" s="28" t="s">
        <v>482</v>
      </c>
      <c r="AA44">
        <f>34</f>
        <v>34</v>
      </c>
      <c r="AB44" t="s">
        <v>92</v>
      </c>
      <c r="AD44" s="25"/>
      <c r="AF44" s="21"/>
      <c r="AH44" s="19"/>
      <c r="AI44" s="222" t="s">
        <v>138</v>
      </c>
      <c r="AK44">
        <f>1.1*AK40</f>
        <v>211.02790920741035</v>
      </c>
      <c r="AL44" t="s">
        <v>137</v>
      </c>
      <c r="AQ44" s="21"/>
    </row>
    <row r="45" spans="8:59" x14ac:dyDescent="0.25">
      <c r="H45" s="10" t="s">
        <v>344</v>
      </c>
      <c r="I45" s="10">
        <v>1</v>
      </c>
      <c r="J45" s="10" t="s">
        <v>52</v>
      </c>
      <c r="K45" s="10"/>
      <c r="Y45" s="107"/>
      <c r="AA45">
        <f>AA44/12</f>
        <v>2.8333333333333335</v>
      </c>
      <c r="AB45" t="s">
        <v>52</v>
      </c>
      <c r="AD45" s="25"/>
      <c r="AF45" s="21"/>
      <c r="AH45" s="49"/>
      <c r="AI45" s="228"/>
      <c r="AJ45" s="3"/>
      <c r="AK45" s="3"/>
      <c r="AL45" s="3"/>
      <c r="AM45" s="3"/>
      <c r="AN45" s="3"/>
      <c r="AO45" s="3"/>
      <c r="AP45" s="3"/>
      <c r="AQ45" s="44"/>
      <c r="AZ45" t="s">
        <v>374</v>
      </c>
    </row>
    <row r="46" spans="8:59" x14ac:dyDescent="0.25">
      <c r="H46" s="10" t="s">
        <v>345</v>
      </c>
      <c r="I46">
        <v>1</v>
      </c>
      <c r="J46" s="10" t="s">
        <v>52</v>
      </c>
      <c r="K46" s="10"/>
      <c r="Y46" s="19"/>
      <c r="AF46" s="21"/>
      <c r="AH46" s="14"/>
      <c r="AI46" s="16"/>
      <c r="AJ46" s="16"/>
      <c r="AK46" s="16"/>
      <c r="AL46" s="16"/>
      <c r="AM46" s="16"/>
      <c r="AN46" s="16"/>
      <c r="AO46" s="16"/>
      <c r="AP46" s="16"/>
      <c r="AQ46" s="17"/>
      <c r="BB46">
        <v>8</v>
      </c>
      <c r="BC46" t="s">
        <v>92</v>
      </c>
      <c r="BE46" t="s">
        <v>364</v>
      </c>
      <c r="BF46">
        <f>PI()*BB46/12*BD53</f>
        <v>92.153384505300593</v>
      </c>
    </row>
    <row r="47" spans="8:59" x14ac:dyDescent="0.25">
      <c r="H47" s="10" t="s">
        <v>346</v>
      </c>
      <c r="I47" s="41">
        <v>8.43</v>
      </c>
      <c r="J47" s="10" t="s">
        <v>52</v>
      </c>
      <c r="K47" s="10"/>
      <c r="Y47" s="19"/>
      <c r="AF47" s="21"/>
      <c r="AH47" s="19"/>
      <c r="AI47" s="222" t="s">
        <v>139</v>
      </c>
      <c r="AK47">
        <v>8</v>
      </c>
      <c r="AQ47" s="21"/>
      <c r="BE47" t="s">
        <v>358</v>
      </c>
      <c r="BF47">
        <v>8</v>
      </c>
      <c r="BG47" t="s">
        <v>116</v>
      </c>
    </row>
    <row r="48" spans="8:59" x14ac:dyDescent="0.25">
      <c r="H48" s="10" t="s">
        <v>347</v>
      </c>
      <c r="I48">
        <v>8</v>
      </c>
      <c r="J48" s="10" t="s">
        <v>52</v>
      </c>
      <c r="K48" s="10"/>
      <c r="Y48" s="19"/>
      <c r="AF48" s="21"/>
      <c r="AH48" s="19"/>
      <c r="AI48" s="222"/>
      <c r="AQ48" s="21"/>
      <c r="BE48" t="s">
        <v>361</v>
      </c>
      <c r="BF48">
        <f>BF46*BF47</f>
        <v>737.22707604240475</v>
      </c>
    </row>
    <row r="49" spans="1:59" x14ac:dyDescent="0.25">
      <c r="H49" s="10" t="s">
        <v>106</v>
      </c>
      <c r="I49" s="33" t="s">
        <v>193</v>
      </c>
      <c r="J49" s="35"/>
      <c r="K49" s="10"/>
      <c r="Y49" s="19"/>
      <c r="Z49">
        <f>(AA44-2)/12</f>
        <v>2.6666666666666665</v>
      </c>
      <c r="AA49" t="s">
        <v>2</v>
      </c>
      <c r="AC49">
        <f>SQRT((AB52)^2+(Z49)^2)</f>
        <v>8.4327404271156787</v>
      </c>
      <c r="AD49" t="s">
        <v>2</v>
      </c>
      <c r="AF49" s="21"/>
      <c r="AH49" s="49"/>
      <c r="AI49" s="3"/>
      <c r="AJ49" s="3"/>
      <c r="AK49" s="3"/>
      <c r="AL49" s="3"/>
      <c r="AM49" s="3"/>
      <c r="AN49" s="3"/>
      <c r="AO49" s="3"/>
      <c r="AP49" s="3"/>
      <c r="AQ49" s="44"/>
      <c r="BE49" t="s">
        <v>367</v>
      </c>
      <c r="BF49" s="7">
        <f>BF48*1.1</f>
        <v>810.9497836466453</v>
      </c>
      <c r="BG49" t="s">
        <v>40</v>
      </c>
    </row>
    <row r="50" spans="1:59" ht="103.95" x14ac:dyDescent="0.25">
      <c r="H50" s="10" t="s">
        <v>128</v>
      </c>
      <c r="I50" s="33">
        <v>76</v>
      </c>
      <c r="J50" s="35"/>
      <c r="K50" s="10"/>
      <c r="Y50" s="19"/>
      <c r="Z50">
        <f>Z49*12</f>
        <v>32</v>
      </c>
      <c r="AF50" s="21"/>
      <c r="AH50" s="33"/>
      <c r="AI50" s="53" t="s">
        <v>140</v>
      </c>
      <c r="AJ50" s="34"/>
      <c r="AK50" s="34">
        <f>AK44*AK47</f>
        <v>1688.2232736592828</v>
      </c>
      <c r="AL50" s="34" t="s">
        <v>137</v>
      </c>
      <c r="AM50" s="34"/>
      <c r="AN50" s="34"/>
      <c r="AO50" s="34"/>
      <c r="AP50" s="34"/>
      <c r="AQ50" s="35"/>
    </row>
    <row r="51" spans="1:59" x14ac:dyDescent="0.25">
      <c r="H51" s="10" t="s">
        <v>112</v>
      </c>
      <c r="I51" s="10">
        <f>((I47*I45*2)+(I46*I48))*I50</f>
        <v>1889.36</v>
      </c>
      <c r="J51" s="10" t="s">
        <v>113</v>
      </c>
      <c r="K51" s="10"/>
      <c r="Y51" s="19"/>
      <c r="AF51" s="21"/>
    </row>
    <row r="52" spans="1:59" ht="29.7" x14ac:dyDescent="0.25">
      <c r="H52" s="106" t="s">
        <v>354</v>
      </c>
      <c r="I52" s="31">
        <f>I51*1.1</f>
        <v>2078.2960000000003</v>
      </c>
      <c r="J52" s="10" t="s">
        <v>113</v>
      </c>
      <c r="K52" s="10"/>
      <c r="Y52" s="19"/>
      <c r="AB52" s="27">
        <f>AA42</f>
        <v>8</v>
      </c>
      <c r="AF52" s="21"/>
    </row>
    <row r="53" spans="1:59" x14ac:dyDescent="0.25">
      <c r="Y53" s="19"/>
      <c r="AF53" s="21"/>
      <c r="BD53">
        <v>44</v>
      </c>
      <c r="BE53" t="s">
        <v>52</v>
      </c>
    </row>
    <row r="54" spans="1:59" x14ac:dyDescent="0.25">
      <c r="Y54" s="19"/>
      <c r="AF54" s="21"/>
    </row>
    <row r="55" spans="1:59" x14ac:dyDescent="0.25">
      <c r="H55" t="s">
        <v>385</v>
      </c>
      <c r="Y55" s="19" t="s">
        <v>607</v>
      </c>
      <c r="AB55" s="27">
        <f>(1*AB52)</f>
        <v>8</v>
      </c>
      <c r="AC55" t="s">
        <v>125</v>
      </c>
      <c r="AF55" s="21"/>
    </row>
    <row r="56" spans="1:59" x14ac:dyDescent="0.25">
      <c r="H56" s="10" t="s">
        <v>91</v>
      </c>
      <c r="I56" s="10">
        <f>0</f>
        <v>0</v>
      </c>
      <c r="J56" s="10" t="s">
        <v>52</v>
      </c>
      <c r="K56" s="10"/>
      <c r="Y56" s="19" t="s">
        <v>349</v>
      </c>
      <c r="AB56">
        <f>AC49</f>
        <v>8.4327404271156787</v>
      </c>
      <c r="AC56" t="s">
        <v>125</v>
      </c>
      <c r="AF56" s="21"/>
    </row>
    <row r="57" spans="1:59" x14ac:dyDescent="0.25">
      <c r="H57" s="10" t="s">
        <v>100</v>
      </c>
      <c r="I57" s="41">
        <f>0</f>
        <v>0</v>
      </c>
      <c r="J57" s="10" t="s">
        <v>52</v>
      </c>
      <c r="K57" s="10"/>
      <c r="Y57" s="48" t="s">
        <v>350</v>
      </c>
      <c r="AB57" s="1">
        <f>2*(0.25*4*AB56)+(0.25*4*AB55)</f>
        <v>24.865480854231357</v>
      </c>
      <c r="AC57" t="s">
        <v>126</v>
      </c>
      <c r="AF57" s="21"/>
    </row>
    <row r="58" spans="1:59" x14ac:dyDescent="0.25">
      <c r="H58" s="10" t="s">
        <v>106</v>
      </c>
      <c r="I58" t="s">
        <v>385</v>
      </c>
      <c r="K58" s="10"/>
      <c r="Y58" s="19" t="s">
        <v>132</v>
      </c>
      <c r="AA58" t="s">
        <v>133</v>
      </c>
      <c r="AB58" s="27">
        <f>AB57*1.1</f>
        <v>27.352028939654495</v>
      </c>
      <c r="AC58" t="s">
        <v>126</v>
      </c>
      <c r="AF58" s="21"/>
    </row>
    <row r="59" spans="1:59" x14ac:dyDescent="0.25">
      <c r="H59" s="10" t="s">
        <v>128</v>
      </c>
      <c r="I59" s="33">
        <v>0</v>
      </c>
      <c r="J59" s="35"/>
      <c r="K59" s="10"/>
      <c r="Y59" s="49" t="s">
        <v>438</v>
      </c>
      <c r="Z59" s="3"/>
      <c r="AA59" s="3"/>
      <c r="AB59" s="135">
        <f>AB55+2*AB56</f>
        <v>24.865480854231357</v>
      </c>
      <c r="AC59" s="3"/>
      <c r="AD59" s="3"/>
      <c r="AE59" s="3"/>
      <c r="AF59" s="44"/>
    </row>
    <row r="60" spans="1:59" x14ac:dyDescent="0.25">
      <c r="H60" s="10" t="s">
        <v>112</v>
      </c>
      <c r="I60" s="10">
        <f>I57*I56*I59</f>
        <v>0</v>
      </c>
      <c r="J60" s="10" t="s">
        <v>113</v>
      </c>
      <c r="K60" s="10"/>
      <c r="AB60">
        <f>AB58*76</f>
        <v>2078.7541994137418</v>
      </c>
    </row>
    <row r="61" spans="1:59" ht="29.7" x14ac:dyDescent="0.25">
      <c r="H61" s="106" t="s">
        <v>354</v>
      </c>
      <c r="I61" s="31">
        <f>I60*1.1</f>
        <v>0</v>
      </c>
      <c r="J61" s="10" t="s">
        <v>113</v>
      </c>
      <c r="K61" s="10"/>
    </row>
    <row r="63" spans="1:59" x14ac:dyDescent="0.25">
      <c r="A63" s="130" t="s">
        <v>416</v>
      </c>
    </row>
    <row r="64" spans="1:59" x14ac:dyDescent="0.25">
      <c r="A64" s="7" t="s">
        <v>57</v>
      </c>
      <c r="B64" s="7"/>
      <c r="C64" s="7">
        <v>0</v>
      </c>
      <c r="D64" s="7" t="s">
        <v>116</v>
      </c>
    </row>
    <row r="66" spans="1:5" x14ac:dyDescent="0.25">
      <c r="A66" s="130" t="s">
        <v>415</v>
      </c>
      <c r="B66" s="6"/>
      <c r="C66" s="6"/>
    </row>
    <row r="67" spans="1:5" x14ac:dyDescent="0.25">
      <c r="A67" s="7" t="s">
        <v>409</v>
      </c>
      <c r="B67" s="7"/>
      <c r="C67" s="127">
        <f>0</f>
        <v>0</v>
      </c>
      <c r="D67" s="7" t="s">
        <v>137</v>
      </c>
      <c r="E67" s="7"/>
    </row>
    <row r="71" spans="1:5" x14ac:dyDescent="0.25">
      <c r="A71" s="2" t="s">
        <v>702</v>
      </c>
    </row>
    <row r="72" spans="1:5" x14ac:dyDescent="0.25">
      <c r="A72" t="s">
        <v>703</v>
      </c>
      <c r="B72">
        <v>3</v>
      </c>
      <c r="C72" t="s">
        <v>2</v>
      </c>
    </row>
    <row r="73" spans="1:5" x14ac:dyDescent="0.25">
      <c r="A73" t="s">
        <v>704</v>
      </c>
      <c r="B73">
        <v>1.5</v>
      </c>
      <c r="C73" t="s">
        <v>2</v>
      </c>
    </row>
    <row r="74" spans="1:5" x14ac:dyDescent="0.25">
      <c r="A74" t="s">
        <v>1</v>
      </c>
      <c r="B74">
        <v>1</v>
      </c>
      <c r="C74" t="s">
        <v>2</v>
      </c>
    </row>
    <row r="76" spans="1:5" x14ac:dyDescent="0.25">
      <c r="A76" t="s">
        <v>273</v>
      </c>
      <c r="B76">
        <f>B72*B73*B74</f>
        <v>4.5</v>
      </c>
      <c r="C76" t="s">
        <v>295</v>
      </c>
    </row>
    <row r="77" spans="1:5" x14ac:dyDescent="0.25">
      <c r="B77">
        <f>B76/27</f>
        <v>0.16666666666666666</v>
      </c>
      <c r="C77" t="s">
        <v>297</v>
      </c>
    </row>
    <row r="85" spans="1:4" x14ac:dyDescent="0.25">
      <c r="A85" s="2" t="s">
        <v>685</v>
      </c>
    </row>
    <row r="87" spans="1:4" x14ac:dyDescent="0.25">
      <c r="A87" s="2" t="s">
        <v>688</v>
      </c>
    </row>
    <row r="88" spans="1:4" x14ac:dyDescent="0.25">
      <c r="A88" t="s">
        <v>686</v>
      </c>
      <c r="C88">
        <f>2.583+((9+10.875)/12)+1.5+1+1.5+2.083+(10.25/12)</f>
        <v>11.176416666666666</v>
      </c>
      <c r="D88" t="s">
        <v>2</v>
      </c>
    </row>
    <row r="89" spans="1:4" x14ac:dyDescent="0.25">
      <c r="A89" t="s">
        <v>207</v>
      </c>
      <c r="C89">
        <f>0.82+63+89.75+89.75+63+0.82</f>
        <v>307.14</v>
      </c>
      <c r="D89" t="s">
        <v>2</v>
      </c>
    </row>
    <row r="90" spans="1:4" x14ac:dyDescent="0.25">
      <c r="A90" t="s">
        <v>687</v>
      </c>
      <c r="C90" s="3">
        <v>2</v>
      </c>
      <c r="D90" s="3" t="s">
        <v>456</v>
      </c>
    </row>
    <row r="91" spans="1:4" x14ac:dyDescent="0.25">
      <c r="A91" t="s">
        <v>217</v>
      </c>
      <c r="C91">
        <f>C88*C89*C90</f>
        <v>6865.4492299999993</v>
      </c>
      <c r="D91" t="s">
        <v>278</v>
      </c>
    </row>
    <row r="94" spans="1:4" x14ac:dyDescent="0.25">
      <c r="A94" s="2" t="s">
        <v>689</v>
      </c>
    </row>
    <row r="95" spans="1:4" x14ac:dyDescent="0.25">
      <c r="A95" t="s">
        <v>686</v>
      </c>
      <c r="C95">
        <f>((9+10.875)/12)+1.5+1+1.5+2.083+(10.25/12)</f>
        <v>8.5934166666666663</v>
      </c>
      <c r="D95" t="s">
        <v>2</v>
      </c>
    </row>
    <row r="96" spans="1:4" x14ac:dyDescent="0.25">
      <c r="A96" t="s">
        <v>207</v>
      </c>
      <c r="C96">
        <v>14.333</v>
      </c>
      <c r="D96" t="s">
        <v>2</v>
      </c>
    </row>
    <row r="97" spans="1:4" x14ac:dyDescent="0.25">
      <c r="A97" t="s">
        <v>687</v>
      </c>
      <c r="C97" s="3">
        <v>4</v>
      </c>
      <c r="D97" s="3" t="s">
        <v>456</v>
      </c>
    </row>
    <row r="98" spans="1:4" x14ac:dyDescent="0.25">
      <c r="A98" t="s">
        <v>217</v>
      </c>
      <c r="C98">
        <f>C95*C96*C97</f>
        <v>492.6777643333333</v>
      </c>
      <c r="D98" t="s">
        <v>278</v>
      </c>
    </row>
    <row r="101" spans="1:4" x14ac:dyDescent="0.25">
      <c r="A101" s="2" t="s">
        <v>690</v>
      </c>
    </row>
    <row r="102" spans="1:4" x14ac:dyDescent="0.25">
      <c r="A102" t="s">
        <v>691</v>
      </c>
      <c r="C102">
        <f>(0+6)/2</f>
        <v>3</v>
      </c>
      <c r="D102" t="s">
        <v>2</v>
      </c>
    </row>
    <row r="103" spans="1:4" x14ac:dyDescent="0.25">
      <c r="A103" t="s">
        <v>207</v>
      </c>
      <c r="C103">
        <v>14.333</v>
      </c>
      <c r="D103" t="s">
        <v>2</v>
      </c>
    </row>
    <row r="104" spans="1:4" x14ac:dyDescent="0.25">
      <c r="A104" t="s">
        <v>696</v>
      </c>
      <c r="C104" s="3">
        <v>4</v>
      </c>
      <c r="D104" s="3" t="s">
        <v>456</v>
      </c>
    </row>
    <row r="105" spans="1:4" x14ac:dyDescent="0.25">
      <c r="A105" t="s">
        <v>217</v>
      </c>
      <c r="C105">
        <f>C102*C103*C104</f>
        <v>171.99600000000001</v>
      </c>
      <c r="D105" t="s">
        <v>278</v>
      </c>
    </row>
    <row r="108" spans="1:4" x14ac:dyDescent="0.25">
      <c r="A108" s="2" t="s">
        <v>692</v>
      </c>
    </row>
    <row r="109" spans="1:4" x14ac:dyDescent="0.25">
      <c r="A109" t="s">
        <v>691</v>
      </c>
      <c r="C109">
        <v>1.5</v>
      </c>
      <c r="D109" t="s">
        <v>2</v>
      </c>
    </row>
    <row r="110" spans="1:4" x14ac:dyDescent="0.25">
      <c r="A110" t="s">
        <v>207</v>
      </c>
      <c r="C110">
        <v>32.5</v>
      </c>
      <c r="D110" t="s">
        <v>2</v>
      </c>
    </row>
    <row r="111" spans="1:4" x14ac:dyDescent="0.25">
      <c r="A111" t="s">
        <v>695</v>
      </c>
      <c r="C111" s="3">
        <v>2</v>
      </c>
      <c r="D111" s="3" t="s">
        <v>456</v>
      </c>
    </row>
    <row r="112" spans="1:4" x14ac:dyDescent="0.25">
      <c r="A112" t="s">
        <v>217</v>
      </c>
      <c r="C112">
        <f>C109*C110*C111</f>
        <v>97.5</v>
      </c>
      <c r="D112" t="s">
        <v>278</v>
      </c>
    </row>
    <row r="115" spans="1:4" x14ac:dyDescent="0.25">
      <c r="A115" s="2" t="s">
        <v>693</v>
      </c>
    </row>
    <row r="116" spans="1:4" x14ac:dyDescent="0.25">
      <c r="A116" t="s">
        <v>691</v>
      </c>
      <c r="C116">
        <f>2+4.67</f>
        <v>6.67</v>
      </c>
      <c r="D116" t="s">
        <v>2</v>
      </c>
    </row>
    <row r="117" spans="1:4" x14ac:dyDescent="0.25">
      <c r="A117" t="s">
        <v>207</v>
      </c>
      <c r="C117">
        <v>32.5</v>
      </c>
      <c r="D117" t="s">
        <v>2</v>
      </c>
    </row>
    <row r="118" spans="1:4" x14ac:dyDescent="0.25">
      <c r="A118" t="s">
        <v>697</v>
      </c>
      <c r="C118" s="3">
        <v>2</v>
      </c>
      <c r="D118" s="3" t="s">
        <v>456</v>
      </c>
    </row>
    <row r="119" spans="1:4" x14ac:dyDescent="0.25">
      <c r="A119" t="s">
        <v>217</v>
      </c>
      <c r="C119">
        <f>C116*C117*C118</f>
        <v>433.55</v>
      </c>
      <c r="D119" t="s">
        <v>278</v>
      </c>
    </row>
    <row r="122" spans="1:4" x14ac:dyDescent="0.25">
      <c r="A122" s="2" t="s">
        <v>694</v>
      </c>
    </row>
    <row r="123" spans="1:4" x14ac:dyDescent="0.25">
      <c r="A123" t="s">
        <v>686</v>
      </c>
      <c r="C123">
        <f>3.6+0.833+3.6</f>
        <v>8.0329999999999995</v>
      </c>
      <c r="D123" t="s">
        <v>2</v>
      </c>
    </row>
    <row r="124" spans="1:4" x14ac:dyDescent="0.25">
      <c r="A124" t="s">
        <v>207</v>
      </c>
      <c r="C124">
        <f>0.5*(2.25+1.83)</f>
        <v>2.04</v>
      </c>
      <c r="D124" t="s">
        <v>2</v>
      </c>
    </row>
    <row r="125" spans="1:4" x14ac:dyDescent="0.25">
      <c r="A125" t="s">
        <v>698</v>
      </c>
      <c r="C125" s="3">
        <v>4</v>
      </c>
      <c r="D125" s="3" t="s">
        <v>456</v>
      </c>
    </row>
    <row r="126" spans="1:4" x14ac:dyDescent="0.25">
      <c r="A126" t="s">
        <v>217</v>
      </c>
      <c r="C126">
        <f>C123*C124*C125</f>
        <v>65.549279999999996</v>
      </c>
      <c r="D126" t="s">
        <v>278</v>
      </c>
    </row>
    <row r="129" spans="1:6" x14ac:dyDescent="0.25">
      <c r="A129" t="s">
        <v>700</v>
      </c>
      <c r="C129">
        <f>C91</f>
        <v>6865.4492299999993</v>
      </c>
      <c r="D129" t="s">
        <v>701</v>
      </c>
      <c r="E129">
        <f>ROUND(C129/9,0)</f>
        <v>763</v>
      </c>
      <c r="F129" t="s">
        <v>525</v>
      </c>
    </row>
    <row r="130" spans="1:6" x14ac:dyDescent="0.25">
      <c r="A130" t="s">
        <v>699</v>
      </c>
      <c r="C130">
        <f>C98+C105+C112+C119+C126</f>
        <v>1261.2730443333332</v>
      </c>
      <c r="D130" t="s">
        <v>701</v>
      </c>
      <c r="E130">
        <f>ROUND(C130/9,0)</f>
        <v>140</v>
      </c>
      <c r="F130" t="s">
        <v>525</v>
      </c>
    </row>
    <row r="132" spans="1:6" x14ac:dyDescent="0.25">
      <c r="A132" s="7" t="s">
        <v>90</v>
      </c>
      <c r="B132" s="7"/>
      <c r="C132" s="7">
        <f>E129+E130</f>
        <v>903</v>
      </c>
      <c r="D132" s="7" t="s">
        <v>525</v>
      </c>
    </row>
    <row r="136" spans="1:6" x14ac:dyDescent="0.25">
      <c r="A136" s="2" t="s">
        <v>705</v>
      </c>
    </row>
    <row r="138" spans="1:6" x14ac:dyDescent="0.25">
      <c r="A138" t="s">
        <v>700</v>
      </c>
      <c r="C138">
        <f>C129</f>
        <v>6865.4492299999993</v>
      </c>
      <c r="D138" t="s">
        <v>701</v>
      </c>
      <c r="E138">
        <f>ROUND(C138/9,0)</f>
        <v>763</v>
      </c>
      <c r="F138" t="s">
        <v>525</v>
      </c>
    </row>
    <row r="139" spans="1:6" x14ac:dyDescent="0.25">
      <c r="A139" t="s">
        <v>699</v>
      </c>
      <c r="C139">
        <f>C130</f>
        <v>1261.2730443333332</v>
      </c>
      <c r="D139" t="s">
        <v>701</v>
      </c>
      <c r="E139" s="3">
        <f>ROUND(C139/9,0)</f>
        <v>140</v>
      </c>
      <c r="F139" s="3" t="s">
        <v>525</v>
      </c>
    </row>
    <row r="140" spans="1:6" x14ac:dyDescent="0.25">
      <c r="E140" s="7">
        <f>SUM(E138:E139)</f>
        <v>903</v>
      </c>
      <c r="F140" s="7" t="s">
        <v>525</v>
      </c>
    </row>
    <row r="144" spans="1:6" x14ac:dyDescent="0.25">
      <c r="A144" s="2" t="s">
        <v>714</v>
      </c>
      <c r="E144">
        <f>14</f>
        <v>14</v>
      </c>
      <c r="F144" t="s">
        <v>2</v>
      </c>
    </row>
  </sheetData>
  <mergeCells count="6">
    <mergeCell ref="AI47:AI48"/>
    <mergeCell ref="A11:J13"/>
    <mergeCell ref="Y18:AF18"/>
    <mergeCell ref="AH19:AN19"/>
    <mergeCell ref="AI39:AI41"/>
    <mergeCell ref="AI44:AI45"/>
  </mergeCells>
  <pageMargins left="0.7" right="0.7" top="0.75" bottom="0.75" header="0.3" footer="0.3"/>
  <pageSetup paperSize="256" orientation="portrait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2B35-A23E-463C-920B-1F9ABB3D6256}">
  <dimension ref="A1:J18"/>
  <sheetViews>
    <sheetView workbookViewId="0">
      <selection activeCell="L17" sqref="L17"/>
    </sheetView>
  </sheetViews>
  <sheetFormatPr defaultRowHeight="14.85" x14ac:dyDescent="0.25"/>
  <cols>
    <col min="2" max="2" width="12.28515625" customWidth="1"/>
    <col min="5" max="5" width="128" customWidth="1"/>
    <col min="6" max="7" width="12.7109375" customWidth="1"/>
    <col min="8" max="8" width="18.7109375" customWidth="1"/>
    <col min="9" max="10" width="12.7109375" customWidth="1"/>
  </cols>
  <sheetData>
    <row r="1" spans="1:10" ht="15.6" thickBot="1" x14ac:dyDescent="0.3">
      <c r="A1" s="219"/>
      <c r="B1" s="220"/>
      <c r="C1" s="220"/>
      <c r="D1" s="220"/>
      <c r="E1" s="170" t="s">
        <v>682</v>
      </c>
      <c r="F1" s="220" t="s">
        <v>717</v>
      </c>
      <c r="G1" s="220"/>
      <c r="H1" s="220"/>
      <c r="I1" s="220"/>
      <c r="J1" s="221"/>
    </row>
    <row r="2" spans="1:10" ht="15.6" thickBot="1" x14ac:dyDescent="0.3">
      <c r="A2" s="171" t="s">
        <v>640</v>
      </c>
      <c r="B2" s="172" t="s">
        <v>641</v>
      </c>
      <c r="C2" s="173" t="s">
        <v>378</v>
      </c>
      <c r="D2" s="174" t="s">
        <v>642</v>
      </c>
      <c r="E2" s="175" t="s">
        <v>643</v>
      </c>
      <c r="F2" s="176" t="s">
        <v>644</v>
      </c>
      <c r="G2" s="173" t="s">
        <v>645</v>
      </c>
      <c r="H2" s="173" t="s">
        <v>646</v>
      </c>
      <c r="I2" s="173" t="s">
        <v>647</v>
      </c>
      <c r="J2" s="208" t="s">
        <v>648</v>
      </c>
    </row>
    <row r="3" spans="1:10" x14ac:dyDescent="0.25">
      <c r="A3" s="177">
        <v>202</v>
      </c>
      <c r="B3" s="178">
        <v>11203</v>
      </c>
      <c r="C3" s="179" t="str">
        <f t="shared" ref="C3" si="0">IF(D3="LUMP","LS",IF(SUM(F3:I3)=0,"",(SUM(F3:I3))))</f>
        <v>LS</v>
      </c>
      <c r="D3" s="180" t="s">
        <v>441</v>
      </c>
      <c r="E3" s="181" t="s">
        <v>649</v>
      </c>
      <c r="F3" s="179" t="s">
        <v>441</v>
      </c>
      <c r="G3" s="179"/>
      <c r="H3" s="179" t="s">
        <v>441</v>
      </c>
      <c r="I3" s="179"/>
      <c r="J3" s="182">
        <v>8</v>
      </c>
    </row>
    <row r="4" spans="1:10" x14ac:dyDescent="0.25">
      <c r="A4" s="183"/>
      <c r="B4" s="184"/>
      <c r="C4" s="185"/>
      <c r="D4" s="186"/>
      <c r="E4" s="10"/>
      <c r="F4" s="185"/>
      <c r="G4" s="185"/>
      <c r="H4" s="185"/>
      <c r="I4" s="185"/>
      <c r="J4" s="189"/>
    </row>
    <row r="5" spans="1:10" x14ac:dyDescent="0.25">
      <c r="A5" s="183">
        <v>511</v>
      </c>
      <c r="B5" s="184">
        <v>45710</v>
      </c>
      <c r="C5" s="185">
        <f t="shared" ref="C5:C18" si="1">IF(D5="LUMP","LS",IF(SUM(F5:I5)=0,"",(SUM(F5:I5))))</f>
        <v>0.2</v>
      </c>
      <c r="D5" s="186" t="s">
        <v>297</v>
      </c>
      <c r="E5" s="10" t="s">
        <v>708</v>
      </c>
      <c r="F5" s="185">
        <v>0.2</v>
      </c>
      <c r="G5" s="185"/>
      <c r="H5" s="185"/>
      <c r="I5" s="185"/>
      <c r="J5" s="189"/>
    </row>
    <row r="6" spans="1:10" x14ac:dyDescent="0.25">
      <c r="A6" s="183"/>
      <c r="B6" s="184"/>
      <c r="C6" s="185"/>
      <c r="D6" s="186"/>
      <c r="E6" s="10"/>
      <c r="F6" s="185"/>
      <c r="G6" s="185"/>
      <c r="H6" s="185"/>
      <c r="I6" s="185"/>
      <c r="J6" s="189"/>
    </row>
    <row r="7" spans="1:10" x14ac:dyDescent="0.25">
      <c r="A7" s="183">
        <v>512</v>
      </c>
      <c r="B7" s="184">
        <v>10101</v>
      </c>
      <c r="C7" s="185">
        <f t="shared" si="1"/>
        <v>903</v>
      </c>
      <c r="D7" s="186" t="s">
        <v>525</v>
      </c>
      <c r="E7" s="187" t="s">
        <v>654</v>
      </c>
      <c r="F7" s="185">
        <v>140</v>
      </c>
      <c r="G7" s="185"/>
      <c r="H7" s="185">
        <v>763</v>
      </c>
      <c r="I7" s="185"/>
      <c r="J7" s="189">
        <v>8</v>
      </c>
    </row>
    <row r="8" spans="1:10" x14ac:dyDescent="0.25">
      <c r="A8" s="190" t="s">
        <v>656</v>
      </c>
      <c r="B8" s="184" t="s">
        <v>657</v>
      </c>
      <c r="C8" s="185">
        <f t="shared" si="1"/>
        <v>903</v>
      </c>
      <c r="D8" s="186" t="s">
        <v>525</v>
      </c>
      <c r="E8" s="187" t="s">
        <v>658</v>
      </c>
      <c r="F8" s="185">
        <v>140</v>
      </c>
      <c r="G8" s="185"/>
      <c r="H8" s="185">
        <v>763</v>
      </c>
      <c r="I8" s="185"/>
      <c r="J8" s="189"/>
    </row>
    <row r="9" spans="1:10" x14ac:dyDescent="0.25">
      <c r="A9" s="190"/>
      <c r="B9" s="184"/>
      <c r="C9" s="185" t="str">
        <f t="shared" si="1"/>
        <v/>
      </c>
      <c r="D9" s="186"/>
      <c r="E9" s="187"/>
      <c r="F9" s="185"/>
      <c r="G9" s="185"/>
      <c r="H9" s="191"/>
      <c r="I9" s="185"/>
      <c r="J9" s="189"/>
    </row>
    <row r="10" spans="1:10" x14ac:dyDescent="0.25">
      <c r="A10" s="192" t="s">
        <v>659</v>
      </c>
      <c r="B10" s="184">
        <v>50</v>
      </c>
      <c r="C10" s="185">
        <f t="shared" si="1"/>
        <v>15965</v>
      </c>
      <c r="D10" s="186" t="s">
        <v>278</v>
      </c>
      <c r="E10" s="187" t="s">
        <v>95</v>
      </c>
      <c r="F10" s="185"/>
      <c r="G10" s="191"/>
      <c r="H10" s="191">
        <v>15965</v>
      </c>
      <c r="I10" s="185"/>
      <c r="J10" s="189"/>
    </row>
    <row r="11" spans="1:10" x14ac:dyDescent="0.25">
      <c r="A11" s="192" t="s">
        <v>659</v>
      </c>
      <c r="B11" s="184">
        <v>56</v>
      </c>
      <c r="C11" s="185">
        <f t="shared" si="1"/>
        <v>15965</v>
      </c>
      <c r="D11" s="186" t="s">
        <v>278</v>
      </c>
      <c r="E11" s="187" t="s">
        <v>660</v>
      </c>
      <c r="F11" s="185"/>
      <c r="G11" s="191"/>
      <c r="H11" s="191">
        <v>15965</v>
      </c>
      <c r="I11" s="185"/>
      <c r="J11" s="189"/>
    </row>
    <row r="12" spans="1:10" x14ac:dyDescent="0.25">
      <c r="A12" s="192" t="s">
        <v>659</v>
      </c>
      <c r="B12" s="184">
        <v>60</v>
      </c>
      <c r="C12" s="185">
        <f t="shared" si="1"/>
        <v>15965</v>
      </c>
      <c r="D12" s="186" t="s">
        <v>278</v>
      </c>
      <c r="E12" s="187" t="s">
        <v>661</v>
      </c>
      <c r="F12" s="185"/>
      <c r="G12" s="191"/>
      <c r="H12" s="191">
        <v>15965</v>
      </c>
      <c r="I12" s="185"/>
      <c r="J12" s="189"/>
    </row>
    <row r="13" spans="1:10" x14ac:dyDescent="0.25">
      <c r="A13" s="192" t="s">
        <v>659</v>
      </c>
      <c r="B13" s="184">
        <v>66</v>
      </c>
      <c r="C13" s="185">
        <f t="shared" si="1"/>
        <v>15965</v>
      </c>
      <c r="D13" s="186" t="s">
        <v>278</v>
      </c>
      <c r="E13" s="187" t="s">
        <v>662</v>
      </c>
      <c r="F13" s="185"/>
      <c r="G13" s="191"/>
      <c r="H13" s="191">
        <v>15965</v>
      </c>
      <c r="I13" s="185"/>
      <c r="J13" s="189"/>
    </row>
    <row r="14" spans="1:10" x14ac:dyDescent="0.25">
      <c r="A14" s="192" t="s">
        <v>659</v>
      </c>
      <c r="B14" s="184">
        <v>504</v>
      </c>
      <c r="C14" s="185">
        <f t="shared" si="1"/>
        <v>21</v>
      </c>
      <c r="D14" s="186" t="s">
        <v>663</v>
      </c>
      <c r="E14" s="187" t="s">
        <v>110</v>
      </c>
      <c r="F14" s="185"/>
      <c r="G14" s="191"/>
      <c r="H14" s="191">
        <v>21</v>
      </c>
      <c r="I14" s="185"/>
      <c r="J14" s="189"/>
    </row>
    <row r="15" spans="1:10" x14ac:dyDescent="0.25">
      <c r="A15" s="192" t="s">
        <v>659</v>
      </c>
      <c r="B15" s="184">
        <v>10000</v>
      </c>
      <c r="C15" s="185">
        <f t="shared" si="1"/>
        <v>14</v>
      </c>
      <c r="D15" s="186" t="s">
        <v>116</v>
      </c>
      <c r="E15" s="187" t="s">
        <v>115</v>
      </c>
      <c r="F15" s="185"/>
      <c r="G15" s="185"/>
      <c r="H15" s="185">
        <v>14</v>
      </c>
      <c r="I15" s="185"/>
      <c r="J15" s="189"/>
    </row>
    <row r="16" spans="1:10" x14ac:dyDescent="0.25">
      <c r="A16" s="192"/>
      <c r="B16" s="184"/>
      <c r="C16" s="185"/>
      <c r="D16" s="186"/>
      <c r="E16" s="187"/>
      <c r="F16" s="185"/>
      <c r="G16" s="185"/>
      <c r="H16" s="191"/>
      <c r="I16" s="185"/>
      <c r="J16" s="189"/>
    </row>
    <row r="17" spans="1:10" x14ac:dyDescent="0.25">
      <c r="A17" s="192" t="s">
        <v>664</v>
      </c>
      <c r="B17" s="184">
        <v>75001</v>
      </c>
      <c r="C17" s="185">
        <f t="shared" si="1"/>
        <v>14</v>
      </c>
      <c r="D17" s="186" t="s">
        <v>2</v>
      </c>
      <c r="E17" s="187" t="s">
        <v>709</v>
      </c>
      <c r="F17" s="185">
        <v>14</v>
      </c>
      <c r="G17" s="185"/>
      <c r="H17" s="191"/>
      <c r="I17" s="185"/>
      <c r="J17" s="189">
        <v>37</v>
      </c>
    </row>
    <row r="18" spans="1:10" ht="15.6" thickBot="1" x14ac:dyDescent="0.3">
      <c r="A18" s="202"/>
      <c r="B18" s="203"/>
      <c r="C18" s="204" t="str">
        <f t="shared" si="1"/>
        <v/>
      </c>
      <c r="D18" s="205"/>
      <c r="E18" s="206"/>
      <c r="F18" s="204"/>
      <c r="G18" s="204"/>
      <c r="H18" s="204"/>
      <c r="I18" s="204"/>
      <c r="J18" s="207"/>
    </row>
  </sheetData>
  <mergeCells count="2">
    <mergeCell ref="A1:D1"/>
    <mergeCell ref="F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282A2-C393-4080-BD92-413E87F44A26}">
  <dimension ref="A10:BG135"/>
  <sheetViews>
    <sheetView topLeftCell="A118" workbookViewId="0">
      <selection activeCell="D135" sqref="D135"/>
    </sheetView>
  </sheetViews>
  <sheetFormatPr defaultRowHeight="14.85" x14ac:dyDescent="0.25"/>
  <cols>
    <col min="4" max="4" width="15.28515625" customWidth="1"/>
    <col min="8" max="8" width="15" customWidth="1"/>
    <col min="9" max="9" width="21.5703125" customWidth="1"/>
    <col min="12" max="12" width="12.7109375" customWidth="1"/>
    <col min="13" max="13" width="18.140625" customWidth="1"/>
    <col min="16" max="16" width="12.42578125" customWidth="1"/>
    <col min="17" max="17" width="13.28515625" customWidth="1"/>
    <col min="18" max="18" width="11" customWidth="1"/>
    <col min="19" max="19" width="14.85546875" customWidth="1"/>
    <col min="20" max="20" width="13.5703125" customWidth="1"/>
    <col min="21" max="21" width="12.5703125" customWidth="1"/>
    <col min="27" max="27" width="11.7109375" customWidth="1"/>
  </cols>
  <sheetData>
    <row r="10" spans="1:39" x14ac:dyDescent="0.25">
      <c r="L10">
        <f>I15</f>
        <v>185.25</v>
      </c>
    </row>
    <row r="11" spans="1:39" x14ac:dyDescent="0.25">
      <c r="A11" s="212" t="s">
        <v>309</v>
      </c>
      <c r="B11" s="212"/>
      <c r="C11" s="212"/>
      <c r="D11" s="212"/>
      <c r="E11" s="212"/>
      <c r="F11" s="212"/>
      <c r="G11" s="212"/>
      <c r="H11" s="212"/>
      <c r="I11" s="212"/>
      <c r="J11" s="212"/>
    </row>
    <row r="12" spans="1:39" x14ac:dyDescent="0.25">
      <c r="A12" s="212"/>
      <c r="B12" s="212"/>
      <c r="C12" s="212"/>
      <c r="D12" s="212"/>
      <c r="E12" s="212"/>
      <c r="F12" s="212"/>
      <c r="G12" s="212"/>
      <c r="H12" s="212"/>
      <c r="I12" s="212"/>
      <c r="J12" s="212"/>
    </row>
    <row r="13" spans="1:39" x14ac:dyDescent="0.25">
      <c r="A13" s="212"/>
      <c r="B13" s="212"/>
      <c r="C13" s="212"/>
      <c r="D13" s="212"/>
      <c r="E13" s="212"/>
      <c r="F13" s="212"/>
      <c r="G13" s="212"/>
      <c r="H13" s="212"/>
      <c r="I13" s="212"/>
      <c r="J13" s="212"/>
    </row>
    <row r="14" spans="1:39" ht="15.6" x14ac:dyDescent="0.25">
      <c r="H14" t="s">
        <v>613</v>
      </c>
      <c r="L14" t="s">
        <v>339</v>
      </c>
      <c r="P14" t="s">
        <v>340</v>
      </c>
      <c r="Q14">
        <f>2*(2.5+72+2.5)+(3*18)-(2*0.4375)</f>
        <v>207.125</v>
      </c>
      <c r="T14" t="s">
        <v>341</v>
      </c>
      <c r="AM14" s="8"/>
    </row>
    <row r="15" spans="1:39" ht="80.2" x14ac:dyDescent="0.25">
      <c r="H15" s="9" t="s">
        <v>609</v>
      </c>
      <c r="I15" s="10">
        <f>2*66+3*18-2*0.375</f>
        <v>185.25</v>
      </c>
      <c r="J15" s="10" t="s">
        <v>92</v>
      </c>
      <c r="K15" s="159" t="s">
        <v>608</v>
      </c>
      <c r="L15" s="159" t="s">
        <v>91</v>
      </c>
      <c r="M15" s="10">
        <v>0</v>
      </c>
      <c r="N15" s="10" t="s">
        <v>92</v>
      </c>
      <c r="O15" s="9" t="s">
        <v>93</v>
      </c>
      <c r="P15" s="9" t="s">
        <v>91</v>
      </c>
      <c r="Q15" s="10">
        <v>0</v>
      </c>
      <c r="R15" s="10" t="s">
        <v>92</v>
      </c>
      <c r="S15" s="9" t="s">
        <v>93</v>
      </c>
      <c r="T15" s="9" t="s">
        <v>91</v>
      </c>
      <c r="U15" s="10">
        <v>0</v>
      </c>
      <c r="V15" s="10" t="s">
        <v>92</v>
      </c>
      <c r="W15" s="9" t="s">
        <v>93</v>
      </c>
      <c r="X15" s="115"/>
    </row>
    <row r="16" spans="1:39" ht="133.65" x14ac:dyDescent="0.25">
      <c r="B16" s="116">
        <v>514</v>
      </c>
      <c r="C16" s="132" t="s">
        <v>94</v>
      </c>
      <c r="D16" s="115" t="s">
        <v>95</v>
      </c>
      <c r="E16" s="116" t="s">
        <v>40</v>
      </c>
      <c r="F16" s="12">
        <f>P33</f>
        <v>45648.605283682242</v>
      </c>
      <c r="H16" s="58"/>
      <c r="I16" s="10">
        <f>I15/12</f>
        <v>15.4375</v>
      </c>
      <c r="J16" s="10" t="s">
        <v>52</v>
      </c>
      <c r="K16" s="13"/>
      <c r="L16" s="58" t="s">
        <v>337</v>
      </c>
      <c r="M16" s="10">
        <f>M15/12</f>
        <v>0</v>
      </c>
      <c r="N16" s="10" t="s">
        <v>52</v>
      </c>
      <c r="O16" s="13"/>
      <c r="P16" s="58" t="s">
        <v>381</v>
      </c>
      <c r="Q16" s="10">
        <f>Q15/12</f>
        <v>0</v>
      </c>
      <c r="R16" s="10" t="s">
        <v>52</v>
      </c>
      <c r="S16" s="13"/>
      <c r="T16" s="58" t="s">
        <v>382</v>
      </c>
      <c r="U16" s="10">
        <f>U15/12</f>
        <v>0</v>
      </c>
      <c r="V16" s="10" t="s">
        <v>52</v>
      </c>
      <c r="W16" s="13"/>
      <c r="X16" s="116"/>
    </row>
    <row r="17" spans="2:58" ht="74.25" x14ac:dyDescent="0.25">
      <c r="B17" s="116">
        <v>514</v>
      </c>
      <c r="C17" s="132" t="s">
        <v>96</v>
      </c>
      <c r="D17" s="115" t="s">
        <v>97</v>
      </c>
      <c r="E17" s="116" t="s">
        <v>40</v>
      </c>
      <c r="F17" s="12">
        <f>P33</f>
        <v>45648.605283682242</v>
      </c>
      <c r="H17" s="10" t="s">
        <v>610</v>
      </c>
      <c r="I17" s="10">
        <f>1.18+77+127+127+77+1.18</f>
        <v>410.36</v>
      </c>
      <c r="J17" s="10" t="s">
        <v>52</v>
      </c>
      <c r="K17" s="10"/>
      <c r="L17" s="10" t="s">
        <v>100</v>
      </c>
      <c r="M17" s="10">
        <v>0</v>
      </c>
      <c r="N17" s="10" t="s">
        <v>52</v>
      </c>
      <c r="O17" s="10"/>
      <c r="P17" s="10" t="s">
        <v>100</v>
      </c>
      <c r="Q17" s="10">
        <v>0</v>
      </c>
      <c r="R17" s="10" t="s">
        <v>52</v>
      </c>
      <c r="S17" s="10"/>
      <c r="T17" s="10" t="s">
        <v>100</v>
      </c>
      <c r="U17" s="10">
        <v>0</v>
      </c>
      <c r="V17" s="10" t="s">
        <v>52</v>
      </c>
      <c r="W17" s="10"/>
    </row>
    <row r="18" spans="2:58" ht="89.1" x14ac:dyDescent="0.25">
      <c r="B18" s="116">
        <v>514</v>
      </c>
      <c r="C18" s="132" t="s">
        <v>98</v>
      </c>
      <c r="D18" s="115" t="s">
        <v>99</v>
      </c>
      <c r="E18" s="116" t="s">
        <v>40</v>
      </c>
      <c r="F18" s="12">
        <f>P33</f>
        <v>45648.605283682242</v>
      </c>
      <c r="H18" s="22" t="s">
        <v>106</v>
      </c>
      <c r="I18" s="22" t="s">
        <v>632</v>
      </c>
      <c r="J18" s="24"/>
      <c r="K18" s="22"/>
      <c r="L18" s="22" t="s">
        <v>106</v>
      </c>
      <c r="M18" s="23" t="s">
        <v>339</v>
      </c>
      <c r="N18" s="24"/>
      <c r="O18" s="22"/>
      <c r="P18" s="22" t="s">
        <v>106</v>
      </c>
      <c r="Q18" s="23" t="s">
        <v>340</v>
      </c>
      <c r="R18" s="24"/>
      <c r="S18" s="22"/>
      <c r="T18" s="22" t="s">
        <v>106</v>
      </c>
      <c r="U18" s="23" t="s">
        <v>341</v>
      </c>
      <c r="V18" s="24"/>
      <c r="W18" s="22"/>
      <c r="X18" s="117"/>
      <c r="Y18" s="223" t="s">
        <v>352</v>
      </c>
      <c r="Z18" s="224"/>
      <c r="AA18" s="224"/>
      <c r="AB18" s="224"/>
      <c r="AC18" s="224"/>
      <c r="AD18" s="224"/>
      <c r="AE18" s="224"/>
      <c r="AF18" s="225"/>
      <c r="AH18" s="18" t="s">
        <v>185</v>
      </c>
      <c r="AM18" t="s">
        <v>102</v>
      </c>
      <c r="AO18" s="25">
        <v>8.1999999999999993</v>
      </c>
      <c r="AP18" s="55" t="s">
        <v>103</v>
      </c>
      <c r="AQ18" s="21"/>
    </row>
    <row r="19" spans="2:58" ht="74.25" x14ac:dyDescent="0.25">
      <c r="B19" s="116">
        <v>514</v>
      </c>
      <c r="C19" s="132" t="s">
        <v>104</v>
      </c>
      <c r="D19" s="115" t="s">
        <v>105</v>
      </c>
      <c r="E19" s="116" t="s">
        <v>40</v>
      </c>
      <c r="F19" s="12">
        <f>P33</f>
        <v>45648.605283682242</v>
      </c>
      <c r="H19" s="10" t="s">
        <v>112</v>
      </c>
      <c r="I19" s="10">
        <f>I17*I16</f>
        <v>6334.9324999999999</v>
      </c>
      <c r="J19" s="10" t="s">
        <v>113</v>
      </c>
      <c r="K19" s="10"/>
      <c r="L19" s="10" t="s">
        <v>112</v>
      </c>
      <c r="M19" s="10">
        <f>M17*M16</f>
        <v>0</v>
      </c>
      <c r="N19" s="10" t="s">
        <v>113</v>
      </c>
      <c r="O19" s="10"/>
      <c r="P19" s="10" t="s">
        <v>112</v>
      </c>
      <c r="Q19" s="10">
        <f>Q17*Q16</f>
        <v>0</v>
      </c>
      <c r="R19" s="10" t="s">
        <v>113</v>
      </c>
      <c r="S19" s="10"/>
      <c r="T19" s="10" t="s">
        <v>112</v>
      </c>
      <c r="U19" s="10">
        <f>U17*U16</f>
        <v>0</v>
      </c>
      <c r="V19" s="10" t="s">
        <v>113</v>
      </c>
      <c r="W19" s="10"/>
      <c r="X19" s="19"/>
      <c r="Y19" s="62"/>
      <c r="Z19" s="63" t="s">
        <v>114</v>
      </c>
      <c r="AA19" s="140">
        <v>7.5</v>
      </c>
      <c r="AB19" s="140" t="s">
        <v>52</v>
      </c>
      <c r="AC19" s="140"/>
      <c r="AD19" s="63"/>
      <c r="AE19" s="63"/>
      <c r="AF19" s="66"/>
      <c r="AH19" s="226" t="s">
        <v>352</v>
      </c>
      <c r="AI19" s="227"/>
      <c r="AJ19" s="227"/>
      <c r="AK19" s="227"/>
      <c r="AL19" s="227"/>
      <c r="AM19" s="227"/>
      <c r="AN19" s="227"/>
      <c r="AQ19" s="21"/>
    </row>
    <row r="20" spans="2:58" ht="75" thickBot="1" x14ac:dyDescent="0.4">
      <c r="B20" s="116">
        <v>514</v>
      </c>
      <c r="C20" s="132" t="s">
        <v>109</v>
      </c>
      <c r="D20" s="133" t="s">
        <v>110</v>
      </c>
      <c r="E20" s="116" t="s">
        <v>111</v>
      </c>
      <c r="F20" s="134">
        <f>ROUNDUP(J21*J23/60,0)</f>
        <v>35</v>
      </c>
      <c r="H20" s="90" t="s">
        <v>117</v>
      </c>
      <c r="I20" s="91">
        <f>I19*1.1</f>
        <v>6968.4257500000003</v>
      </c>
      <c r="J20" s="90" t="s">
        <v>113</v>
      </c>
      <c r="K20" s="90"/>
      <c r="L20" s="10" t="s">
        <v>117</v>
      </c>
      <c r="M20" s="31">
        <f>M19*1.1</f>
        <v>0</v>
      </c>
      <c r="N20" s="10" t="s">
        <v>113</v>
      </c>
      <c r="O20" s="10"/>
      <c r="P20" s="10" t="s">
        <v>117</v>
      </c>
      <c r="Q20" s="31">
        <f>Q19*1.1</f>
        <v>0</v>
      </c>
      <c r="R20" s="10" t="s">
        <v>113</v>
      </c>
      <c r="S20" s="10"/>
      <c r="T20" s="10" t="s">
        <v>117</v>
      </c>
      <c r="U20" s="31">
        <f>U19*1.1</f>
        <v>0</v>
      </c>
      <c r="V20" s="10" t="s">
        <v>113</v>
      </c>
      <c r="W20" s="10"/>
      <c r="X20" s="19"/>
      <c r="Y20" s="62" t="s">
        <v>636</v>
      </c>
      <c r="Z20" s="161" t="s">
        <v>386</v>
      </c>
      <c r="AA20" s="63">
        <f>6.96*12</f>
        <v>83.52</v>
      </c>
      <c r="AB20" s="63" t="s">
        <v>92</v>
      </c>
      <c r="AC20" s="63"/>
      <c r="AD20" s="68"/>
      <c r="AE20" s="63"/>
      <c r="AF20" s="66"/>
      <c r="AH20" s="32"/>
      <c r="AI20" s="28"/>
      <c r="AJ20" s="28" t="s">
        <v>101</v>
      </c>
      <c r="AK20" s="28" t="s">
        <v>119</v>
      </c>
      <c r="AL20" s="28" t="s">
        <v>120</v>
      </c>
      <c r="AM20" s="28"/>
      <c r="AN20" s="28"/>
      <c r="AO20" s="25" t="s">
        <v>118</v>
      </c>
      <c r="AP20">
        <v>2</v>
      </c>
      <c r="AQ20" s="21" t="s">
        <v>92</v>
      </c>
    </row>
    <row r="21" spans="2:58" ht="44.55" x14ac:dyDescent="0.25">
      <c r="B21" s="116">
        <v>514</v>
      </c>
      <c r="C21" s="36">
        <v>10000</v>
      </c>
      <c r="D21" s="133" t="s">
        <v>115</v>
      </c>
      <c r="E21" s="116" t="s">
        <v>116</v>
      </c>
      <c r="F21" s="30">
        <f>ROUNDUP(MAX(F16/1200,(J21*J23/150)),0)</f>
        <v>39</v>
      </c>
      <c r="H21" s="92" t="s">
        <v>121</v>
      </c>
      <c r="I21" s="93"/>
      <c r="J21" s="94">
        <f>I17</f>
        <v>410.36</v>
      </c>
      <c r="K21" s="95" t="s">
        <v>52</v>
      </c>
      <c r="Y21" s="62"/>
      <c r="Z21" s="162" t="s">
        <v>422</v>
      </c>
      <c r="AA21" s="63">
        <f>66-4-2</f>
        <v>60</v>
      </c>
      <c r="AB21" s="63" t="s">
        <v>92</v>
      </c>
      <c r="AC21" s="63"/>
      <c r="AD21" s="68"/>
      <c r="AE21" s="63"/>
      <c r="AF21" s="66"/>
      <c r="AH21" s="32"/>
      <c r="AI21" s="28" t="s">
        <v>114</v>
      </c>
      <c r="AJ21" s="28">
        <v>11.625</v>
      </c>
      <c r="AK21" s="28">
        <f>AJ21/3</f>
        <v>3.875</v>
      </c>
      <c r="AL21" s="28">
        <f>AJ21/6</f>
        <v>1.9375</v>
      </c>
      <c r="AM21" s="28"/>
      <c r="AN21" s="28"/>
      <c r="AO21" t="s">
        <v>92</v>
      </c>
      <c r="AQ21" s="21"/>
    </row>
    <row r="22" spans="2:58" x14ac:dyDescent="0.25">
      <c r="H22" s="102" t="s">
        <v>342</v>
      </c>
      <c r="I22" s="103"/>
      <c r="J22" s="128">
        <f>(I20+M20+Q20+U20)</f>
        <v>6968.4257500000003</v>
      </c>
      <c r="K22" s="104" t="s">
        <v>113</v>
      </c>
      <c r="M22" t="s">
        <v>375</v>
      </c>
      <c r="N22" s="52">
        <f>BB29</f>
        <v>0</v>
      </c>
      <c r="O22" t="s">
        <v>126</v>
      </c>
      <c r="Y22" s="62"/>
      <c r="Z22" s="63"/>
      <c r="AA22" s="63"/>
      <c r="AB22" s="63"/>
      <c r="AC22" s="63"/>
      <c r="AD22" s="63"/>
      <c r="AE22" s="63"/>
      <c r="AF22" s="66"/>
      <c r="AH22" s="32"/>
      <c r="AI22" s="28" t="s">
        <v>321</v>
      </c>
      <c r="AJ22" s="28">
        <v>66</v>
      </c>
      <c r="AK22" s="36" t="s">
        <v>92</v>
      </c>
      <c r="AL22" s="28"/>
      <c r="AM22" s="28"/>
      <c r="AN22" s="28"/>
      <c r="AO22" t="s">
        <v>92</v>
      </c>
      <c r="AQ22" s="21"/>
      <c r="AY22" s="14"/>
      <c r="AZ22" s="16"/>
      <c r="BA22" s="16"/>
      <c r="BB22" s="16"/>
      <c r="BC22" s="16"/>
      <c r="BD22" s="16"/>
      <c r="BE22" s="16"/>
      <c r="BF22" s="17"/>
    </row>
    <row r="23" spans="2:58" x14ac:dyDescent="0.25">
      <c r="H23" s="96" t="s">
        <v>123</v>
      </c>
      <c r="I23" s="35"/>
      <c r="J23" s="10">
        <v>5</v>
      </c>
      <c r="K23" s="97"/>
      <c r="M23" t="s">
        <v>374</v>
      </c>
      <c r="N23" s="52">
        <f>BF49</f>
        <v>1400.7314444805691</v>
      </c>
      <c r="O23" t="s">
        <v>126</v>
      </c>
      <c r="R23" s="14" t="s">
        <v>363</v>
      </c>
      <c r="S23" s="16" t="s">
        <v>423</v>
      </c>
      <c r="T23" s="16" t="s">
        <v>365</v>
      </c>
      <c r="U23" s="17" t="s">
        <v>424</v>
      </c>
      <c r="Y23" s="62"/>
      <c r="Z23" s="63"/>
      <c r="AA23" s="63"/>
      <c r="AB23" s="63"/>
      <c r="AC23" s="63"/>
      <c r="AD23" s="63"/>
      <c r="AE23" s="63"/>
      <c r="AF23" s="66"/>
      <c r="AH23" s="32"/>
      <c r="AI23" s="28"/>
      <c r="AJ23" s="28">
        <f>AJ22/12</f>
        <v>5.5</v>
      </c>
      <c r="AK23" s="36" t="s">
        <v>52</v>
      </c>
      <c r="AL23" s="37">
        <f>AI27^2+AI30^2</f>
        <v>40.0158250004</v>
      </c>
      <c r="AM23" s="28"/>
      <c r="AN23" s="37">
        <f>AI27^2+AJ30^2</f>
        <v>28.7541062504</v>
      </c>
      <c r="AO23" t="s">
        <v>92</v>
      </c>
      <c r="AQ23" s="21"/>
      <c r="AY23" s="19"/>
      <c r="BA23" t="s">
        <v>368</v>
      </c>
      <c r="BF23" s="21"/>
    </row>
    <row r="24" spans="2:58" ht="30.45" thickBot="1" x14ac:dyDescent="0.3">
      <c r="H24" s="98" t="s">
        <v>360</v>
      </c>
      <c r="I24" s="99"/>
      <c r="J24" s="100">
        <f>J22*J23</f>
        <v>34842.128750000003</v>
      </c>
      <c r="K24" s="101" t="s">
        <v>113</v>
      </c>
      <c r="R24" s="19" t="s">
        <v>366</v>
      </c>
      <c r="S24">
        <f>((4*12*12)+(12*18))/144</f>
        <v>5.5</v>
      </c>
      <c r="T24">
        <f>((4*12*18)+(18*18))/144</f>
        <v>8.25</v>
      </c>
      <c r="U24" s="21">
        <v>7.84</v>
      </c>
      <c r="Y24" s="62"/>
      <c r="Z24" s="63"/>
      <c r="AA24" s="63"/>
      <c r="AB24" s="63"/>
      <c r="AC24" s="63"/>
      <c r="AD24" s="63"/>
      <c r="AE24" s="63"/>
      <c r="AF24" s="66"/>
      <c r="AH24" s="32"/>
      <c r="AI24" s="28"/>
      <c r="AJ24" s="28"/>
      <c r="AK24" s="36"/>
      <c r="AL24" s="28"/>
      <c r="AM24" s="28"/>
      <c r="AN24" s="28"/>
      <c r="AQ24" s="21"/>
      <c r="AY24" s="19"/>
      <c r="AZ24" t="s">
        <v>370</v>
      </c>
      <c r="BA24" t="s">
        <v>364</v>
      </c>
      <c r="BB24">
        <f>(AZ31*AY33)+(BF33*BC30)+(2*(AY33-BF33)*BC30/2)</f>
        <v>798</v>
      </c>
      <c r="BC24" t="s">
        <v>369</v>
      </c>
      <c r="BF24" s="21"/>
    </row>
    <row r="25" spans="2:58" x14ac:dyDescent="0.25">
      <c r="H25" s="4"/>
      <c r="R25" s="19" t="s">
        <v>358</v>
      </c>
      <c r="S25">
        <v>20</v>
      </c>
      <c r="T25">
        <v>5</v>
      </c>
      <c r="U25" s="21">
        <v>0</v>
      </c>
      <c r="Y25" s="62"/>
      <c r="Z25" s="63">
        <f>(Z26)/12</f>
        <v>5</v>
      </c>
      <c r="AA25" s="63" t="s">
        <v>2</v>
      </c>
      <c r="AB25" s="63"/>
      <c r="AC25" s="63"/>
      <c r="AD25" s="63"/>
      <c r="AE25" s="63"/>
      <c r="AF25" s="66"/>
      <c r="AH25" s="32"/>
      <c r="AI25" s="28"/>
      <c r="AJ25" s="28"/>
      <c r="AK25" s="28"/>
      <c r="AL25" s="28"/>
      <c r="AM25" s="28"/>
      <c r="AN25" s="28"/>
      <c r="AP25">
        <v>1.333</v>
      </c>
      <c r="AQ25" s="21" t="s">
        <v>125</v>
      </c>
      <c r="AY25" s="19"/>
      <c r="AZ25" t="s">
        <v>371</v>
      </c>
      <c r="BA25" t="s">
        <v>364</v>
      </c>
      <c r="BB25">
        <f>0</f>
        <v>0</v>
      </c>
      <c r="BC25" t="s">
        <v>369</v>
      </c>
      <c r="BF25" s="21"/>
    </row>
    <row r="26" spans="2:58" x14ac:dyDescent="0.25">
      <c r="H26" s="14" t="s">
        <v>325</v>
      </c>
      <c r="I26" s="16"/>
      <c r="J26" s="16">
        <f>2*(6*62)/144</f>
        <v>5.166666666666667</v>
      </c>
      <c r="K26" s="17" t="s">
        <v>126</v>
      </c>
      <c r="R26" s="19" t="s">
        <v>361</v>
      </c>
      <c r="S26">
        <f>S24*S25</f>
        <v>110</v>
      </c>
      <c r="T26">
        <f>T24*T25</f>
        <v>41.25</v>
      </c>
      <c r="U26" s="21">
        <f>U24*U25</f>
        <v>0</v>
      </c>
      <c r="Y26" s="62"/>
      <c r="Z26" s="63">
        <f>AA21</f>
        <v>60</v>
      </c>
      <c r="AA26" s="63"/>
      <c r="AB26" s="63"/>
      <c r="AC26" s="63"/>
      <c r="AD26" s="63">
        <f>(SQRT((AB29/2)^2+(Z25)^2))</f>
        <v>6.25</v>
      </c>
      <c r="AE26" s="63" t="s">
        <v>2</v>
      </c>
      <c r="AF26" s="66"/>
      <c r="AH26" s="32"/>
      <c r="AI26" s="28"/>
      <c r="AJ26" s="37">
        <f>SQRT(AN23)</f>
        <v>5.3622855435345853</v>
      </c>
      <c r="AK26" s="37"/>
      <c r="AL26" s="28"/>
      <c r="AM26" s="37">
        <f>AH27</f>
        <v>6.3258062727529047</v>
      </c>
      <c r="AN26" s="28"/>
      <c r="AP26" s="1">
        <f>0.33*AP25*2</f>
        <v>0.87978000000000001</v>
      </c>
      <c r="AQ26" s="21" t="s">
        <v>126</v>
      </c>
      <c r="AY26" s="19"/>
      <c r="AZ26" t="s">
        <v>372</v>
      </c>
      <c r="BA26" t="s">
        <v>364</v>
      </c>
      <c r="BB26">
        <f>(BB24+BB25)/144*2</f>
        <v>11.083333333333334</v>
      </c>
      <c r="BC26" t="s">
        <v>113</v>
      </c>
      <c r="BF26" s="21"/>
    </row>
    <row r="27" spans="2:58" x14ac:dyDescent="0.25">
      <c r="H27" s="19" t="s">
        <v>187</v>
      </c>
      <c r="J27">
        <f>5*204</f>
        <v>1020</v>
      </c>
      <c r="K27" s="21" t="s">
        <v>329</v>
      </c>
      <c r="R27" s="19"/>
      <c r="U27" s="21"/>
      <c r="Y27" s="62"/>
      <c r="Z27" s="63"/>
      <c r="AA27" s="63"/>
      <c r="AB27" s="63"/>
      <c r="AC27" s="63"/>
      <c r="AD27" s="63"/>
      <c r="AE27" s="63"/>
      <c r="AF27" s="66"/>
      <c r="AH27" s="39">
        <f>SQRT(AL23)</f>
        <v>6.3258062727529047</v>
      </c>
      <c r="AI27" s="40">
        <f>AJ23-(2*(0.16666+0.08333))</f>
        <v>5.0000200000000001</v>
      </c>
      <c r="AJ27" s="28"/>
      <c r="AK27" s="28"/>
      <c r="AL27" s="28"/>
      <c r="AM27" s="28"/>
      <c r="AN27" s="28"/>
      <c r="AP27">
        <v>7</v>
      </c>
      <c r="AQ27" s="21" t="s">
        <v>125</v>
      </c>
      <c r="AY27" s="19"/>
      <c r="AZ27" t="s">
        <v>358</v>
      </c>
      <c r="BB27">
        <v>0</v>
      </c>
      <c r="BF27" s="21"/>
    </row>
    <row r="28" spans="2:58" x14ac:dyDescent="0.25">
      <c r="H28" s="19" t="s">
        <v>188</v>
      </c>
      <c r="J28" s="7">
        <f>J26*J27</f>
        <v>5270</v>
      </c>
      <c r="K28" s="21" t="s">
        <v>126</v>
      </c>
      <c r="R28" s="19"/>
      <c r="S28" t="s">
        <v>351</v>
      </c>
      <c r="T28">
        <f>S26+T26+U26</f>
        <v>151.25</v>
      </c>
      <c r="U28" s="21"/>
      <c r="Y28" s="62"/>
      <c r="Z28" s="63"/>
      <c r="AA28" s="63"/>
      <c r="AB28" s="63"/>
      <c r="AC28" s="63"/>
      <c r="AD28" s="63"/>
      <c r="AE28" s="63"/>
      <c r="AF28" s="66"/>
      <c r="AH28" s="32"/>
      <c r="AI28" s="28"/>
      <c r="AJ28" s="28"/>
      <c r="AK28" s="28"/>
      <c r="AL28" s="28"/>
      <c r="AM28" s="28"/>
      <c r="AN28" s="28"/>
      <c r="AP28" s="1">
        <f>0.33*AP27*2</f>
        <v>4.62</v>
      </c>
      <c r="AQ28" s="21" t="s">
        <v>126</v>
      </c>
      <c r="AY28" s="19"/>
      <c r="AZ28" t="s">
        <v>373</v>
      </c>
      <c r="BB28">
        <f>BB26*BB27</f>
        <v>0</v>
      </c>
      <c r="BF28" s="21"/>
    </row>
    <row r="29" spans="2:58" x14ac:dyDescent="0.25">
      <c r="H29" s="49" t="s">
        <v>189</v>
      </c>
      <c r="I29" s="3"/>
      <c r="J29" s="3"/>
      <c r="K29" s="44"/>
      <c r="R29" s="49"/>
      <c r="S29" s="112" t="s">
        <v>367</v>
      </c>
      <c r="T29" s="59">
        <f>T28*1.1</f>
        <v>166.375</v>
      </c>
      <c r="U29" s="44"/>
      <c r="Y29" s="62"/>
      <c r="Z29" s="63"/>
      <c r="AA29" s="63"/>
      <c r="AB29" s="140">
        <f>AA19</f>
        <v>7.5</v>
      </c>
      <c r="AC29" s="63"/>
      <c r="AD29" s="63"/>
      <c r="AE29" s="63"/>
      <c r="AF29" s="66"/>
      <c r="AH29" s="32"/>
      <c r="AI29" s="28"/>
      <c r="AJ29" s="28"/>
      <c r="AK29" s="28"/>
      <c r="AL29" s="28"/>
      <c r="AM29" s="28"/>
      <c r="AN29" s="28"/>
      <c r="AQ29" s="21"/>
      <c r="AY29" s="19"/>
      <c r="AZ29" t="s">
        <v>367</v>
      </c>
      <c r="BB29" s="7">
        <f>BB28*1.1</f>
        <v>0</v>
      </c>
      <c r="BF29" s="21"/>
    </row>
    <row r="30" spans="2:58" x14ac:dyDescent="0.25">
      <c r="Y30" s="62"/>
      <c r="Z30" s="63"/>
      <c r="AA30" s="63"/>
      <c r="AB30" s="63"/>
      <c r="AC30" s="63"/>
      <c r="AD30" s="63"/>
      <c r="AE30" s="63"/>
      <c r="AF30" s="66"/>
      <c r="AH30" s="32"/>
      <c r="AI30" s="37">
        <v>3.875</v>
      </c>
      <c r="AJ30" s="37">
        <v>1.9375</v>
      </c>
      <c r="AK30" s="28"/>
      <c r="AL30" s="28"/>
      <c r="AM30" s="28"/>
      <c r="AN30" s="28"/>
      <c r="AQ30" s="21"/>
      <c r="AY30" s="19"/>
      <c r="BC30">
        <v>39</v>
      </c>
      <c r="BF30" s="21"/>
    </row>
    <row r="31" spans="2:58" ht="15.6" thickBot="1" x14ac:dyDescent="0.3">
      <c r="H31" s="14" t="s">
        <v>383</v>
      </c>
      <c r="I31" s="16"/>
      <c r="J31" s="16">
        <f>2*(7*62)/144</f>
        <v>6.0277777777777777</v>
      </c>
      <c r="K31" s="17" t="s">
        <v>126</v>
      </c>
      <c r="Y31" s="62" t="s">
        <v>420</v>
      </c>
      <c r="Z31" s="63"/>
      <c r="AA31" s="63"/>
      <c r="AB31" s="140">
        <f>(2*AD26)+AB29</f>
        <v>20</v>
      </c>
      <c r="AC31" s="63" t="s">
        <v>125</v>
      </c>
      <c r="AD31" s="63"/>
      <c r="AE31" s="63"/>
      <c r="AF31" s="66"/>
      <c r="AH31" s="42"/>
      <c r="AI31" s="43"/>
      <c r="AJ31" s="43"/>
      <c r="AK31" s="43"/>
      <c r="AL31" s="43"/>
      <c r="AM31" s="43"/>
      <c r="AN31" s="43"/>
      <c r="AO31" s="3"/>
      <c r="AP31" s="3"/>
      <c r="AQ31" s="44"/>
      <c r="AY31" s="19"/>
      <c r="AZ31">
        <v>18</v>
      </c>
      <c r="BF31" s="21"/>
    </row>
    <row r="32" spans="2:58" x14ac:dyDescent="0.25">
      <c r="H32" s="19" t="s">
        <v>187</v>
      </c>
      <c r="J32">
        <v>50</v>
      </c>
      <c r="K32" s="21" t="s">
        <v>329</v>
      </c>
      <c r="O32" s="108" t="s">
        <v>362</v>
      </c>
      <c r="P32" s="109"/>
      <c r="Y32" s="62"/>
      <c r="Z32" s="63"/>
      <c r="AA32" s="63"/>
      <c r="AB32" s="63"/>
      <c r="AC32" s="63"/>
      <c r="AD32" s="63"/>
      <c r="AE32" s="63"/>
      <c r="AF32" s="66"/>
      <c r="AH32" s="45"/>
      <c r="AI32" s="46"/>
      <c r="AJ32" s="46" t="s">
        <v>130</v>
      </c>
      <c r="AK32" s="47" t="s">
        <v>620</v>
      </c>
      <c r="AL32" s="46"/>
      <c r="AM32" s="46"/>
      <c r="AN32" s="46"/>
      <c r="AO32" s="16"/>
      <c r="AP32" s="16"/>
      <c r="AQ32" s="17"/>
      <c r="AY32" s="19"/>
      <c r="BF32" s="21"/>
    </row>
    <row r="33" spans="8:59" ht="15.6" thickBot="1" x14ac:dyDescent="0.3">
      <c r="H33" s="19" t="s">
        <v>188</v>
      </c>
      <c r="J33" s="7">
        <f>J31*J32</f>
        <v>301.38888888888886</v>
      </c>
      <c r="K33" s="21" t="s">
        <v>126</v>
      </c>
      <c r="O33" s="110" t="s">
        <v>351</v>
      </c>
      <c r="P33" s="111">
        <f>J24+J28+J33+I42+I52+I61+T29+N22+N23</f>
        <v>45648.605283682242</v>
      </c>
      <c r="Y33" s="141" t="s">
        <v>421</v>
      </c>
      <c r="Z33" s="63"/>
      <c r="AA33" s="63"/>
      <c r="AB33" s="71">
        <f>0.25*4*AB31</f>
        <v>20</v>
      </c>
      <c r="AC33" s="63" t="s">
        <v>126</v>
      </c>
      <c r="AD33" s="63"/>
      <c r="AE33" s="63"/>
      <c r="AF33" s="66"/>
      <c r="AH33" s="42"/>
      <c r="AI33" s="43"/>
      <c r="AJ33" s="43"/>
      <c r="AK33" s="43">
        <f>AJ21+(2*AH27)+(2*AJ26)</f>
        <v>35.001183632574978</v>
      </c>
      <c r="AL33" s="43" t="s">
        <v>52</v>
      </c>
      <c r="AM33" s="43"/>
      <c r="AN33" s="43"/>
      <c r="AO33" s="3"/>
      <c r="AP33" s="3"/>
      <c r="AQ33" s="44"/>
      <c r="AY33" s="19">
        <v>14</v>
      </c>
      <c r="BF33" s="21">
        <v>6</v>
      </c>
    </row>
    <row r="34" spans="8:59" x14ac:dyDescent="0.25">
      <c r="H34" s="49" t="s">
        <v>189</v>
      </c>
      <c r="I34" s="3"/>
      <c r="J34" s="3"/>
      <c r="K34" s="44"/>
      <c r="Y34" s="62" t="s">
        <v>132</v>
      </c>
      <c r="Z34" s="63"/>
      <c r="AA34" s="63" t="s">
        <v>133</v>
      </c>
      <c r="AB34" s="140">
        <f>AB33*1.1</f>
        <v>22</v>
      </c>
      <c r="AC34" s="63" t="s">
        <v>126</v>
      </c>
      <c r="AD34" s="63"/>
      <c r="AE34" s="63"/>
      <c r="AF34" s="66"/>
      <c r="AH34" s="45"/>
      <c r="AI34" s="46"/>
      <c r="AJ34" s="46"/>
      <c r="AK34" s="46"/>
      <c r="AL34" s="46"/>
      <c r="AM34" s="46"/>
      <c r="AN34" s="46"/>
      <c r="AO34" s="16"/>
      <c r="AP34" s="16"/>
      <c r="AQ34" s="17"/>
      <c r="AY34" s="19"/>
      <c r="BF34" s="21"/>
    </row>
    <row r="35" spans="8:59" x14ac:dyDescent="0.25">
      <c r="Y35" s="62"/>
      <c r="Z35" s="63"/>
      <c r="AA35" s="63"/>
      <c r="AB35" s="140"/>
      <c r="AC35" s="63"/>
      <c r="AD35" s="63"/>
      <c r="AE35" s="63"/>
      <c r="AF35" s="66"/>
      <c r="AH35" s="32"/>
      <c r="AI35" s="28"/>
      <c r="AJ35" s="28"/>
      <c r="AK35" s="28"/>
      <c r="AL35" s="28"/>
      <c r="AM35" s="28"/>
      <c r="AN35" s="28"/>
      <c r="AQ35" s="21"/>
      <c r="AY35" s="19"/>
      <c r="BF35" s="21"/>
    </row>
    <row r="36" spans="8:59" x14ac:dyDescent="0.25">
      <c r="H36" t="s">
        <v>435</v>
      </c>
      <c r="Y36" s="82"/>
      <c r="Z36" s="76"/>
      <c r="AA36" s="76"/>
      <c r="AB36" s="76"/>
      <c r="AC36" s="76"/>
      <c r="AD36" s="76"/>
      <c r="AE36" s="76"/>
      <c r="AF36" s="77"/>
      <c r="AH36" s="32"/>
      <c r="AI36" s="28" t="s">
        <v>134</v>
      </c>
      <c r="AJ36" s="28"/>
      <c r="AK36" s="28">
        <f>AK33*(0.3333*4)</f>
        <v>46.663578018948961</v>
      </c>
      <c r="AL36" s="28" t="s">
        <v>126</v>
      </c>
      <c r="AM36" s="28"/>
      <c r="AN36" s="28" t="s">
        <v>621</v>
      </c>
      <c r="AO36">
        <f>AK36*1.1</f>
        <v>51.329935820843858</v>
      </c>
      <c r="AQ36" s="21"/>
      <c r="AY36" s="19"/>
      <c r="BF36" s="21"/>
    </row>
    <row r="37" spans="8:59" x14ac:dyDescent="0.25">
      <c r="H37" s="10" t="s">
        <v>91</v>
      </c>
      <c r="I37" s="10">
        <v>1.33</v>
      </c>
      <c r="J37" s="10" t="s">
        <v>52</v>
      </c>
      <c r="K37" s="10"/>
      <c r="AH37" s="42"/>
      <c r="AI37" s="43" t="s">
        <v>135</v>
      </c>
      <c r="AJ37" s="43"/>
      <c r="AK37" s="43"/>
      <c r="AL37" s="43"/>
      <c r="AM37" s="43"/>
      <c r="AN37" s="43" t="s">
        <v>622</v>
      </c>
      <c r="AO37" s="3"/>
      <c r="AP37" s="3">
        <f>AO36*8</f>
        <v>410.63948656675086</v>
      </c>
      <c r="AQ37" s="44"/>
      <c r="AY37" s="19"/>
      <c r="BF37" s="21"/>
    </row>
    <row r="38" spans="8:59" x14ac:dyDescent="0.25">
      <c r="H38" s="10" t="s">
        <v>100</v>
      </c>
      <c r="I38" s="41">
        <v>35</v>
      </c>
      <c r="J38" s="10" t="s">
        <v>52</v>
      </c>
      <c r="K38" s="10"/>
      <c r="AH38" s="14"/>
      <c r="AI38" s="16"/>
      <c r="AJ38" s="16"/>
      <c r="AK38" s="16"/>
      <c r="AL38" s="16"/>
      <c r="AM38" s="16"/>
      <c r="AN38" s="16"/>
      <c r="AO38" s="16"/>
      <c r="AP38" s="16"/>
      <c r="AQ38" s="17"/>
      <c r="AY38" s="19">
        <v>1.375</v>
      </c>
      <c r="BF38" s="21"/>
    </row>
    <row r="39" spans="8:59" x14ac:dyDescent="0.25">
      <c r="H39" s="10" t="s">
        <v>106</v>
      </c>
      <c r="I39" t="str">
        <f>'BUT-4-1580L'!$I$280</f>
        <v>End Crossframes</v>
      </c>
      <c r="K39" s="10"/>
      <c r="Y39" s="14"/>
      <c r="Z39" s="15" t="s">
        <v>384</v>
      </c>
      <c r="AA39" s="16"/>
      <c r="AB39" s="16"/>
      <c r="AC39" s="16"/>
      <c r="AD39" s="16"/>
      <c r="AE39" s="16"/>
      <c r="AF39" s="17"/>
      <c r="AH39" s="19"/>
      <c r="AI39" s="222" t="s">
        <v>136</v>
      </c>
      <c r="AQ39" s="21"/>
      <c r="AY39" s="19"/>
      <c r="BF39" s="21"/>
    </row>
    <row r="40" spans="8:59" x14ac:dyDescent="0.25">
      <c r="H40" s="10" t="s">
        <v>128</v>
      </c>
      <c r="I40" s="33">
        <v>8</v>
      </c>
      <c r="J40" s="35"/>
      <c r="K40" s="10"/>
      <c r="Y40" s="19"/>
      <c r="AA40" t="s">
        <v>101</v>
      </c>
      <c r="AF40" s="21"/>
      <c r="AH40" s="19"/>
      <c r="AI40" s="222"/>
      <c r="AK40">
        <f>AO18*AK33</f>
        <v>287.0097057871148</v>
      </c>
      <c r="AL40" t="s">
        <v>137</v>
      </c>
      <c r="AQ40" s="21"/>
      <c r="AY40" s="19"/>
      <c r="BB40">
        <f>AZ31+BC30</f>
        <v>57</v>
      </c>
      <c r="BF40" s="21"/>
    </row>
    <row r="41" spans="8:59" x14ac:dyDescent="0.25">
      <c r="H41" s="10" t="s">
        <v>112</v>
      </c>
      <c r="I41" s="10">
        <f>I38*I37*I40</f>
        <v>372.40000000000003</v>
      </c>
      <c r="J41" s="10" t="s">
        <v>113</v>
      </c>
      <c r="K41" s="10"/>
      <c r="Y41" s="19"/>
      <c r="AD41" s="25"/>
      <c r="AF41" s="21"/>
      <c r="AH41" s="49"/>
      <c r="AI41" s="228"/>
      <c r="AJ41" s="3"/>
      <c r="AK41" s="3"/>
      <c r="AL41" s="3"/>
      <c r="AM41" s="3"/>
      <c r="AN41" s="3"/>
      <c r="AO41" s="3"/>
      <c r="AP41" s="3"/>
      <c r="AQ41" s="44"/>
      <c r="AY41" s="49"/>
      <c r="AZ41" s="3"/>
      <c r="BA41" s="3"/>
      <c r="BB41" s="3"/>
      <c r="BC41" s="3"/>
      <c r="BD41" s="3"/>
      <c r="BE41" s="3"/>
      <c r="BF41" s="44"/>
    </row>
    <row r="42" spans="8:59" ht="29.7" x14ac:dyDescent="0.25">
      <c r="H42" s="106" t="s">
        <v>354</v>
      </c>
      <c r="I42" s="31">
        <f>AP37</f>
        <v>410.63948656675086</v>
      </c>
      <c r="J42" s="10" t="s">
        <v>113</v>
      </c>
      <c r="K42" s="10"/>
      <c r="Y42" s="19"/>
      <c r="Z42" t="s">
        <v>114</v>
      </c>
      <c r="AA42" s="27">
        <v>7.5</v>
      </c>
      <c r="AB42" s="27" t="s">
        <v>52</v>
      </c>
      <c r="AC42" s="27"/>
      <c r="AF42" s="21"/>
      <c r="AH42" s="14"/>
      <c r="AI42" s="16"/>
      <c r="AJ42" s="16"/>
      <c r="AK42" s="16"/>
      <c r="AL42" s="16"/>
      <c r="AM42" s="16"/>
      <c r="AN42" s="16"/>
      <c r="AO42" s="16"/>
      <c r="AP42" s="16"/>
      <c r="AQ42" s="17"/>
    </row>
    <row r="43" spans="8:59" x14ac:dyDescent="0.25">
      <c r="I43" s="105"/>
      <c r="Y43" s="19"/>
      <c r="AA43" s="27"/>
      <c r="AB43" s="27"/>
      <c r="AC43" s="27"/>
      <c r="AF43" s="21"/>
      <c r="AH43" s="19"/>
      <c r="AQ43" s="21"/>
    </row>
    <row r="44" spans="8:59" x14ac:dyDescent="0.25">
      <c r="H44" t="s">
        <v>384</v>
      </c>
      <c r="Y44" s="19" t="s">
        <v>636</v>
      </c>
      <c r="Z44" s="28" t="s">
        <v>482</v>
      </c>
      <c r="AA44">
        <f>66</f>
        <v>66</v>
      </c>
      <c r="AB44" t="s">
        <v>92</v>
      </c>
      <c r="AD44" s="25"/>
      <c r="AF44" s="21"/>
      <c r="AH44" s="19"/>
      <c r="AI44" s="222" t="s">
        <v>138</v>
      </c>
      <c r="AK44">
        <f>1.1*AK40</f>
        <v>315.71067636582632</v>
      </c>
      <c r="AL44" t="s">
        <v>137</v>
      </c>
      <c r="AQ44" s="21"/>
    </row>
    <row r="45" spans="8:59" x14ac:dyDescent="0.25">
      <c r="H45" s="10" t="s">
        <v>344</v>
      </c>
      <c r="I45" s="10">
        <v>1</v>
      </c>
      <c r="J45" s="10" t="s">
        <v>52</v>
      </c>
      <c r="K45" s="10"/>
      <c r="Y45" s="107"/>
      <c r="AA45">
        <f>AA44/12</f>
        <v>5.5</v>
      </c>
      <c r="AB45" t="s">
        <v>52</v>
      </c>
      <c r="AD45" s="25"/>
      <c r="AF45" s="21"/>
      <c r="AH45" s="49"/>
      <c r="AI45" s="228"/>
      <c r="AJ45" s="3"/>
      <c r="AK45" s="3"/>
      <c r="AL45" s="3"/>
      <c r="AM45" s="3"/>
      <c r="AN45" s="3"/>
      <c r="AO45" s="3"/>
      <c r="AP45" s="3"/>
      <c r="AQ45" s="44"/>
      <c r="AZ45" t="s">
        <v>374</v>
      </c>
    </row>
    <row r="46" spans="8:59" x14ac:dyDescent="0.25">
      <c r="H46" s="10" t="s">
        <v>345</v>
      </c>
      <c r="I46">
        <v>1</v>
      </c>
      <c r="J46" s="10" t="s">
        <v>52</v>
      </c>
      <c r="K46" s="10"/>
      <c r="Y46" s="19"/>
      <c r="AF46" s="21"/>
      <c r="AH46" s="14"/>
      <c r="AI46" s="16"/>
      <c r="AJ46" s="16"/>
      <c r="AK46" s="16"/>
      <c r="AL46" s="16"/>
      <c r="AM46" s="16"/>
      <c r="AN46" s="16"/>
      <c r="AO46" s="16"/>
      <c r="AP46" s="16"/>
      <c r="AQ46" s="17"/>
      <c r="BB46">
        <v>8</v>
      </c>
      <c r="BC46" t="s">
        <v>92</v>
      </c>
      <c r="BE46" t="s">
        <v>364</v>
      </c>
      <c r="BF46">
        <f>PI()*BB46/12*BD53</f>
        <v>159.17402778188284</v>
      </c>
    </row>
    <row r="47" spans="8:59" x14ac:dyDescent="0.25">
      <c r="H47" s="10" t="s">
        <v>346</v>
      </c>
      <c r="I47" s="41">
        <v>9</v>
      </c>
      <c r="J47" s="10" t="s">
        <v>52</v>
      </c>
      <c r="K47" s="10"/>
      <c r="Y47" s="19"/>
      <c r="AF47" s="21"/>
      <c r="AH47" s="19"/>
      <c r="AI47" s="222" t="s">
        <v>139</v>
      </c>
      <c r="AK47">
        <v>18</v>
      </c>
      <c r="AQ47" s="21"/>
      <c r="BE47" t="s">
        <v>358</v>
      </c>
      <c r="BF47">
        <v>8</v>
      </c>
      <c r="BG47" t="s">
        <v>116</v>
      </c>
    </row>
    <row r="48" spans="8:59" x14ac:dyDescent="0.25">
      <c r="H48" s="10" t="s">
        <v>347</v>
      </c>
      <c r="I48">
        <v>7.5</v>
      </c>
      <c r="J48" s="10" t="s">
        <v>52</v>
      </c>
      <c r="K48" s="10"/>
      <c r="Y48" s="19"/>
      <c r="AF48" s="21"/>
      <c r="AH48" s="19"/>
      <c r="AI48" s="222"/>
      <c r="AQ48" s="21"/>
      <c r="BE48" t="s">
        <v>361</v>
      </c>
      <c r="BF48">
        <f>BF46*BF47</f>
        <v>1273.3922222550627</v>
      </c>
    </row>
    <row r="49" spans="1:59" x14ac:dyDescent="0.25">
      <c r="H49" s="10" t="s">
        <v>106</v>
      </c>
      <c r="I49" s="33" t="s">
        <v>193</v>
      </c>
      <c r="J49" s="35"/>
      <c r="K49" s="10"/>
      <c r="Y49" s="19"/>
      <c r="Z49">
        <f>(AA44-4-2)/12</f>
        <v>5</v>
      </c>
      <c r="AA49" t="s">
        <v>2</v>
      </c>
      <c r="AC49">
        <f>SQRT((AB52)^2+(Z49)^2)</f>
        <v>9.013878188659973</v>
      </c>
      <c r="AD49" t="s">
        <v>2</v>
      </c>
      <c r="AF49" s="21"/>
      <c r="AH49" s="49"/>
      <c r="AI49" s="3"/>
      <c r="AJ49" s="3"/>
      <c r="AK49" s="3"/>
      <c r="AL49" s="3"/>
      <c r="AM49" s="3"/>
      <c r="AN49" s="3"/>
      <c r="AO49" s="3"/>
      <c r="AP49" s="3"/>
      <c r="AQ49" s="44"/>
      <c r="BE49" t="s">
        <v>367</v>
      </c>
      <c r="BF49" s="7">
        <f>BF48*1.1</f>
        <v>1400.7314444805691</v>
      </c>
      <c r="BG49" t="s">
        <v>40</v>
      </c>
    </row>
    <row r="50" spans="1:59" ht="103.95" x14ac:dyDescent="0.25">
      <c r="H50" s="10" t="s">
        <v>128</v>
      </c>
      <c r="I50" s="33">
        <f>29*4</f>
        <v>116</v>
      </c>
      <c r="J50" s="35"/>
      <c r="K50" s="10"/>
      <c r="Y50" s="19"/>
      <c r="Z50">
        <f>Z49*12</f>
        <v>60</v>
      </c>
      <c r="AF50" s="21"/>
      <c r="AH50" s="33"/>
      <c r="AI50" s="53" t="s">
        <v>140</v>
      </c>
      <c r="AJ50" s="34"/>
      <c r="AK50" s="34">
        <f>AK44*AK47</f>
        <v>5682.7921745848735</v>
      </c>
      <c r="AL50" s="34" t="s">
        <v>137</v>
      </c>
      <c r="AM50" s="34"/>
      <c r="AN50" s="34"/>
      <c r="AO50" s="34"/>
      <c r="AP50" s="34"/>
      <c r="AQ50" s="35"/>
    </row>
    <row r="51" spans="1:59" x14ac:dyDescent="0.25">
      <c r="H51" s="10" t="s">
        <v>112</v>
      </c>
      <c r="I51" s="10">
        <f>((I47*I45*2)+(I46*I48))*I50</f>
        <v>2958</v>
      </c>
      <c r="J51" s="10" t="s">
        <v>113</v>
      </c>
      <c r="K51" s="10"/>
      <c r="Y51" s="19"/>
      <c r="AF51" s="21"/>
    </row>
    <row r="52" spans="1:59" ht="29.7" x14ac:dyDescent="0.25">
      <c r="H52" s="106" t="s">
        <v>354</v>
      </c>
      <c r="I52" s="31">
        <f>AA60</f>
        <v>3257.3417137460256</v>
      </c>
      <c r="J52" s="10" t="s">
        <v>113</v>
      </c>
      <c r="K52" s="10"/>
      <c r="Y52" s="19"/>
      <c r="AB52" s="27">
        <f>AA42</f>
        <v>7.5</v>
      </c>
      <c r="AF52" s="21"/>
    </row>
    <row r="53" spans="1:59" x14ac:dyDescent="0.25">
      <c r="Y53" s="19"/>
      <c r="AF53" s="21"/>
      <c r="BD53">
        <v>76</v>
      </c>
      <c r="BE53" t="s">
        <v>52</v>
      </c>
    </row>
    <row r="54" spans="1:59" x14ac:dyDescent="0.25">
      <c r="Y54" s="19"/>
      <c r="AF54" s="21"/>
    </row>
    <row r="55" spans="1:59" x14ac:dyDescent="0.25">
      <c r="H55" t="s">
        <v>385</v>
      </c>
      <c r="Y55" s="19" t="s">
        <v>607</v>
      </c>
      <c r="AB55" s="27">
        <f>(1*AB52)</f>
        <v>7.5</v>
      </c>
      <c r="AC55" t="s">
        <v>125</v>
      </c>
      <c r="AF55" s="21"/>
    </row>
    <row r="56" spans="1:59" x14ac:dyDescent="0.25">
      <c r="H56" s="10" t="s">
        <v>91</v>
      </c>
      <c r="I56" s="10">
        <f>0</f>
        <v>0</v>
      </c>
      <c r="J56" s="10" t="s">
        <v>52</v>
      </c>
      <c r="K56" s="10"/>
      <c r="Y56" s="19" t="s">
        <v>349</v>
      </c>
      <c r="AB56">
        <f>AC49</f>
        <v>9.013878188659973</v>
      </c>
      <c r="AC56" t="s">
        <v>125</v>
      </c>
      <c r="AF56" s="21"/>
    </row>
    <row r="57" spans="1:59" x14ac:dyDescent="0.25">
      <c r="H57" s="10" t="s">
        <v>100</v>
      </c>
      <c r="I57" s="41">
        <f>0</f>
        <v>0</v>
      </c>
      <c r="J57" s="10" t="s">
        <v>52</v>
      </c>
      <c r="K57" s="10"/>
      <c r="Y57" s="48" t="s">
        <v>350</v>
      </c>
      <c r="AB57" s="1">
        <f>2*(0.25*4*AB56)+(0.25*4*AB55)</f>
        <v>25.527756377319946</v>
      </c>
      <c r="AC57" t="s">
        <v>126</v>
      </c>
      <c r="AF57" s="21"/>
    </row>
    <row r="58" spans="1:59" x14ac:dyDescent="0.25">
      <c r="H58" s="10" t="s">
        <v>106</v>
      </c>
      <c r="I58" t="s">
        <v>385</v>
      </c>
      <c r="K58" s="10"/>
      <c r="Y58" s="19" t="s">
        <v>132</v>
      </c>
      <c r="AA58" t="s">
        <v>133</v>
      </c>
      <c r="AB58" s="27">
        <f>AB57*1.1</f>
        <v>28.080532015051944</v>
      </c>
      <c r="AC58" t="s">
        <v>126</v>
      </c>
      <c r="AF58" s="21"/>
    </row>
    <row r="59" spans="1:59" x14ac:dyDescent="0.25">
      <c r="H59" s="10" t="s">
        <v>128</v>
      </c>
      <c r="I59" s="33">
        <v>0</v>
      </c>
      <c r="J59" s="35"/>
      <c r="K59" s="10"/>
      <c r="Y59" s="49" t="s">
        <v>438</v>
      </c>
      <c r="Z59" s="3"/>
      <c r="AA59" s="3"/>
      <c r="AB59" s="135">
        <f>AB55+2*AB56</f>
        <v>25.527756377319946</v>
      </c>
      <c r="AC59" s="3"/>
      <c r="AD59" s="3"/>
      <c r="AE59" s="3"/>
      <c r="AF59" s="44"/>
    </row>
    <row r="60" spans="1:59" x14ac:dyDescent="0.25">
      <c r="H60" s="10" t="s">
        <v>112</v>
      </c>
      <c r="I60" s="10">
        <f>I57*I56*I59</f>
        <v>0</v>
      </c>
      <c r="J60" s="10" t="s">
        <v>113</v>
      </c>
      <c r="K60" s="10"/>
      <c r="Y60" s="19" t="s">
        <v>623</v>
      </c>
      <c r="AA60">
        <f>AB58*116</f>
        <v>3257.3417137460256</v>
      </c>
    </row>
    <row r="61" spans="1:59" ht="29.7" x14ac:dyDescent="0.25">
      <c r="H61" s="106" t="s">
        <v>354</v>
      </c>
      <c r="I61" s="31">
        <f>I60*1.1</f>
        <v>0</v>
      </c>
      <c r="J61" s="10" t="s">
        <v>113</v>
      </c>
      <c r="K61" s="10"/>
    </row>
    <row r="63" spans="1:59" x14ac:dyDescent="0.25">
      <c r="A63" s="130" t="s">
        <v>416</v>
      </c>
    </row>
    <row r="64" spans="1:59" x14ac:dyDescent="0.25">
      <c r="A64" s="7" t="s">
        <v>57</v>
      </c>
      <c r="B64" s="7"/>
      <c r="C64" s="7">
        <v>0</v>
      </c>
      <c r="D64" s="7" t="s">
        <v>116</v>
      </c>
    </row>
    <row r="66" spans="1:5" x14ac:dyDescent="0.25">
      <c r="A66" s="130" t="s">
        <v>415</v>
      </c>
      <c r="B66" s="6"/>
      <c r="C66" s="6"/>
    </row>
    <row r="67" spans="1:5" x14ac:dyDescent="0.25">
      <c r="A67" s="7" t="s">
        <v>409</v>
      </c>
      <c r="B67" s="7"/>
      <c r="C67" s="127">
        <f>0</f>
        <v>0</v>
      </c>
      <c r="D67" s="7" t="s">
        <v>137</v>
      </c>
      <c r="E67" s="7"/>
    </row>
    <row r="71" spans="1:5" x14ac:dyDescent="0.25">
      <c r="A71" s="56" t="s">
        <v>685</v>
      </c>
    </row>
    <row r="73" spans="1:5" x14ac:dyDescent="0.25">
      <c r="A73" s="2" t="s">
        <v>688</v>
      </c>
    </row>
    <row r="74" spans="1:5" x14ac:dyDescent="0.25">
      <c r="A74" t="s">
        <v>686</v>
      </c>
      <c r="C74">
        <f>3.5+1.5+3.5+1.083+2.5</f>
        <v>12.083</v>
      </c>
      <c r="D74" t="s">
        <v>2</v>
      </c>
    </row>
    <row r="75" spans="1:5" x14ac:dyDescent="0.25">
      <c r="A75" t="s">
        <v>207</v>
      </c>
      <c r="C75">
        <f>1.17+77+127+127+77+1.17</f>
        <v>410.34000000000003</v>
      </c>
      <c r="D75" t="s">
        <v>2</v>
      </c>
    </row>
    <row r="76" spans="1:5" x14ac:dyDescent="0.25">
      <c r="A76" t="s">
        <v>687</v>
      </c>
      <c r="C76" s="3">
        <v>2</v>
      </c>
      <c r="D76" s="3" t="s">
        <v>456</v>
      </c>
    </row>
    <row r="77" spans="1:5" x14ac:dyDescent="0.25">
      <c r="A77" t="s">
        <v>217</v>
      </c>
      <c r="C77">
        <f>C74*C75*C76</f>
        <v>9916.2764400000015</v>
      </c>
      <c r="D77" t="s">
        <v>278</v>
      </c>
    </row>
    <row r="80" spans="1:5" x14ac:dyDescent="0.25">
      <c r="A80" s="2" t="s">
        <v>689</v>
      </c>
    </row>
    <row r="81" spans="1:4" x14ac:dyDescent="0.25">
      <c r="A81" t="s">
        <v>686</v>
      </c>
      <c r="C81">
        <f>3.5+1.5+3.5+0.3333</f>
        <v>8.8332999999999995</v>
      </c>
      <c r="D81" t="s">
        <v>2</v>
      </c>
    </row>
    <row r="82" spans="1:4" x14ac:dyDescent="0.25">
      <c r="A82" t="s">
        <v>207</v>
      </c>
      <c r="C82">
        <f>0.5*(25.5+26.75)</f>
        <v>26.125</v>
      </c>
      <c r="D82" t="s">
        <v>2</v>
      </c>
    </row>
    <row r="83" spans="1:4" x14ac:dyDescent="0.25">
      <c r="A83" t="s">
        <v>687</v>
      </c>
      <c r="C83" s="3">
        <v>4</v>
      </c>
      <c r="D83" s="3" t="s">
        <v>456</v>
      </c>
    </row>
    <row r="84" spans="1:4" x14ac:dyDescent="0.25">
      <c r="A84" t="s">
        <v>217</v>
      </c>
      <c r="C84">
        <f>C81*C82*C83</f>
        <v>923.07984999999996</v>
      </c>
      <c r="D84" t="s">
        <v>278</v>
      </c>
    </row>
    <row r="87" spans="1:4" x14ac:dyDescent="0.25">
      <c r="A87" s="2" t="s">
        <v>690</v>
      </c>
    </row>
    <row r="88" spans="1:4" x14ac:dyDescent="0.25">
      <c r="A88" t="s">
        <v>691</v>
      </c>
      <c r="C88">
        <f>(0+9)/2</f>
        <v>4.5</v>
      </c>
      <c r="D88" t="s">
        <v>2</v>
      </c>
    </row>
    <row r="89" spans="1:4" x14ac:dyDescent="0.25">
      <c r="A89" t="s">
        <v>207</v>
      </c>
      <c r="C89">
        <f>0.5*(25.5+26.75)</f>
        <v>26.125</v>
      </c>
      <c r="D89" t="s">
        <v>2</v>
      </c>
    </row>
    <row r="90" spans="1:4" x14ac:dyDescent="0.25">
      <c r="A90" t="s">
        <v>696</v>
      </c>
      <c r="C90" s="3">
        <v>4</v>
      </c>
      <c r="D90" s="3" t="s">
        <v>456</v>
      </c>
    </row>
    <row r="91" spans="1:4" x14ac:dyDescent="0.25">
      <c r="A91" t="s">
        <v>217</v>
      </c>
      <c r="C91">
        <f>C88*C89*C90</f>
        <v>470.25</v>
      </c>
      <c r="D91" t="s">
        <v>278</v>
      </c>
    </row>
    <row r="94" spans="1:4" x14ac:dyDescent="0.25">
      <c r="A94" s="2" t="s">
        <v>692</v>
      </c>
    </row>
    <row r="95" spans="1:4" x14ac:dyDescent="0.25">
      <c r="A95" t="s">
        <v>691</v>
      </c>
      <c r="C95">
        <v>2</v>
      </c>
      <c r="D95" t="s">
        <v>2</v>
      </c>
    </row>
    <row r="96" spans="1:4" x14ac:dyDescent="0.25">
      <c r="A96" t="s">
        <v>207</v>
      </c>
      <c r="C96">
        <v>57</v>
      </c>
      <c r="D96" t="s">
        <v>2</v>
      </c>
    </row>
    <row r="97" spans="1:4" x14ac:dyDescent="0.25">
      <c r="A97" t="s">
        <v>695</v>
      </c>
      <c r="C97" s="3">
        <v>2</v>
      </c>
      <c r="D97" s="3" t="s">
        <v>456</v>
      </c>
    </row>
    <row r="98" spans="1:4" x14ac:dyDescent="0.25">
      <c r="A98" t="s">
        <v>217</v>
      </c>
      <c r="C98">
        <f>C95*C96*C97</f>
        <v>228</v>
      </c>
      <c r="D98" t="s">
        <v>278</v>
      </c>
    </row>
    <row r="101" spans="1:4" x14ac:dyDescent="0.25">
      <c r="A101" s="2" t="s">
        <v>693</v>
      </c>
    </row>
    <row r="102" spans="1:4" x14ac:dyDescent="0.25">
      <c r="A102" t="s">
        <v>691</v>
      </c>
      <c r="C102">
        <f>2.083+7.25</f>
        <v>9.3330000000000002</v>
      </c>
      <c r="D102" t="s">
        <v>2</v>
      </c>
    </row>
    <row r="103" spans="1:4" x14ac:dyDescent="0.25">
      <c r="A103" t="s">
        <v>207</v>
      </c>
      <c r="C103">
        <v>57</v>
      </c>
      <c r="D103" t="s">
        <v>2</v>
      </c>
    </row>
    <row r="104" spans="1:4" x14ac:dyDescent="0.25">
      <c r="A104" t="s">
        <v>697</v>
      </c>
      <c r="C104" s="3">
        <v>2</v>
      </c>
      <c r="D104" s="3" t="s">
        <v>456</v>
      </c>
    </row>
    <row r="105" spans="1:4" x14ac:dyDescent="0.25">
      <c r="A105" t="s">
        <v>217</v>
      </c>
      <c r="C105">
        <f>C102*C103*C104</f>
        <v>1063.962</v>
      </c>
      <c r="D105" t="s">
        <v>278</v>
      </c>
    </row>
    <row r="108" spans="1:4" x14ac:dyDescent="0.25">
      <c r="A108" s="2" t="s">
        <v>694</v>
      </c>
    </row>
    <row r="109" spans="1:4" x14ac:dyDescent="0.25">
      <c r="A109" t="s">
        <v>686</v>
      </c>
      <c r="C109">
        <f>6+0.833+6</f>
        <v>12.833</v>
      </c>
      <c r="D109" t="s">
        <v>2</v>
      </c>
    </row>
    <row r="110" spans="1:4" x14ac:dyDescent="0.25">
      <c r="A110" t="s">
        <v>207</v>
      </c>
      <c r="C110">
        <v>2.16</v>
      </c>
      <c r="D110" t="s">
        <v>2</v>
      </c>
    </row>
    <row r="111" spans="1:4" x14ac:dyDescent="0.25">
      <c r="A111" t="s">
        <v>698</v>
      </c>
      <c r="C111" s="3">
        <v>4</v>
      </c>
      <c r="D111" s="3" t="s">
        <v>456</v>
      </c>
    </row>
    <row r="112" spans="1:4" x14ac:dyDescent="0.25">
      <c r="A112" t="s">
        <v>217</v>
      </c>
      <c r="C112">
        <f>C109*C110*C111</f>
        <v>110.87712000000001</v>
      </c>
      <c r="D112" t="s">
        <v>278</v>
      </c>
    </row>
    <row r="115" spans="1:6" x14ac:dyDescent="0.25">
      <c r="A115" t="s">
        <v>699</v>
      </c>
      <c r="C115">
        <f>C77</f>
        <v>9916.2764400000015</v>
      </c>
      <c r="D115" t="s">
        <v>701</v>
      </c>
      <c r="E115">
        <f>ROUND(C115/9,0)</f>
        <v>1102</v>
      </c>
      <c r="F115" t="s">
        <v>525</v>
      </c>
    </row>
    <row r="116" spans="1:6" x14ac:dyDescent="0.25">
      <c r="A116" t="s">
        <v>700</v>
      </c>
      <c r="C116">
        <f>C84+C91+C98+C105+C112</f>
        <v>2796.1689700000002</v>
      </c>
      <c r="D116" t="s">
        <v>701</v>
      </c>
      <c r="E116">
        <f>ROUND(C116/9,0)</f>
        <v>311</v>
      </c>
      <c r="F116" t="s">
        <v>525</v>
      </c>
    </row>
    <row r="118" spans="1:6" x14ac:dyDescent="0.25">
      <c r="A118" s="7" t="s">
        <v>90</v>
      </c>
      <c r="B118" s="7"/>
      <c r="C118" s="7">
        <f>E115+E116</f>
        <v>1413</v>
      </c>
      <c r="D118" s="7" t="s">
        <v>525</v>
      </c>
    </row>
    <row r="122" spans="1:6" x14ac:dyDescent="0.25">
      <c r="A122" s="2" t="s">
        <v>705</v>
      </c>
    </row>
    <row r="124" spans="1:6" x14ac:dyDescent="0.25">
      <c r="A124" t="s">
        <v>699</v>
      </c>
      <c r="C124">
        <f>C115</f>
        <v>9916.2764400000015</v>
      </c>
      <c r="D124" t="s">
        <v>701</v>
      </c>
      <c r="E124">
        <f>ROUND(C124/9,0)</f>
        <v>1102</v>
      </c>
      <c r="F124" t="s">
        <v>525</v>
      </c>
    </row>
    <row r="125" spans="1:6" x14ac:dyDescent="0.25">
      <c r="A125" t="s">
        <v>700</v>
      </c>
      <c r="C125">
        <f>C116</f>
        <v>2796.1689700000002</v>
      </c>
      <c r="D125" t="s">
        <v>701</v>
      </c>
      <c r="E125" s="3">
        <f>ROUND(C125/9,0)</f>
        <v>311</v>
      </c>
      <c r="F125" s="3" t="s">
        <v>525</v>
      </c>
    </row>
    <row r="126" spans="1:6" x14ac:dyDescent="0.25">
      <c r="E126" s="7">
        <f>SUM(E124:E125)</f>
        <v>1413</v>
      </c>
      <c r="F126" s="7" t="s">
        <v>525</v>
      </c>
    </row>
    <row r="128" spans="1:6" x14ac:dyDescent="0.25">
      <c r="A128" s="2" t="s">
        <v>706</v>
      </c>
    </row>
    <row r="130" spans="1:4" x14ac:dyDescent="0.25">
      <c r="A130" s="7" t="s">
        <v>707</v>
      </c>
      <c r="B130" s="7"/>
      <c r="C130" s="7">
        <f>20.8+103.7+34.2+4.9</f>
        <v>163.6</v>
      </c>
      <c r="D130" s="7" t="s">
        <v>2</v>
      </c>
    </row>
    <row r="133" spans="1:4" x14ac:dyDescent="0.25">
      <c r="A133" s="2" t="s">
        <v>715</v>
      </c>
    </row>
    <row r="135" spans="1:4" x14ac:dyDescent="0.25">
      <c r="A135" t="s">
        <v>646</v>
      </c>
      <c r="C135">
        <v>8</v>
      </c>
      <c r="D135" t="s">
        <v>278</v>
      </c>
    </row>
  </sheetData>
  <mergeCells count="6">
    <mergeCell ref="AI47:AI48"/>
    <mergeCell ref="A11:J13"/>
    <mergeCell ref="Y18:AF18"/>
    <mergeCell ref="AH19:AN19"/>
    <mergeCell ref="AI39:AI41"/>
    <mergeCell ref="AI44:AI45"/>
  </mergeCells>
  <pageMargins left="0.7" right="0.7" top="0.75" bottom="0.75" header="0.3" footer="0.3"/>
  <pageSetup paperSize="25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CLE-50-0546_ SFN 1300946</vt:lpstr>
      <vt:lpstr>CLE-50-0546 Auto Table</vt:lpstr>
      <vt:lpstr>CLE-727-0263_SFN 1304747</vt:lpstr>
      <vt:lpstr>CLE-727-0263 Auto Table</vt:lpstr>
      <vt:lpstr>CLI-71-0031_SFN 1401416</vt:lpstr>
      <vt:lpstr>CLI-71-0031 Auto Table</vt:lpstr>
      <vt:lpstr>CLI-71-0407_ SFN 1401505</vt:lpstr>
      <vt:lpstr>CLI-71-0407 Auto Table</vt:lpstr>
      <vt:lpstr>CLI-73-0228_1402102</vt:lpstr>
      <vt:lpstr>CLI-73-0228 Auto Table</vt:lpstr>
      <vt:lpstr>CLI-134-1107_SFN 1402978</vt:lpstr>
      <vt:lpstr>CLI-134-1107 Auto Table</vt:lpstr>
      <vt:lpstr> </vt:lpstr>
      <vt:lpstr>BUT-127-1198</vt:lpstr>
      <vt:lpstr>BUT-127-0728</vt:lpstr>
      <vt:lpstr>BUT-177-0469</vt:lpstr>
      <vt:lpstr>BUT-177-0529</vt:lpstr>
      <vt:lpstr>BUT-4-1580L</vt:lpstr>
      <vt:lpstr>BUT-4-1580R</vt:lpstr>
      <vt:lpstr>HAM-32-1.44</vt:lpstr>
      <vt:lpstr>WAR-48-8.63</vt:lpstr>
      <vt:lpstr>WAR-73-1818R</vt:lpstr>
      <vt:lpstr>WAR-73-1818L</vt:lpstr>
      <vt:lpstr>Sheet2</vt:lpstr>
      <vt:lpstr>Sheet3</vt:lpstr>
      <vt:lpstr>CLE-28-0175</vt:lpstr>
      <vt:lpstr>CLE-28-0227</vt:lpstr>
      <vt:lpstr>CLE-28-0259</vt:lpstr>
      <vt:lpstr>CLE-28-0282</vt:lpstr>
      <vt:lpstr>CLE-32-1214</vt:lpstr>
      <vt:lpstr>CLE-132-2473</vt:lpstr>
      <vt:lpstr>GRE-35-2297</vt:lpstr>
      <vt:lpstr>HAM-562-0227</vt:lpstr>
      <vt:lpstr>PRE-127-1718</vt:lpstr>
      <vt:lpstr>PRE-177-0486</vt:lpstr>
      <vt:lpstr>CLE-743-0466</vt:lpstr>
      <vt:lpstr>WAR-123-1740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Addendum 3</dc:creator>
  <cp:lastModifiedBy>Howard, Christopher</cp:lastModifiedBy>
  <dcterms:created xsi:type="dcterms:W3CDTF">2013-11-08T15:35:00Z</dcterms:created>
  <dcterms:modified xsi:type="dcterms:W3CDTF">2023-10-24T16:36:56Z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