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3374E525-1116-4FC4-B857-72970BFC036D}" xr6:coauthVersionLast="47" xr6:coauthVersionMax="47" xr10:uidLastSave="{00000000-0000-0000-0000-000000000000}"/>
  <bookViews>
    <workbookView xWindow="29655" yWindow="2175" windowWidth="21600" windowHeight="11385" activeTab="1" xr2:uid="{00000000-000D-0000-FFFF-FFFF00000000}"/>
  </bookViews>
  <sheets>
    <sheet name="STAGE 1 QUANTITIES" sheetId="1" r:id="rId1"/>
    <sheet name="STAGE 2 QUANTITIES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3" l="1"/>
  <c r="E36" i="3" l="1"/>
  <c r="C36" i="3"/>
  <c r="E35" i="3"/>
  <c r="C35" i="3"/>
  <c r="C34" i="3"/>
  <c r="E33" i="3"/>
  <c r="C33" i="3"/>
  <c r="E32" i="3"/>
  <c r="C32" i="3"/>
  <c r="E25" i="3"/>
  <c r="E16" i="3"/>
  <c r="E9" i="3"/>
  <c r="C9" i="3"/>
  <c r="E8" i="3"/>
  <c r="C7" i="3"/>
  <c r="E6" i="3"/>
  <c r="C4" i="3"/>
  <c r="E3" i="3"/>
  <c r="C3" i="3"/>
  <c r="N6" i="2"/>
  <c r="N8" i="2" s="1"/>
  <c r="H6" i="2"/>
  <c r="H8" i="2" s="1"/>
  <c r="B6" i="2"/>
  <c r="C5" i="2" s="1"/>
  <c r="E5" i="2" s="1"/>
  <c r="F5" i="2" s="1"/>
  <c r="O7" i="2" l="1"/>
  <c r="Q7" i="2" s="1"/>
  <c r="R7" i="2" s="1"/>
  <c r="N10" i="2"/>
  <c r="O5" i="2"/>
  <c r="Q5" i="2" s="1"/>
  <c r="R5" i="2" s="1"/>
  <c r="B8" i="2"/>
  <c r="I7" i="2"/>
  <c r="K7" i="2" s="1"/>
  <c r="L7" i="2" s="1"/>
  <c r="H10" i="2"/>
  <c r="I5" i="2"/>
  <c r="K5" i="2" s="1"/>
  <c r="L5" i="2" s="1"/>
  <c r="E3" i="1"/>
  <c r="E26" i="1"/>
  <c r="E10" i="1"/>
  <c r="E29" i="1"/>
  <c r="E28" i="1"/>
  <c r="E25" i="1"/>
  <c r="O9" i="2" l="1"/>
  <c r="Q9" i="2" s="1"/>
  <c r="R9" i="2" s="1"/>
  <c r="N12" i="2"/>
  <c r="B10" i="2"/>
  <c r="C7" i="2"/>
  <c r="E7" i="2" s="1"/>
  <c r="F7" i="2" s="1"/>
  <c r="H12" i="2"/>
  <c r="I9" i="2"/>
  <c r="K9" i="2" s="1"/>
  <c r="L9" i="2" s="1"/>
  <c r="E19" i="1"/>
  <c r="C20" i="1"/>
  <c r="N14" i="2" l="1"/>
  <c r="O11" i="2"/>
  <c r="Q11" i="2" s="1"/>
  <c r="R11" i="2" s="1"/>
  <c r="B12" i="2"/>
  <c r="C9" i="2"/>
  <c r="E9" i="2" s="1"/>
  <c r="F9" i="2" s="1"/>
  <c r="H14" i="2"/>
  <c r="I11" i="2"/>
  <c r="K11" i="2" s="1"/>
  <c r="L11" i="2" s="1"/>
  <c r="C21" i="1"/>
  <c r="O13" i="2" l="1"/>
  <c r="Q13" i="2" s="1"/>
  <c r="R13" i="2" s="1"/>
  <c r="N16" i="2"/>
  <c r="B14" i="2"/>
  <c r="C11" i="2"/>
  <c r="E11" i="2" s="1"/>
  <c r="F11" i="2" s="1"/>
  <c r="H16" i="2"/>
  <c r="I13" i="2"/>
  <c r="K13" i="2" s="1"/>
  <c r="L13" i="2" s="1"/>
  <c r="C29" i="1"/>
  <c r="C28" i="1"/>
  <c r="C27" i="1"/>
  <c r="C26" i="1"/>
  <c r="C25" i="1"/>
  <c r="C10" i="1"/>
  <c r="C7" i="1"/>
  <c r="C4" i="1"/>
  <c r="C3" i="1"/>
  <c r="O15" i="2" l="1"/>
  <c r="Q15" i="2" s="1"/>
  <c r="R15" i="2" s="1"/>
  <c r="N18" i="2"/>
  <c r="B16" i="2"/>
  <c r="C13" i="2"/>
  <c r="E13" i="2" s="1"/>
  <c r="F13" i="2" s="1"/>
  <c r="I15" i="2"/>
  <c r="K15" i="2" s="1"/>
  <c r="L15" i="2" s="1"/>
  <c r="H18" i="2"/>
  <c r="O17" i="2" l="1"/>
  <c r="Q17" i="2" s="1"/>
  <c r="R17" i="2" s="1"/>
  <c r="N20" i="2"/>
  <c r="B18" i="2"/>
  <c r="C15" i="2"/>
  <c r="E15" i="2" s="1"/>
  <c r="F15" i="2" s="1"/>
  <c r="H20" i="2"/>
  <c r="I17" i="2"/>
  <c r="K17" i="2" s="1"/>
  <c r="L17" i="2" s="1"/>
  <c r="O19" i="2" l="1"/>
  <c r="Q19" i="2" s="1"/>
  <c r="R19" i="2" s="1"/>
  <c r="N22" i="2"/>
  <c r="B20" i="2"/>
  <c r="C17" i="2"/>
  <c r="E17" i="2" s="1"/>
  <c r="F17" i="2" s="1"/>
  <c r="H22" i="2"/>
  <c r="I19" i="2"/>
  <c r="K19" i="2" s="1"/>
  <c r="L19" i="2" s="1"/>
  <c r="N24" i="2" l="1"/>
  <c r="O23" i="2" s="1"/>
  <c r="Q23" i="2" s="1"/>
  <c r="R23" i="2" s="1"/>
  <c r="O21" i="2"/>
  <c r="Q21" i="2" s="1"/>
  <c r="R21" i="2" s="1"/>
  <c r="B22" i="2"/>
  <c r="C19" i="2"/>
  <c r="E19" i="2" s="1"/>
  <c r="F19" i="2" s="1"/>
  <c r="H24" i="2"/>
  <c r="I23" i="2" s="1"/>
  <c r="K23" i="2" s="1"/>
  <c r="L23" i="2" s="1"/>
  <c r="I21" i="2"/>
  <c r="K21" i="2" s="1"/>
  <c r="L21" i="2" s="1"/>
  <c r="R26" i="2" l="1"/>
  <c r="B24" i="2"/>
  <c r="C23" i="2" s="1"/>
  <c r="E23" i="2" s="1"/>
  <c r="F23" i="2" s="1"/>
  <c r="C21" i="2"/>
  <c r="E21" i="2" s="1"/>
  <c r="F21" i="2" s="1"/>
  <c r="L26" i="2"/>
  <c r="E6" i="1" l="1"/>
  <c r="E15" i="1"/>
  <c r="F26" i="2"/>
  <c r="E8" i="1" s="1"/>
</calcChain>
</file>

<file path=xl/sharedStrings.xml><?xml version="1.0" encoding="utf-8"?>
<sst xmlns="http://schemas.openxmlformats.org/spreadsheetml/2006/main" count="226" uniqueCount="115">
  <si>
    <t>CY</t>
  </si>
  <si>
    <t>SY</t>
  </si>
  <si>
    <t>GAL</t>
  </si>
  <si>
    <t>EXCAVATION</t>
  </si>
  <si>
    <t>EMBANKMNET</t>
  </si>
  <si>
    <t>TACK COAT</t>
  </si>
  <si>
    <t>AGGREGATE BASE</t>
  </si>
  <si>
    <t xml:space="preserve">SUBGRADE COMPACTION </t>
  </si>
  <si>
    <t>GUARDRAIL, TYPE MGS</t>
  </si>
  <si>
    <t>Item Number</t>
  </si>
  <si>
    <t>Item Description</t>
  </si>
  <si>
    <t>202E23000</t>
  </si>
  <si>
    <t>PAVEMENT REMOVED</t>
  </si>
  <si>
    <t>202E38000</t>
  </si>
  <si>
    <t>GUARDRAIL REMOVED</t>
  </si>
  <si>
    <t>203E10000</t>
  </si>
  <si>
    <t>204E20000</t>
  </si>
  <si>
    <t>659E00540</t>
  </si>
  <si>
    <t>SEEDING AND MULCHING, CLASS 3C</t>
  </si>
  <si>
    <t>441E70000</t>
  </si>
  <si>
    <t>ASPHALT CONCRETE SURFACE COURSE, TYPE 1, (449) PG 64-22</t>
  </si>
  <si>
    <t>441E70300</t>
  </si>
  <si>
    <t>ASPHALT CONCRETE INTERMEDIATE COURSE, TYPE 2, (449)</t>
  </si>
  <si>
    <t>301E56000</t>
  </si>
  <si>
    <t>ASPHALT CONCRETE BASE, PG 64-22, (449)</t>
  </si>
  <si>
    <t>407E10000</t>
  </si>
  <si>
    <t>304E20000</t>
  </si>
  <si>
    <t>FT</t>
  </si>
  <si>
    <t>204E10000</t>
  </si>
  <si>
    <t>606E15050</t>
  </si>
  <si>
    <t>606E25550</t>
  </si>
  <si>
    <t>ANCHOR ASSEMBLY, MGS TYPE A</t>
  </si>
  <si>
    <t>EACH</t>
  </si>
  <si>
    <t>MOBILIZATION</t>
  </si>
  <si>
    <t>MAINTAINING TRAFFIC</t>
  </si>
  <si>
    <t>CONSTRUCTION LAYOUT STAKES AND SURVEYING</t>
  </si>
  <si>
    <t>FIELD OFFICE, TYPE B</t>
  </si>
  <si>
    <t>624E10000</t>
  </si>
  <si>
    <t>LS</t>
  </si>
  <si>
    <t>MNTH</t>
  </si>
  <si>
    <t>614E11000</t>
  </si>
  <si>
    <t>623E10000</t>
  </si>
  <si>
    <t>619E16010</t>
  </si>
  <si>
    <t>605E31100</t>
  </si>
  <si>
    <t>AGGREGATE DRAINS</t>
  </si>
  <si>
    <t>ROADWAY</t>
  </si>
  <si>
    <t>PAVEMENT</t>
  </si>
  <si>
    <t>EROSION CONTROL</t>
  </si>
  <si>
    <t>DRAINAGE</t>
  </si>
  <si>
    <t>602E20000</t>
  </si>
  <si>
    <t>CONCRETE MASONRY</t>
  </si>
  <si>
    <t>Quantity</t>
  </si>
  <si>
    <t>Unit</t>
  </si>
  <si>
    <t>Notes</t>
  </si>
  <si>
    <t>INCIDENTALS</t>
  </si>
  <si>
    <t>https://www.dot.state.oh.us/SCDs/Structural/HW-2.2.pdf</t>
  </si>
  <si>
    <t>(This quantity is for half-height headwalls for culvert. See Structural SCD HW-2.2 link below for table that gives you dimensions of concrete necessary. We are using a 24" circular reinforced concrete pipe)</t>
  </si>
  <si>
    <t>Typically 2% of total construction cost. Check with James to confirm final price, may need to adjust percentage.</t>
  </si>
  <si>
    <r>
      <t xml:space="preserve">(Check C&amp;MS handbook for measurement guidelines) - </t>
    </r>
    <r>
      <rPr>
        <i/>
        <sz val="11"/>
        <color theme="9"/>
        <rFont val="Calibri"/>
        <family val="2"/>
        <scheme val="minor"/>
      </rPr>
      <t>0.06 GAL/SQYD</t>
    </r>
  </si>
  <si>
    <r>
      <t xml:space="preserve">(Check C&amp;MS handbook for measurement guidelines) - </t>
    </r>
    <r>
      <rPr>
        <i/>
        <sz val="11"/>
        <color theme="9"/>
        <rFont val="Calibri"/>
        <family val="2"/>
        <scheme val="minor"/>
      </rPr>
      <t>6 MNTH project duration (https://ellisproj.dot.state.oh.us/ScheduleData.aspx?pid=118153)</t>
    </r>
  </si>
  <si>
    <t>Spaced every 25ft, ~4.5ft length each (from edge of agg. base to edge of 2:1 slope)</t>
  </si>
  <si>
    <t>ATM CHECK</t>
  </si>
  <si>
    <t>611E96600</t>
  </si>
  <si>
    <t>CONDUIT, BORED OR JACKED</t>
  </si>
  <si>
    <t>202E70000</t>
  </si>
  <si>
    <t>SPECIAL - FILL AND PLUG EXISTING CULVERT</t>
  </si>
  <si>
    <t>601E32204</t>
  </si>
  <si>
    <t>ROCK CHANNEL PROTECTION, TYPE C WITH GEOTEXTILE FABRIC</t>
  </si>
  <si>
    <t>-</t>
  </si>
  <si>
    <t>503E11100</t>
  </si>
  <si>
    <t>COFFERDAMS AND EXCAVATION BRACING</t>
  </si>
  <si>
    <t>length</t>
  </si>
  <si>
    <t>fill (sf)</t>
  </si>
  <si>
    <t>end area (sf)</t>
  </si>
  <si>
    <t>end area (cf)</t>
  </si>
  <si>
    <t>end area (cy)</t>
  </si>
  <si>
    <t>station</t>
  </si>
  <si>
    <t>cut (sf)</t>
  </si>
  <si>
    <t>total =</t>
  </si>
  <si>
    <t>EMBANKMENT</t>
  </si>
  <si>
    <t>width</t>
  </si>
  <si>
    <t>end area (sy)</t>
  </si>
  <si>
    <t>SEEDING AND MULCHING</t>
  </si>
  <si>
    <t>SOIL ANALYSIS TEST</t>
  </si>
  <si>
    <t>TOPSOIL</t>
  </si>
  <si>
    <t>REPAIR SEEDING AND MULCHING</t>
  </si>
  <si>
    <t xml:space="preserve">INTER-SEEDING </t>
  </si>
  <si>
    <t>COMMERCIAL FERTILIZER</t>
  </si>
  <si>
    <t>LIME</t>
  </si>
  <si>
    <t>WATER</t>
  </si>
  <si>
    <t>TON</t>
  </si>
  <si>
    <t>AC</t>
  </si>
  <si>
    <t>MGAL</t>
  </si>
  <si>
    <t>659E00100</t>
  </si>
  <si>
    <t>659E00300</t>
  </si>
  <si>
    <t>659E14000</t>
  </si>
  <si>
    <t>659E15000</t>
  </si>
  <si>
    <t>659E20000</t>
  </si>
  <si>
    <t>659E31000</t>
  </si>
  <si>
    <t>659E35000</t>
  </si>
  <si>
    <t>CONDUIT, BORED OR JACKED, 30"</t>
  </si>
  <si>
    <t>(This quantity is for half-height headwalls for culvert. See Structural SCD HW-2.2 link below for table that gives you dimensions of concrete necessary. We are using a 30" circular reinforced concrete pipe)</t>
  </si>
  <si>
    <t>JAP (12/19/24)</t>
  </si>
  <si>
    <t>118153_Earthwork Seeding Mulching CALC.xlsx</t>
  </si>
  <si>
    <t>MOWING</t>
  </si>
  <si>
    <t>M. SF</t>
  </si>
  <si>
    <t>204EXXXX</t>
  </si>
  <si>
    <t>PROOF ROLLING</t>
  </si>
  <si>
    <t>HR</t>
  </si>
  <si>
    <t>why 204 and not 203 item?</t>
  </si>
  <si>
    <t>include shoulders removed</t>
  </si>
  <si>
    <t>Type E - 50'</t>
  </si>
  <si>
    <t>606E26100</t>
  </si>
  <si>
    <t>full length - 50x4(AA-type e)</t>
  </si>
  <si>
    <t>659E40000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</si>
</sst>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1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" fontId="10" fillId="5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1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1" fontId="0" fillId="5" borderId="0" xfId="0" applyNumberFormat="1" applyFill="1" applyAlignment="1">
      <alignment horizontal="center" vertical="center"/>
    </xf>
    <xf numFmtId="11" fontId="12" fillId="5" borderId="0" xfId="0" applyNumberFormat="1" applyFont="1" applyFill="1" applyAlignment="1">
      <alignment horizontal="center" vertical="center"/>
    </xf>
    <xf numFmtId="11" fontId="1" fillId="5" borderId="0" xfId="0" applyNumberFormat="1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32</xdr:row>
      <xdr:rowOff>19050</xdr:rowOff>
    </xdr:from>
    <xdr:to>
      <xdr:col>29</xdr:col>
      <xdr:colOff>456386</xdr:colOff>
      <xdr:row>35</xdr:row>
      <xdr:rowOff>57074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3400" y="5543550"/>
          <a:ext cx="6514286" cy="6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</xdr:colOff>
      <xdr:row>40</xdr:row>
      <xdr:rowOff>19050</xdr:rowOff>
    </xdr:from>
    <xdr:to>
      <xdr:col>30</xdr:col>
      <xdr:colOff>456386</xdr:colOff>
      <xdr:row>43</xdr:row>
      <xdr:rowOff>57074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8991FC-8FD4-4299-816D-8D8EC33E8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4925" y="6115050"/>
          <a:ext cx="6514286" cy="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t.state.oh.us/SCDs/Structural/HW-2.2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118153_Earthwork%20Seeding%20Mulching%20CALC.xlsx" TargetMode="External"/><Relationship Id="rId1" Type="http://schemas.openxmlformats.org/officeDocument/2006/relationships/hyperlink" Target="https://www.dot.state.oh.us/SCDs/Structural/HW-2.2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workbookViewId="0">
      <selection activeCell="A5" activeCellId="2" sqref="A22:XFD22 A9:XFD9 A5:XFD5"/>
    </sheetView>
  </sheetViews>
  <sheetFormatPr defaultRowHeight="15" x14ac:dyDescent="0.25"/>
  <cols>
    <col min="1" max="1" width="12.85546875" style="3" bestFit="1" customWidth="1"/>
    <col min="2" max="2" width="76.85546875" style="3" customWidth="1"/>
    <col min="3" max="3" width="9.140625" style="3"/>
    <col min="4" max="4" width="9.140625" style="1"/>
    <col min="5" max="5" width="11.5703125" style="25" bestFit="1" customWidth="1"/>
    <col min="6" max="16384" width="9.140625" style="1"/>
  </cols>
  <sheetData>
    <row r="1" spans="1:6" x14ac:dyDescent="0.25">
      <c r="A1" s="19" t="s">
        <v>9</v>
      </c>
      <c r="B1" s="19" t="s">
        <v>10</v>
      </c>
      <c r="C1" s="19" t="s">
        <v>51</v>
      </c>
      <c r="D1" s="20" t="s">
        <v>52</v>
      </c>
      <c r="E1" s="24" t="s">
        <v>61</v>
      </c>
      <c r="F1" s="20" t="s">
        <v>53</v>
      </c>
    </row>
    <row r="2" spans="1:6" x14ac:dyDescent="0.25">
      <c r="A2" s="1"/>
      <c r="B2" s="12" t="s">
        <v>45</v>
      </c>
    </row>
    <row r="3" spans="1:6" x14ac:dyDescent="0.25">
      <c r="A3" s="4" t="s">
        <v>11</v>
      </c>
      <c r="B3" s="9" t="s">
        <v>12</v>
      </c>
      <c r="C3" s="21">
        <f>7726.79/9</f>
        <v>858.53222222222223</v>
      </c>
      <c r="D3" s="1" t="s">
        <v>1</v>
      </c>
      <c r="E3" s="33">
        <f>6060/9</f>
        <v>673.33333333333337</v>
      </c>
      <c r="F3" s="18"/>
    </row>
    <row r="4" spans="1:6" x14ac:dyDescent="0.25">
      <c r="A4" s="4" t="s">
        <v>13</v>
      </c>
      <c r="B4" s="9" t="s">
        <v>14</v>
      </c>
      <c r="C4" s="21">
        <f>352.13+327.43</f>
        <v>679.56</v>
      </c>
      <c r="D4" s="1" t="s">
        <v>27</v>
      </c>
      <c r="E4" s="25">
        <v>680</v>
      </c>
      <c r="F4" s="18"/>
    </row>
    <row r="5" spans="1:6" x14ac:dyDescent="0.25">
      <c r="A5" s="26" t="s">
        <v>64</v>
      </c>
      <c r="B5" s="27" t="s">
        <v>65</v>
      </c>
      <c r="C5" s="31" t="s">
        <v>68</v>
      </c>
      <c r="D5" s="29" t="s">
        <v>27</v>
      </c>
      <c r="E5" s="30">
        <v>84</v>
      </c>
      <c r="F5" s="18"/>
    </row>
    <row r="6" spans="1:6" x14ac:dyDescent="0.25">
      <c r="A6" s="5" t="s">
        <v>15</v>
      </c>
      <c r="B6" s="10" t="s">
        <v>3</v>
      </c>
      <c r="C6" s="6"/>
      <c r="D6" s="2" t="s">
        <v>0</v>
      </c>
      <c r="E6" s="50">
        <f>Sheet1!R26</f>
        <v>806.85185185185173</v>
      </c>
      <c r="F6" s="18"/>
    </row>
    <row r="7" spans="1:6" x14ac:dyDescent="0.25">
      <c r="A7" s="4" t="s">
        <v>28</v>
      </c>
      <c r="B7" s="9" t="s">
        <v>7</v>
      </c>
      <c r="C7" s="21">
        <f>(8913.38+371+363)/9</f>
        <v>1071.931111111111</v>
      </c>
      <c r="D7" s="1" t="s">
        <v>1</v>
      </c>
      <c r="E7" s="25">
        <v>1072</v>
      </c>
      <c r="F7" s="18"/>
    </row>
    <row r="8" spans="1:6" x14ac:dyDescent="0.25">
      <c r="A8" s="5" t="s">
        <v>16</v>
      </c>
      <c r="B8" s="10" t="s">
        <v>4</v>
      </c>
      <c r="C8" s="6"/>
      <c r="D8" s="2" t="s">
        <v>0</v>
      </c>
      <c r="E8" s="50">
        <f>Sheet1!F26</f>
        <v>2141.296296296297</v>
      </c>
      <c r="F8" s="18"/>
    </row>
    <row r="9" spans="1:6" x14ac:dyDescent="0.25">
      <c r="A9" s="26" t="s">
        <v>69</v>
      </c>
      <c r="B9" s="27" t="s">
        <v>70</v>
      </c>
      <c r="C9" s="31">
        <v>1</v>
      </c>
      <c r="D9" s="29" t="s">
        <v>38</v>
      </c>
      <c r="E9" s="30"/>
      <c r="F9" s="18"/>
    </row>
    <row r="10" spans="1:6" x14ac:dyDescent="0.25">
      <c r="A10" s="4" t="s">
        <v>29</v>
      </c>
      <c r="B10" s="9" t="s">
        <v>8</v>
      </c>
      <c r="C10" s="21">
        <f>327.35+350.33-100</f>
        <v>577.68000000000006</v>
      </c>
      <c r="D10" s="1" t="s">
        <v>27</v>
      </c>
      <c r="E10" s="25">
        <f>578</f>
        <v>578</v>
      </c>
      <c r="F10" s="18"/>
    </row>
    <row r="11" spans="1:6" x14ac:dyDescent="0.25">
      <c r="A11" s="4" t="s">
        <v>30</v>
      </c>
      <c r="B11" s="9" t="s">
        <v>31</v>
      </c>
      <c r="C11" s="3">
        <v>4</v>
      </c>
      <c r="D11" s="1" t="s">
        <v>32</v>
      </c>
      <c r="E11" s="25">
        <v>4</v>
      </c>
      <c r="F11" s="18"/>
    </row>
    <row r="12" spans="1:6" x14ac:dyDescent="0.25">
      <c r="A12" s="4"/>
      <c r="B12" s="9"/>
      <c r="F12" s="18"/>
    </row>
    <row r="13" spans="1:6" x14ac:dyDescent="0.25">
      <c r="A13" s="4"/>
      <c r="B13" s="9"/>
      <c r="F13" s="18"/>
    </row>
    <row r="14" spans="1:6" x14ac:dyDescent="0.25">
      <c r="A14" s="8"/>
      <c r="B14" s="12" t="s">
        <v>47</v>
      </c>
      <c r="C14" s="15"/>
      <c r="D14" s="14"/>
      <c r="F14" s="18"/>
    </row>
    <row r="15" spans="1:6" x14ac:dyDescent="0.25">
      <c r="A15" s="5" t="s">
        <v>17</v>
      </c>
      <c r="B15" s="10" t="s">
        <v>18</v>
      </c>
      <c r="C15" s="7"/>
      <c r="D15" s="2" t="s">
        <v>1</v>
      </c>
      <c r="E15" s="51">
        <f>Sheet1!R26</f>
        <v>806.85185185185173</v>
      </c>
      <c r="F15" s="18"/>
    </row>
    <row r="16" spans="1:6" x14ac:dyDescent="0.25">
      <c r="A16" s="8"/>
      <c r="B16" s="11"/>
      <c r="C16" s="13"/>
      <c r="D16" s="14"/>
      <c r="F16" s="18"/>
    </row>
    <row r="17" spans="1:8" x14ac:dyDescent="0.25">
      <c r="A17" s="8"/>
      <c r="B17" s="11"/>
      <c r="C17" s="13"/>
      <c r="D17" s="14"/>
      <c r="F17" s="18"/>
    </row>
    <row r="18" spans="1:8" x14ac:dyDescent="0.25">
      <c r="A18" s="8"/>
      <c r="B18" s="12" t="s">
        <v>48</v>
      </c>
      <c r="C18" s="13"/>
      <c r="D18" s="14"/>
      <c r="F18" s="18"/>
    </row>
    <row r="19" spans="1:8" x14ac:dyDescent="0.25">
      <c r="A19" s="8" t="s">
        <v>66</v>
      </c>
      <c r="B19" s="27" t="s">
        <v>67</v>
      </c>
      <c r="C19" s="13" t="s">
        <v>68</v>
      </c>
      <c r="D19" s="14" t="s">
        <v>0</v>
      </c>
      <c r="E19" s="32">
        <f>(8*5*1.5)/27</f>
        <v>2.2222222222222223</v>
      </c>
      <c r="F19" s="18"/>
    </row>
    <row r="20" spans="1:8" x14ac:dyDescent="0.25">
      <c r="A20" s="4" t="s">
        <v>49</v>
      </c>
      <c r="B20" s="1" t="s">
        <v>50</v>
      </c>
      <c r="C20" s="22">
        <f>0.44*2</f>
        <v>0.88</v>
      </c>
      <c r="D20" s="1" t="s">
        <v>0</v>
      </c>
      <c r="E20" s="25">
        <v>0.88</v>
      </c>
      <c r="F20" s="18" t="s">
        <v>56</v>
      </c>
    </row>
    <row r="21" spans="1:8" x14ac:dyDescent="0.25">
      <c r="A21" s="4" t="s">
        <v>43</v>
      </c>
      <c r="B21" s="9" t="s">
        <v>44</v>
      </c>
      <c r="C21" s="3">
        <f>(ROUND(((42417.93-42114.93)/25),0)+1)*4.5</f>
        <v>58.5</v>
      </c>
      <c r="D21" s="1" t="s">
        <v>27</v>
      </c>
      <c r="E21" s="25">
        <v>60</v>
      </c>
      <c r="F21" s="23" t="s">
        <v>60</v>
      </c>
      <c r="H21" s="17" t="s">
        <v>55</v>
      </c>
    </row>
    <row r="22" spans="1:8" x14ac:dyDescent="0.25">
      <c r="A22" s="26" t="s">
        <v>62</v>
      </c>
      <c r="B22" s="27" t="s">
        <v>63</v>
      </c>
      <c r="C22" s="28" t="s">
        <v>68</v>
      </c>
      <c r="D22" s="29" t="s">
        <v>27</v>
      </c>
      <c r="E22" s="30">
        <v>125</v>
      </c>
      <c r="F22" s="23"/>
      <c r="H22" s="17"/>
    </row>
    <row r="23" spans="1:8" x14ac:dyDescent="0.25">
      <c r="A23" s="8"/>
      <c r="B23" s="16"/>
      <c r="C23" s="13"/>
      <c r="D23" s="14"/>
      <c r="F23" s="18"/>
    </row>
    <row r="24" spans="1:8" x14ac:dyDescent="0.25">
      <c r="A24" s="8"/>
      <c r="B24" s="12" t="s">
        <v>46</v>
      </c>
      <c r="C24" s="13"/>
      <c r="D24" s="14"/>
      <c r="F24" s="18"/>
    </row>
    <row r="25" spans="1:8" x14ac:dyDescent="0.25">
      <c r="A25" s="8" t="s">
        <v>23</v>
      </c>
      <c r="B25" s="11" t="s">
        <v>24</v>
      </c>
      <c r="C25" s="21">
        <f>(8913.38+185.5+181.5)*0.5/27</f>
        <v>171.85888888888888</v>
      </c>
      <c r="D25" s="1" t="s">
        <v>0</v>
      </c>
      <c r="E25" s="32">
        <f>(6060*0.5)/27</f>
        <v>112.22222222222223</v>
      </c>
      <c r="F25" s="18"/>
    </row>
    <row r="26" spans="1:8" x14ac:dyDescent="0.25">
      <c r="A26" s="4" t="s">
        <v>26</v>
      </c>
      <c r="B26" s="9" t="s">
        <v>6</v>
      </c>
      <c r="C26" s="21">
        <f>(8913.38+371+363)*0.5/27</f>
        <v>178.65518518518516</v>
      </c>
      <c r="D26" s="1" t="s">
        <v>0</v>
      </c>
      <c r="E26" s="32">
        <f>((6060+1405+1416)*0.5)/27</f>
        <v>164.46296296296296</v>
      </c>
      <c r="F26" s="18"/>
    </row>
    <row r="27" spans="1:8" x14ac:dyDescent="0.25">
      <c r="A27" s="4" t="s">
        <v>25</v>
      </c>
      <c r="B27" s="9" t="s">
        <v>5</v>
      </c>
      <c r="C27" s="21">
        <f>(8913.38/9)*0.06</f>
        <v>59.422533333333327</v>
      </c>
      <c r="D27" s="1" t="s">
        <v>2</v>
      </c>
      <c r="E27" s="25">
        <v>59</v>
      </c>
      <c r="F27" s="18" t="s">
        <v>58</v>
      </c>
    </row>
    <row r="28" spans="1:8" x14ac:dyDescent="0.25">
      <c r="A28" s="8" t="s">
        <v>19</v>
      </c>
      <c r="B28" s="11" t="s">
        <v>20</v>
      </c>
      <c r="C28" s="21">
        <f>8913.38*(1.25/12)/27</f>
        <v>34.38804012345679</v>
      </c>
      <c r="D28" s="1" t="s">
        <v>0</v>
      </c>
      <c r="E28" s="32">
        <f>(6060*(1.25/12))/27</f>
        <v>23.37962962962963</v>
      </c>
      <c r="F28" s="18"/>
    </row>
    <row r="29" spans="1:8" x14ac:dyDescent="0.25">
      <c r="A29" s="8" t="s">
        <v>21</v>
      </c>
      <c r="B29" s="11" t="s">
        <v>22</v>
      </c>
      <c r="C29" s="21">
        <f>8913.38*(1.75/12)/27</f>
        <v>48.1432561728395</v>
      </c>
      <c r="D29" s="1" t="s">
        <v>0</v>
      </c>
      <c r="E29" s="32">
        <f>(6060*(1.75/12))/27</f>
        <v>32.731481481481481</v>
      </c>
      <c r="F29" s="18"/>
    </row>
    <row r="30" spans="1:8" x14ac:dyDescent="0.25">
      <c r="A30" s="1"/>
      <c r="B30" s="1"/>
      <c r="C30" s="1"/>
      <c r="F30" s="18"/>
    </row>
    <row r="31" spans="1:8" x14ac:dyDescent="0.25">
      <c r="A31" s="1"/>
      <c r="B31" s="1"/>
      <c r="C31" s="1"/>
      <c r="F31" s="18"/>
    </row>
    <row r="32" spans="1:8" x14ac:dyDescent="0.25">
      <c r="A32" s="1"/>
      <c r="B32" s="12" t="s">
        <v>54</v>
      </c>
      <c r="C32" s="1"/>
      <c r="F32" s="18"/>
    </row>
    <row r="33" spans="1:6" x14ac:dyDescent="0.25">
      <c r="A33" s="4" t="s">
        <v>40</v>
      </c>
      <c r="B33" s="9" t="s">
        <v>34</v>
      </c>
      <c r="C33" s="3">
        <v>1</v>
      </c>
      <c r="D33" s="1" t="s">
        <v>38</v>
      </c>
      <c r="E33" s="25">
        <v>1</v>
      </c>
      <c r="F33" s="23" t="s">
        <v>57</v>
      </c>
    </row>
    <row r="34" spans="1:6" x14ac:dyDescent="0.25">
      <c r="A34" s="4" t="s">
        <v>42</v>
      </c>
      <c r="B34" s="9" t="s">
        <v>36</v>
      </c>
      <c r="C34" s="3">
        <v>6</v>
      </c>
      <c r="D34" s="1" t="s">
        <v>39</v>
      </c>
      <c r="E34" s="25">
        <v>6</v>
      </c>
      <c r="F34" s="18" t="s">
        <v>59</v>
      </c>
    </row>
    <row r="35" spans="1:6" x14ac:dyDescent="0.25">
      <c r="A35" s="4" t="s">
        <v>41</v>
      </c>
      <c r="B35" s="9" t="s">
        <v>35</v>
      </c>
      <c r="C35" s="3">
        <v>1</v>
      </c>
      <c r="D35" s="1" t="s">
        <v>38</v>
      </c>
      <c r="E35" s="25">
        <v>1</v>
      </c>
      <c r="F35" s="18"/>
    </row>
    <row r="36" spans="1:6" x14ac:dyDescent="0.25">
      <c r="A36" s="4" t="s">
        <v>37</v>
      </c>
      <c r="B36" s="9" t="s">
        <v>33</v>
      </c>
      <c r="C36" s="3">
        <v>1</v>
      </c>
      <c r="D36" s="1" t="s">
        <v>38</v>
      </c>
      <c r="E36" s="25">
        <v>1</v>
      </c>
      <c r="F36" s="18"/>
    </row>
    <row r="37" spans="1:6" x14ac:dyDescent="0.25">
      <c r="A37" s="1"/>
      <c r="B37" s="1"/>
      <c r="C37" s="1"/>
    </row>
    <row r="38" spans="1:6" x14ac:dyDescent="0.25">
      <c r="A38" s="1"/>
      <c r="B38" s="1"/>
      <c r="C38" s="1"/>
    </row>
    <row r="39" spans="1:6" x14ac:dyDescent="0.25">
      <c r="A39" s="1"/>
      <c r="B39" s="1"/>
      <c r="C39" s="1"/>
    </row>
  </sheetData>
  <hyperlinks>
    <hyperlink ref="H21" r:id="rId1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FC76-BDC4-4A09-80F7-6B2DF5954262}">
  <dimension ref="A1:I47"/>
  <sheetViews>
    <sheetView tabSelected="1" topLeftCell="A19" workbookViewId="0">
      <selection activeCell="F7" sqref="F7"/>
    </sheetView>
  </sheetViews>
  <sheetFormatPr defaultRowHeight="15" x14ac:dyDescent="0.25"/>
  <cols>
    <col min="1" max="1" width="12.85546875" style="3" bestFit="1" customWidth="1"/>
    <col min="2" max="2" width="76.85546875" style="3" customWidth="1"/>
    <col min="3" max="3" width="9.140625" style="3"/>
    <col min="4" max="4" width="9.140625" style="1"/>
    <col min="5" max="5" width="11.5703125" style="25" bestFit="1" customWidth="1"/>
    <col min="6" max="6" width="11.5703125" style="70" customWidth="1"/>
    <col min="7" max="16384" width="9.140625" style="1"/>
  </cols>
  <sheetData>
    <row r="1" spans="1:7" x14ac:dyDescent="0.25">
      <c r="A1" s="19" t="s">
        <v>9</v>
      </c>
      <c r="B1" s="19" t="s">
        <v>10</v>
      </c>
      <c r="C1" s="19" t="s">
        <v>51</v>
      </c>
      <c r="D1" s="20" t="s">
        <v>52</v>
      </c>
      <c r="E1" s="24" t="s">
        <v>61</v>
      </c>
      <c r="F1" s="69"/>
      <c r="G1" s="20" t="s">
        <v>53</v>
      </c>
    </row>
    <row r="2" spans="1:7" x14ac:dyDescent="0.25">
      <c r="A2" s="1"/>
      <c r="B2" s="12" t="s">
        <v>45</v>
      </c>
    </row>
    <row r="3" spans="1:7" x14ac:dyDescent="0.25">
      <c r="A3" s="73" t="s">
        <v>11</v>
      </c>
      <c r="B3" s="9" t="s">
        <v>12</v>
      </c>
      <c r="C3" s="53">
        <f>7726.79/9</f>
        <v>858.53222222222223</v>
      </c>
      <c r="D3" s="1" t="s">
        <v>1</v>
      </c>
      <c r="E3" s="33">
        <f>6060/9</f>
        <v>673.33333333333337</v>
      </c>
      <c r="F3" s="68">
        <v>859</v>
      </c>
      <c r="G3" s="65" t="s">
        <v>110</v>
      </c>
    </row>
    <row r="4" spans="1:7" x14ac:dyDescent="0.25">
      <c r="A4" s="73" t="s">
        <v>13</v>
      </c>
      <c r="B4" s="9" t="s">
        <v>14</v>
      </c>
      <c r="C4" s="53">
        <f>352.13+327.43</f>
        <v>679.56</v>
      </c>
      <c r="D4" s="1" t="s">
        <v>27</v>
      </c>
      <c r="E4" s="25">
        <v>680</v>
      </c>
      <c r="F4" s="71"/>
      <c r="G4" s="18"/>
    </row>
    <row r="5" spans="1:7" x14ac:dyDescent="0.25">
      <c r="A5" s="73" t="s">
        <v>64</v>
      </c>
      <c r="B5" s="9" t="s">
        <v>65</v>
      </c>
      <c r="C5" s="53">
        <v>84</v>
      </c>
      <c r="D5" s="1" t="s">
        <v>27</v>
      </c>
      <c r="E5" s="25">
        <v>84</v>
      </c>
      <c r="F5" s="68"/>
      <c r="G5" s="65"/>
    </row>
    <row r="6" spans="1:7" x14ac:dyDescent="0.25">
      <c r="A6" s="8" t="s">
        <v>15</v>
      </c>
      <c r="B6" s="11" t="s">
        <v>3</v>
      </c>
      <c r="C6" s="54">
        <v>1000</v>
      </c>
      <c r="D6" s="14" t="s">
        <v>0</v>
      </c>
      <c r="E6" s="33">
        <f>Sheet1!R26</f>
        <v>806.85185185185173</v>
      </c>
      <c r="F6" s="68">
        <v>845</v>
      </c>
      <c r="G6" s="18"/>
    </row>
    <row r="7" spans="1:7" x14ac:dyDescent="0.25">
      <c r="A7" s="4" t="s">
        <v>28</v>
      </c>
      <c r="B7" s="9" t="s">
        <v>7</v>
      </c>
      <c r="C7" s="53">
        <f>(8913.38+371+363)/9</f>
        <v>1071.931111111111</v>
      </c>
      <c r="D7" s="1" t="s">
        <v>1</v>
      </c>
      <c r="E7" s="25">
        <v>1072</v>
      </c>
      <c r="G7" s="18"/>
    </row>
    <row r="8" spans="1:7" x14ac:dyDescent="0.25">
      <c r="A8" s="8" t="s">
        <v>16</v>
      </c>
      <c r="B8" s="11" t="s">
        <v>4</v>
      </c>
      <c r="C8" s="54">
        <v>2141</v>
      </c>
      <c r="D8" s="14" t="s">
        <v>0</v>
      </c>
      <c r="E8" s="33">
        <f>Sheet1!F26</f>
        <v>2141.296296296297</v>
      </c>
      <c r="F8" s="68"/>
      <c r="G8" s="65" t="s">
        <v>109</v>
      </c>
    </row>
    <row r="9" spans="1:7" x14ac:dyDescent="0.25">
      <c r="A9" s="73" t="s">
        <v>29</v>
      </c>
      <c r="B9" s="9" t="s">
        <v>8</v>
      </c>
      <c r="C9" s="53">
        <f>327.35+350.33-100</f>
        <v>577.68000000000006</v>
      </c>
      <c r="D9" s="1" t="s">
        <v>27</v>
      </c>
      <c r="E9" s="25">
        <f>578</f>
        <v>578</v>
      </c>
      <c r="F9" s="70">
        <v>475</v>
      </c>
      <c r="G9" s="65" t="s">
        <v>113</v>
      </c>
    </row>
    <row r="10" spans="1:7" x14ac:dyDescent="0.25">
      <c r="A10" s="74" t="s">
        <v>112</v>
      </c>
      <c r="B10" s="72" t="s">
        <v>31</v>
      </c>
      <c r="C10" s="55">
        <v>4</v>
      </c>
      <c r="D10" s="1" t="s">
        <v>32</v>
      </c>
      <c r="E10" s="25">
        <v>4</v>
      </c>
      <c r="G10" s="65" t="s">
        <v>111</v>
      </c>
    </row>
    <row r="11" spans="1:7" x14ac:dyDescent="0.25">
      <c r="A11" s="4"/>
      <c r="B11" s="9"/>
      <c r="G11" s="18"/>
    </row>
    <row r="12" spans="1:7" x14ac:dyDescent="0.25">
      <c r="A12" s="4"/>
      <c r="B12" s="9"/>
    </row>
    <row r="13" spans="1:7" x14ac:dyDescent="0.25">
      <c r="A13" s="8"/>
      <c r="B13" s="12" t="s">
        <v>47</v>
      </c>
      <c r="C13" s="15"/>
      <c r="D13" s="14"/>
      <c r="F13" s="64" t="s">
        <v>102</v>
      </c>
      <c r="G13" s="17" t="s">
        <v>103</v>
      </c>
    </row>
    <row r="14" spans="1:7" x14ac:dyDescent="0.25">
      <c r="A14" s="52" t="s">
        <v>93</v>
      </c>
      <c r="B14" s="11" t="s">
        <v>83</v>
      </c>
      <c r="C14" s="56">
        <v>1</v>
      </c>
      <c r="D14" s="14" t="s">
        <v>32</v>
      </c>
      <c r="E14" s="32"/>
      <c r="F14" s="66">
        <v>1</v>
      </c>
    </row>
    <row r="15" spans="1:7" x14ac:dyDescent="0.25">
      <c r="A15" s="52" t="s">
        <v>94</v>
      </c>
      <c r="B15" s="11" t="s">
        <v>84</v>
      </c>
      <c r="C15" s="56">
        <v>90</v>
      </c>
      <c r="D15" s="14" t="s">
        <v>0</v>
      </c>
      <c r="E15" s="32"/>
      <c r="F15" s="66">
        <v>90</v>
      </c>
    </row>
    <row r="16" spans="1:7" x14ac:dyDescent="0.25">
      <c r="A16" s="8" t="s">
        <v>17</v>
      </c>
      <c r="B16" s="11" t="s">
        <v>18</v>
      </c>
      <c r="C16" s="56">
        <v>807</v>
      </c>
      <c r="D16" s="14" t="s">
        <v>1</v>
      </c>
      <c r="E16" s="32">
        <f>Sheet1!R26</f>
        <v>806.85185185185173</v>
      </c>
      <c r="F16" s="66">
        <v>807</v>
      </c>
    </row>
    <row r="17" spans="1:9" x14ac:dyDescent="0.25">
      <c r="A17" s="52" t="s">
        <v>95</v>
      </c>
      <c r="B17" s="11" t="s">
        <v>85</v>
      </c>
      <c r="C17" s="56">
        <v>40</v>
      </c>
      <c r="D17" s="14" t="s">
        <v>1</v>
      </c>
      <c r="E17" s="32"/>
      <c r="F17" s="66">
        <v>40</v>
      </c>
    </row>
    <row r="18" spans="1:9" x14ac:dyDescent="0.25">
      <c r="A18" s="52" t="s">
        <v>96</v>
      </c>
      <c r="B18" s="11" t="s">
        <v>86</v>
      </c>
      <c r="C18" s="56">
        <v>40</v>
      </c>
      <c r="D18" s="14" t="s">
        <v>1</v>
      </c>
      <c r="E18" s="32"/>
      <c r="F18" s="66">
        <v>40</v>
      </c>
    </row>
    <row r="19" spans="1:9" x14ac:dyDescent="0.25">
      <c r="A19" s="52" t="s">
        <v>97</v>
      </c>
      <c r="B19" s="11" t="s">
        <v>87</v>
      </c>
      <c r="C19" s="57">
        <v>0.11</v>
      </c>
      <c r="D19" s="14" t="s">
        <v>90</v>
      </c>
      <c r="E19" s="32"/>
      <c r="F19" s="66">
        <v>0.11</v>
      </c>
    </row>
    <row r="20" spans="1:9" x14ac:dyDescent="0.25">
      <c r="A20" s="52" t="s">
        <v>98</v>
      </c>
      <c r="B20" s="11" t="s">
        <v>88</v>
      </c>
      <c r="C20" s="57">
        <v>0.17</v>
      </c>
      <c r="D20" s="14" t="s">
        <v>91</v>
      </c>
      <c r="E20" s="32"/>
      <c r="F20" s="66">
        <v>0.17</v>
      </c>
    </row>
    <row r="21" spans="1:9" x14ac:dyDescent="0.25">
      <c r="A21" s="52" t="s">
        <v>99</v>
      </c>
      <c r="B21" s="11" t="s">
        <v>89</v>
      </c>
      <c r="C21" s="56">
        <v>4</v>
      </c>
      <c r="D21" s="14" t="s">
        <v>92</v>
      </c>
      <c r="E21" s="32"/>
      <c r="F21" s="66">
        <v>4</v>
      </c>
    </row>
    <row r="22" spans="1:9" x14ac:dyDescent="0.25">
      <c r="A22" s="58" t="s">
        <v>114</v>
      </c>
      <c r="B22" s="59" t="s">
        <v>104</v>
      </c>
      <c r="C22" s="60"/>
      <c r="D22" s="61"/>
      <c r="E22" s="62"/>
      <c r="F22" s="66">
        <v>2</v>
      </c>
      <c r="G22" s="67" t="s">
        <v>105</v>
      </c>
    </row>
    <row r="23" spans="1:9" x14ac:dyDescent="0.25">
      <c r="A23" s="8"/>
      <c r="B23" s="11"/>
      <c r="C23" s="13"/>
      <c r="D23" s="14"/>
      <c r="G23" s="18"/>
    </row>
    <row r="24" spans="1:9" x14ac:dyDescent="0.25">
      <c r="A24" s="8"/>
      <c r="B24" s="12" t="s">
        <v>48</v>
      </c>
      <c r="C24" s="13"/>
      <c r="D24" s="14"/>
      <c r="G24" s="18"/>
    </row>
    <row r="25" spans="1:9" x14ac:dyDescent="0.25">
      <c r="A25" s="75" t="s">
        <v>66</v>
      </c>
      <c r="B25" s="9" t="s">
        <v>67</v>
      </c>
      <c r="C25" s="22">
        <v>5.44</v>
      </c>
      <c r="D25" s="14" t="s">
        <v>0</v>
      </c>
      <c r="E25" s="32">
        <f>(8*5*1.5)/27</f>
        <v>2.2222222222222223</v>
      </c>
      <c r="F25" s="71"/>
      <c r="G25" s="18"/>
    </row>
    <row r="26" spans="1:9" x14ac:dyDescent="0.25">
      <c r="A26" s="73" t="s">
        <v>49</v>
      </c>
      <c r="B26" s="1" t="s">
        <v>50</v>
      </c>
      <c r="C26" s="57">
        <v>1.1200000000000001</v>
      </c>
      <c r="D26" s="1" t="s">
        <v>0</v>
      </c>
      <c r="E26" s="25">
        <v>0.88</v>
      </c>
      <c r="G26" s="18" t="s">
        <v>101</v>
      </c>
    </row>
    <row r="27" spans="1:9" x14ac:dyDescent="0.25">
      <c r="A27" s="4" t="s">
        <v>43</v>
      </c>
      <c r="B27" s="9" t="s">
        <v>44</v>
      </c>
      <c r="C27" s="55">
        <v>60</v>
      </c>
      <c r="D27" s="1" t="s">
        <v>27</v>
      </c>
      <c r="E27" s="25">
        <v>60</v>
      </c>
      <c r="G27" s="23" t="s">
        <v>60</v>
      </c>
      <c r="I27" s="17" t="s">
        <v>55</v>
      </c>
    </row>
    <row r="28" spans="1:9" x14ac:dyDescent="0.25">
      <c r="A28" s="73" t="s">
        <v>62</v>
      </c>
      <c r="B28" s="9" t="s">
        <v>100</v>
      </c>
      <c r="C28" s="55">
        <v>124</v>
      </c>
      <c r="D28" s="1" t="s">
        <v>27</v>
      </c>
      <c r="E28" s="25">
        <v>124</v>
      </c>
      <c r="G28" s="23"/>
      <c r="I28" s="17"/>
    </row>
    <row r="29" spans="1:9" x14ac:dyDescent="0.25">
      <c r="A29" s="8"/>
      <c r="B29" s="16"/>
      <c r="C29" s="13"/>
      <c r="D29" s="14"/>
      <c r="G29" s="18"/>
    </row>
    <row r="30" spans="1:9" x14ac:dyDescent="0.25">
      <c r="A30" s="8"/>
      <c r="B30" s="12" t="s">
        <v>46</v>
      </c>
      <c r="C30" s="13"/>
      <c r="D30" s="14"/>
      <c r="G30" s="18"/>
    </row>
    <row r="31" spans="1:9" x14ac:dyDescent="0.25">
      <c r="A31" s="63" t="s">
        <v>106</v>
      </c>
      <c r="B31" s="59" t="s">
        <v>107</v>
      </c>
      <c r="C31" s="60"/>
      <c r="D31" s="61"/>
      <c r="E31" s="62"/>
      <c r="F31" s="68">
        <f>C7/2000</f>
        <v>0.53596555555555547</v>
      </c>
      <c r="G31" s="65" t="s">
        <v>108</v>
      </c>
    </row>
    <row r="32" spans="1:9" x14ac:dyDescent="0.25">
      <c r="A32" s="8" t="s">
        <v>23</v>
      </c>
      <c r="B32" s="11" t="s">
        <v>24</v>
      </c>
      <c r="C32" s="53">
        <f>(8913.38+185.5+181.5)*0.5/27</f>
        <v>171.85888888888888</v>
      </c>
      <c r="D32" s="1" t="s">
        <v>0</v>
      </c>
      <c r="E32" s="32">
        <f>(6060*0.5)/27</f>
        <v>112.22222222222223</v>
      </c>
      <c r="F32" s="71"/>
      <c r="G32" s="18"/>
    </row>
    <row r="33" spans="1:7" x14ac:dyDescent="0.25">
      <c r="A33" s="4" t="s">
        <v>26</v>
      </c>
      <c r="B33" s="9" t="s">
        <v>6</v>
      </c>
      <c r="C33" s="53">
        <f>(8913.38+371+363)*0.5/27</f>
        <v>178.65518518518516</v>
      </c>
      <c r="D33" s="1" t="s">
        <v>0</v>
      </c>
      <c r="E33" s="32">
        <f>((6060+1405+1416)*0.5)/27</f>
        <v>164.46296296296296</v>
      </c>
      <c r="F33" s="71"/>
      <c r="G33" s="18"/>
    </row>
    <row r="34" spans="1:7" x14ac:dyDescent="0.25">
      <c r="A34" s="4" t="s">
        <v>25</v>
      </c>
      <c r="B34" s="9" t="s">
        <v>5</v>
      </c>
      <c r="C34" s="53">
        <f>(8913.38/9)*0.06</f>
        <v>59.422533333333327</v>
      </c>
      <c r="D34" s="1" t="s">
        <v>2</v>
      </c>
      <c r="E34" s="25">
        <v>59</v>
      </c>
      <c r="G34" s="18" t="s">
        <v>58</v>
      </c>
    </row>
    <row r="35" spans="1:7" x14ac:dyDescent="0.25">
      <c r="A35" s="8" t="s">
        <v>19</v>
      </c>
      <c r="B35" s="11" t="s">
        <v>20</v>
      </c>
      <c r="C35" s="53">
        <f>8913.38*(1.25/12)/27</f>
        <v>34.38804012345679</v>
      </c>
      <c r="D35" s="1" t="s">
        <v>0</v>
      </c>
      <c r="E35" s="32">
        <f>(6060*(1.25/12))/27</f>
        <v>23.37962962962963</v>
      </c>
      <c r="F35" s="71"/>
      <c r="G35" s="18"/>
    </row>
    <row r="36" spans="1:7" x14ac:dyDescent="0.25">
      <c r="A36" s="8" t="s">
        <v>21</v>
      </c>
      <c r="B36" s="11" t="s">
        <v>22</v>
      </c>
      <c r="C36" s="53">
        <f>8913.38*(1.75/12)/27</f>
        <v>48.1432561728395</v>
      </c>
      <c r="D36" s="1" t="s">
        <v>0</v>
      </c>
      <c r="E36" s="32">
        <f>(6060*(1.75/12))/27</f>
        <v>32.731481481481481</v>
      </c>
      <c r="F36" s="71"/>
      <c r="G36" s="18"/>
    </row>
    <row r="37" spans="1:7" x14ac:dyDescent="0.25">
      <c r="A37" s="8"/>
      <c r="B37" s="11"/>
      <c r="C37" s="53"/>
      <c r="E37" s="32"/>
      <c r="F37" s="71"/>
      <c r="G37" s="18"/>
    </row>
    <row r="38" spans="1:7" x14ac:dyDescent="0.25">
      <c r="A38" s="1"/>
      <c r="B38" s="1"/>
      <c r="C38" s="1"/>
      <c r="G38" s="18"/>
    </row>
    <row r="39" spans="1:7" x14ac:dyDescent="0.25">
      <c r="A39" s="1"/>
      <c r="B39" s="1"/>
      <c r="C39" s="1"/>
      <c r="G39" s="18"/>
    </row>
    <row r="40" spans="1:7" x14ac:dyDescent="0.25">
      <c r="A40" s="1"/>
      <c r="B40" s="12" t="s">
        <v>54</v>
      </c>
      <c r="C40" s="1"/>
      <c r="G40" s="18"/>
    </row>
    <row r="41" spans="1:7" x14ac:dyDescent="0.25">
      <c r="A41" s="4" t="s">
        <v>40</v>
      </c>
      <c r="B41" s="9" t="s">
        <v>34</v>
      </c>
      <c r="C41" s="55">
        <v>1</v>
      </c>
      <c r="D41" s="1" t="s">
        <v>38</v>
      </c>
      <c r="E41" s="25">
        <v>1</v>
      </c>
      <c r="G41" s="23" t="s">
        <v>57</v>
      </c>
    </row>
    <row r="42" spans="1:7" x14ac:dyDescent="0.25">
      <c r="A42" s="4" t="s">
        <v>42</v>
      </c>
      <c r="B42" s="9" t="s">
        <v>36</v>
      </c>
      <c r="C42" s="55">
        <v>6</v>
      </c>
      <c r="D42" s="1" t="s">
        <v>39</v>
      </c>
      <c r="E42" s="25">
        <v>6</v>
      </c>
      <c r="G42" s="18" t="s">
        <v>59</v>
      </c>
    </row>
    <row r="43" spans="1:7" x14ac:dyDescent="0.25">
      <c r="A43" s="4" t="s">
        <v>41</v>
      </c>
      <c r="B43" s="9" t="s">
        <v>35</v>
      </c>
      <c r="C43" s="55">
        <v>1</v>
      </c>
      <c r="D43" s="1" t="s">
        <v>38</v>
      </c>
      <c r="E43" s="25">
        <v>1</v>
      </c>
      <c r="G43" s="18"/>
    </row>
    <row r="44" spans="1:7" x14ac:dyDescent="0.25">
      <c r="A44" s="4" t="s">
        <v>37</v>
      </c>
      <c r="B44" s="9" t="s">
        <v>33</v>
      </c>
      <c r="C44" s="55">
        <v>1</v>
      </c>
      <c r="D44" s="1" t="s">
        <v>38</v>
      </c>
      <c r="E44" s="25">
        <v>1</v>
      </c>
      <c r="G44" s="18"/>
    </row>
    <row r="45" spans="1:7" x14ac:dyDescent="0.25">
      <c r="A45" s="1"/>
      <c r="B45" s="1"/>
      <c r="C45" s="1"/>
    </row>
    <row r="46" spans="1:7" x14ac:dyDescent="0.25">
      <c r="A46" s="1"/>
      <c r="B46" s="1"/>
      <c r="C46" s="1"/>
    </row>
    <row r="47" spans="1:7" x14ac:dyDescent="0.25">
      <c r="A47" s="1"/>
      <c r="B47" s="1"/>
      <c r="C47" s="1"/>
    </row>
  </sheetData>
  <hyperlinks>
    <hyperlink ref="I27" r:id="rId1" xr:uid="{FCB3B223-8905-4B57-9B70-27C0EFC13A57}"/>
    <hyperlink ref="G13" r:id="rId2" xr:uid="{796C57CB-20AD-4C0E-AA93-D88BA3DC4896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6"/>
  <sheetViews>
    <sheetView workbookViewId="0">
      <selection activeCell="G20" sqref="G20"/>
    </sheetView>
  </sheetViews>
  <sheetFormatPr defaultRowHeight="15" x14ac:dyDescent="0.25"/>
  <cols>
    <col min="1" max="1" width="9.140625" style="3"/>
    <col min="2" max="2" width="11.140625" style="3" customWidth="1"/>
    <col min="3" max="3" width="11.42578125" style="3" customWidth="1"/>
    <col min="4" max="4" width="11" style="3" customWidth="1"/>
    <col min="5" max="5" width="12.140625" style="3" bestFit="1" customWidth="1"/>
    <col min="6" max="6" width="12.42578125" style="3" bestFit="1" customWidth="1"/>
    <col min="7" max="10" width="9.140625" style="3"/>
    <col min="11" max="11" width="12.140625" style="3" bestFit="1" customWidth="1"/>
    <col min="12" max="12" width="12.42578125" style="3" bestFit="1" customWidth="1"/>
    <col min="13" max="16" width="9.140625" style="3"/>
    <col min="17" max="17" width="12.140625" style="3" bestFit="1" customWidth="1"/>
    <col min="18" max="18" width="12.42578125" style="3" bestFit="1" customWidth="1"/>
    <col min="19" max="16384" width="9.140625" style="3"/>
  </cols>
  <sheetData>
    <row r="1" spans="2:18" ht="15.75" thickBot="1" x14ac:dyDescent="0.3"/>
    <row r="2" spans="2:18" ht="15.75" thickBot="1" x14ac:dyDescent="0.3">
      <c r="B2" s="76" t="s">
        <v>79</v>
      </c>
      <c r="C2" s="77"/>
      <c r="D2" s="77"/>
      <c r="E2" s="77"/>
      <c r="F2" s="78"/>
      <c r="H2" s="76" t="s">
        <v>3</v>
      </c>
      <c r="I2" s="77"/>
      <c r="J2" s="77"/>
      <c r="K2" s="77"/>
      <c r="L2" s="78"/>
      <c r="N2" s="76" t="s">
        <v>82</v>
      </c>
      <c r="O2" s="77"/>
      <c r="P2" s="77"/>
      <c r="Q2" s="77"/>
      <c r="R2" s="78"/>
    </row>
    <row r="3" spans="2:18" x14ac:dyDescent="0.25">
      <c r="B3" s="37" t="s">
        <v>76</v>
      </c>
      <c r="C3" s="38" t="s">
        <v>71</v>
      </c>
      <c r="D3" s="38" t="s">
        <v>72</v>
      </c>
      <c r="E3" s="38" t="s">
        <v>74</v>
      </c>
      <c r="F3" s="39" t="s">
        <v>75</v>
      </c>
      <c r="H3" s="37" t="s">
        <v>76</v>
      </c>
      <c r="I3" s="38" t="s">
        <v>71</v>
      </c>
      <c r="J3" s="38" t="s">
        <v>77</v>
      </c>
      <c r="K3" s="38" t="s">
        <v>74</v>
      </c>
      <c r="L3" s="39" t="s">
        <v>75</v>
      </c>
      <c r="N3" s="37" t="s">
        <v>76</v>
      </c>
      <c r="O3" s="38" t="s">
        <v>71</v>
      </c>
      <c r="P3" s="38" t="s">
        <v>80</v>
      </c>
      <c r="Q3" s="38" t="s">
        <v>73</v>
      </c>
      <c r="R3" s="39" t="s">
        <v>81</v>
      </c>
    </row>
    <row r="4" spans="2:18" x14ac:dyDescent="0.25">
      <c r="B4" s="40">
        <v>42050</v>
      </c>
      <c r="C4" s="41"/>
      <c r="D4" s="41">
        <v>0</v>
      </c>
      <c r="E4" s="41"/>
      <c r="F4" s="42"/>
      <c r="H4" s="40">
        <v>42050</v>
      </c>
      <c r="I4" s="41"/>
      <c r="J4" s="41"/>
      <c r="K4" s="41"/>
      <c r="L4" s="42"/>
      <c r="N4" s="40">
        <v>42050</v>
      </c>
      <c r="O4" s="41"/>
      <c r="P4" s="41">
        <v>0</v>
      </c>
      <c r="Q4" s="41"/>
      <c r="R4" s="42"/>
    </row>
    <row r="5" spans="2:18" x14ac:dyDescent="0.25">
      <c r="B5" s="35"/>
      <c r="C5" s="34">
        <f>B6-B4</f>
        <v>50</v>
      </c>
      <c r="D5" s="34"/>
      <c r="E5" s="34">
        <f>C5*((D6+D4)/2)</f>
        <v>175</v>
      </c>
      <c r="F5" s="48">
        <f>E5/27</f>
        <v>6.4814814814814818</v>
      </c>
      <c r="H5" s="35"/>
      <c r="I5" s="34">
        <f>H6-H4</f>
        <v>50</v>
      </c>
      <c r="J5" s="34"/>
      <c r="K5" s="34">
        <f>I5*((J6+J4)/2)</f>
        <v>0</v>
      </c>
      <c r="L5" s="36">
        <f>K5/27</f>
        <v>0</v>
      </c>
      <c r="N5" s="35"/>
      <c r="O5" s="34">
        <f>N6-N4</f>
        <v>50</v>
      </c>
      <c r="P5" s="34"/>
      <c r="Q5" s="34">
        <f>O5*((P6+P4)/2)</f>
        <v>257.5</v>
      </c>
      <c r="R5" s="48">
        <f>Q5/9</f>
        <v>28.611111111111111</v>
      </c>
    </row>
    <row r="6" spans="2:18" x14ac:dyDescent="0.25">
      <c r="B6" s="40">
        <f>B4+50</f>
        <v>42100</v>
      </c>
      <c r="C6" s="41"/>
      <c r="D6" s="41">
        <v>7</v>
      </c>
      <c r="E6" s="41"/>
      <c r="F6" s="49"/>
      <c r="H6" s="40">
        <f>H4+50</f>
        <v>42100</v>
      </c>
      <c r="I6" s="41"/>
      <c r="J6" s="41"/>
      <c r="K6" s="41"/>
      <c r="L6" s="42"/>
      <c r="N6" s="40">
        <f>N4+50</f>
        <v>42100</v>
      </c>
      <c r="O6" s="41"/>
      <c r="P6" s="41">
        <v>10.3</v>
      </c>
      <c r="Q6" s="41"/>
      <c r="R6" s="49"/>
    </row>
    <row r="7" spans="2:18" x14ac:dyDescent="0.25">
      <c r="B7" s="35"/>
      <c r="C7" s="34">
        <f t="shared" ref="C7:C23" si="0">B8-B6</f>
        <v>50</v>
      </c>
      <c r="D7" s="34"/>
      <c r="E7" s="34">
        <f t="shared" ref="E7:E23" si="1">C7*((D8+D6)/2)</f>
        <v>2875</v>
      </c>
      <c r="F7" s="48">
        <f>E7/27</f>
        <v>106.48148148148148</v>
      </c>
      <c r="H7" s="35"/>
      <c r="I7" s="34">
        <f t="shared" ref="I7:I23" si="2">H8-H6</f>
        <v>50</v>
      </c>
      <c r="J7" s="34"/>
      <c r="K7" s="34">
        <f t="shared" ref="K7" si="3">I7*((J8+J6)/2)</f>
        <v>0</v>
      </c>
      <c r="L7" s="36">
        <f>K7/27</f>
        <v>0</v>
      </c>
      <c r="N7" s="35"/>
      <c r="O7" s="34">
        <f t="shared" ref="O7:O23" si="4">N8-N6</f>
        <v>50</v>
      </c>
      <c r="P7" s="34"/>
      <c r="Q7" s="34">
        <f t="shared" ref="Q7" si="5">O7*((P8+P6)/2)</f>
        <v>1557.5</v>
      </c>
      <c r="R7" s="48">
        <f>Q7/27</f>
        <v>57.685185185185183</v>
      </c>
    </row>
    <row r="8" spans="2:18" x14ac:dyDescent="0.25">
      <c r="B8" s="40">
        <f>B6+50</f>
        <v>42150</v>
      </c>
      <c r="C8" s="41"/>
      <c r="D8" s="41">
        <v>108</v>
      </c>
      <c r="E8" s="41"/>
      <c r="F8" s="49"/>
      <c r="H8" s="40">
        <f>H6+50</f>
        <v>42150</v>
      </c>
      <c r="I8" s="41"/>
      <c r="J8" s="41"/>
      <c r="K8" s="41"/>
      <c r="L8" s="42"/>
      <c r="N8" s="40">
        <f>N6+50</f>
        <v>42150</v>
      </c>
      <c r="O8" s="41"/>
      <c r="P8" s="41">
        <v>52</v>
      </c>
      <c r="Q8" s="41"/>
      <c r="R8" s="49"/>
    </row>
    <row r="9" spans="2:18" x14ac:dyDescent="0.25">
      <c r="B9" s="35"/>
      <c r="C9" s="34">
        <f t="shared" si="0"/>
        <v>50</v>
      </c>
      <c r="D9" s="34"/>
      <c r="E9" s="34">
        <f t="shared" si="1"/>
        <v>6732.5</v>
      </c>
      <c r="F9" s="48">
        <f>E9/27</f>
        <v>249.35185185185185</v>
      </c>
      <c r="H9" s="35"/>
      <c r="I9" s="34">
        <f t="shared" si="2"/>
        <v>50</v>
      </c>
      <c r="J9" s="34"/>
      <c r="K9" s="34">
        <f t="shared" ref="K9" si="6">I9*((J10+J8)/2)</f>
        <v>0</v>
      </c>
      <c r="L9" s="36">
        <f>K9/27</f>
        <v>0</v>
      </c>
      <c r="N9" s="35"/>
      <c r="O9" s="34">
        <f t="shared" si="4"/>
        <v>50</v>
      </c>
      <c r="P9" s="34"/>
      <c r="Q9" s="34">
        <f t="shared" ref="Q9" si="7">O9*((P10+P8)/2)</f>
        <v>3300</v>
      </c>
      <c r="R9" s="48">
        <f>Q9/27</f>
        <v>122.22222222222223</v>
      </c>
    </row>
    <row r="10" spans="2:18" x14ac:dyDescent="0.25">
      <c r="B10" s="40">
        <f>B8+50</f>
        <v>42200</v>
      </c>
      <c r="C10" s="41"/>
      <c r="D10" s="41">
        <v>161.30000000000001</v>
      </c>
      <c r="E10" s="41"/>
      <c r="F10" s="49"/>
      <c r="H10" s="40">
        <f>H8+50</f>
        <v>42200</v>
      </c>
      <c r="I10" s="41"/>
      <c r="J10" s="41"/>
      <c r="K10" s="41"/>
      <c r="L10" s="42"/>
      <c r="N10" s="40">
        <f>N8+50</f>
        <v>42200</v>
      </c>
      <c r="O10" s="41"/>
      <c r="P10" s="41">
        <v>80</v>
      </c>
      <c r="Q10" s="41"/>
      <c r="R10" s="49"/>
    </row>
    <row r="11" spans="2:18" x14ac:dyDescent="0.25">
      <c r="B11" s="35"/>
      <c r="C11" s="34">
        <f t="shared" si="0"/>
        <v>50</v>
      </c>
      <c r="D11" s="34"/>
      <c r="E11" s="34">
        <f t="shared" si="1"/>
        <v>17260.000000000004</v>
      </c>
      <c r="F11" s="48">
        <f>E11/27</f>
        <v>639.25925925925935</v>
      </c>
      <c r="H11" s="35"/>
      <c r="I11" s="34">
        <f t="shared" si="2"/>
        <v>50</v>
      </c>
      <c r="J11" s="34"/>
      <c r="K11" s="34">
        <f t="shared" ref="K11" si="8">I11*((J12+J10)/2)</f>
        <v>0</v>
      </c>
      <c r="L11" s="36">
        <f>K11/27</f>
        <v>0</v>
      </c>
      <c r="N11" s="35"/>
      <c r="O11" s="34">
        <f t="shared" si="4"/>
        <v>50</v>
      </c>
      <c r="P11" s="34"/>
      <c r="Q11" s="34">
        <f t="shared" ref="Q11" si="9">O11*((P12+P10)/2)</f>
        <v>4697.5</v>
      </c>
      <c r="R11" s="48">
        <f>Q11/27</f>
        <v>173.9814814814815</v>
      </c>
    </row>
    <row r="12" spans="2:18" x14ac:dyDescent="0.25">
      <c r="B12" s="40">
        <f>B10+50</f>
        <v>42250</v>
      </c>
      <c r="C12" s="41"/>
      <c r="D12" s="41">
        <v>529.1</v>
      </c>
      <c r="E12" s="41"/>
      <c r="F12" s="49"/>
      <c r="H12" s="40">
        <f>H10+50</f>
        <v>42250</v>
      </c>
      <c r="I12" s="41"/>
      <c r="J12" s="41"/>
      <c r="K12" s="41"/>
      <c r="L12" s="42"/>
      <c r="N12" s="40">
        <f>N10+50</f>
        <v>42250</v>
      </c>
      <c r="O12" s="41"/>
      <c r="P12" s="41">
        <v>107.9</v>
      </c>
      <c r="Q12" s="41"/>
      <c r="R12" s="49"/>
    </row>
    <row r="13" spans="2:18" x14ac:dyDescent="0.25">
      <c r="B13" s="35"/>
      <c r="C13" s="34">
        <f t="shared" si="0"/>
        <v>50</v>
      </c>
      <c r="D13" s="34"/>
      <c r="E13" s="34">
        <f t="shared" si="1"/>
        <v>18975</v>
      </c>
      <c r="F13" s="48">
        <f>E13/27</f>
        <v>702.77777777777783</v>
      </c>
      <c r="H13" s="35"/>
      <c r="I13" s="34">
        <f t="shared" si="2"/>
        <v>50</v>
      </c>
      <c r="J13" s="34"/>
      <c r="K13" s="34">
        <f t="shared" ref="K13" si="10">I13*((J14+J12)/2)</f>
        <v>0</v>
      </c>
      <c r="L13" s="36">
        <f>K13/27</f>
        <v>0</v>
      </c>
      <c r="N13" s="35"/>
      <c r="O13" s="34">
        <f t="shared" si="4"/>
        <v>50</v>
      </c>
      <c r="P13" s="34"/>
      <c r="Q13" s="34">
        <f t="shared" ref="Q13" si="11">O13*((P14+P12)/2)</f>
        <v>4850</v>
      </c>
      <c r="R13" s="48">
        <f>Q13/27</f>
        <v>179.62962962962962</v>
      </c>
    </row>
    <row r="14" spans="2:18" x14ac:dyDescent="0.25">
      <c r="B14" s="40">
        <f>B12+50</f>
        <v>42300</v>
      </c>
      <c r="C14" s="41"/>
      <c r="D14" s="41">
        <v>229.9</v>
      </c>
      <c r="E14" s="41"/>
      <c r="F14" s="49"/>
      <c r="H14" s="40">
        <f>H12+50</f>
        <v>42300</v>
      </c>
      <c r="I14" s="41"/>
      <c r="J14" s="41"/>
      <c r="K14" s="41"/>
      <c r="L14" s="42"/>
      <c r="N14" s="40">
        <f>N12+50</f>
        <v>42300</v>
      </c>
      <c r="O14" s="41"/>
      <c r="P14" s="41">
        <v>86.1</v>
      </c>
      <c r="Q14" s="41"/>
      <c r="R14" s="49"/>
    </row>
    <row r="15" spans="2:18" x14ac:dyDescent="0.25">
      <c r="B15" s="35"/>
      <c r="C15" s="34">
        <f t="shared" si="0"/>
        <v>50</v>
      </c>
      <c r="D15" s="34"/>
      <c r="E15" s="34">
        <f t="shared" si="1"/>
        <v>7667.5</v>
      </c>
      <c r="F15" s="48">
        <f>E15/27</f>
        <v>283.98148148148147</v>
      </c>
      <c r="H15" s="35"/>
      <c r="I15" s="34">
        <f t="shared" si="2"/>
        <v>50</v>
      </c>
      <c r="J15" s="34"/>
      <c r="K15" s="34">
        <f t="shared" ref="K15" si="12">I15*((J16+J14)/2)</f>
        <v>0</v>
      </c>
      <c r="L15" s="36">
        <f>K15/27</f>
        <v>0</v>
      </c>
      <c r="N15" s="35"/>
      <c r="O15" s="34">
        <f t="shared" si="4"/>
        <v>50</v>
      </c>
      <c r="P15" s="34"/>
      <c r="Q15" s="34">
        <f t="shared" ref="Q15" si="13">O15*((P16+P14)/2)</f>
        <v>3290</v>
      </c>
      <c r="R15" s="48">
        <f>Q15/27</f>
        <v>121.85185185185185</v>
      </c>
    </row>
    <row r="16" spans="2:18" x14ac:dyDescent="0.25">
      <c r="B16" s="40">
        <f>B14+50</f>
        <v>42350</v>
      </c>
      <c r="C16" s="41"/>
      <c r="D16" s="41">
        <v>76.8</v>
      </c>
      <c r="E16" s="41"/>
      <c r="F16" s="49"/>
      <c r="H16" s="40">
        <f>H14+50</f>
        <v>42350</v>
      </c>
      <c r="I16" s="41"/>
      <c r="J16" s="41"/>
      <c r="K16" s="41"/>
      <c r="L16" s="42"/>
      <c r="N16" s="40">
        <f>N14+50</f>
        <v>42350</v>
      </c>
      <c r="O16" s="41"/>
      <c r="P16" s="41">
        <v>45.5</v>
      </c>
      <c r="Q16" s="41"/>
      <c r="R16" s="49"/>
    </row>
    <row r="17" spans="2:18" x14ac:dyDescent="0.25">
      <c r="B17" s="35"/>
      <c r="C17" s="34">
        <f t="shared" si="0"/>
        <v>50</v>
      </c>
      <c r="D17" s="34"/>
      <c r="E17" s="34">
        <f t="shared" si="1"/>
        <v>2525</v>
      </c>
      <c r="F17" s="48">
        <f>E17/27</f>
        <v>93.518518518518519</v>
      </c>
      <c r="H17" s="35"/>
      <c r="I17" s="34">
        <f t="shared" si="2"/>
        <v>50</v>
      </c>
      <c r="J17" s="34"/>
      <c r="K17" s="34">
        <f t="shared" ref="K17" si="14">I17*((J18+J16)/2)</f>
        <v>0</v>
      </c>
      <c r="L17" s="36">
        <f>K17/27</f>
        <v>0</v>
      </c>
      <c r="N17" s="35"/>
      <c r="O17" s="34">
        <f t="shared" si="4"/>
        <v>50</v>
      </c>
      <c r="P17" s="34"/>
      <c r="Q17" s="34">
        <f t="shared" ref="Q17" si="15">O17*((P18+P16)/2)</f>
        <v>1975</v>
      </c>
      <c r="R17" s="48">
        <f>Q17/27</f>
        <v>73.148148148148152</v>
      </c>
    </row>
    <row r="18" spans="2:18" x14ac:dyDescent="0.25">
      <c r="B18" s="40">
        <f>B16+50</f>
        <v>42400</v>
      </c>
      <c r="C18" s="41"/>
      <c r="D18" s="41">
        <v>24.2</v>
      </c>
      <c r="E18" s="41"/>
      <c r="F18" s="49"/>
      <c r="H18" s="40">
        <f>H16+50</f>
        <v>42400</v>
      </c>
      <c r="I18" s="41"/>
      <c r="J18" s="41"/>
      <c r="K18" s="41"/>
      <c r="L18" s="42"/>
      <c r="N18" s="40">
        <f>N16+50</f>
        <v>42400</v>
      </c>
      <c r="O18" s="41"/>
      <c r="P18" s="41">
        <v>33.5</v>
      </c>
      <c r="Q18" s="41"/>
      <c r="R18" s="49"/>
    </row>
    <row r="19" spans="2:18" x14ac:dyDescent="0.25">
      <c r="B19" s="35"/>
      <c r="C19" s="34">
        <f t="shared" si="0"/>
        <v>50</v>
      </c>
      <c r="D19" s="34"/>
      <c r="E19" s="34">
        <f t="shared" si="1"/>
        <v>1105</v>
      </c>
      <c r="F19" s="48">
        <f>E19/27</f>
        <v>40.925925925925924</v>
      </c>
      <c r="H19" s="35"/>
      <c r="I19" s="34">
        <f t="shared" si="2"/>
        <v>50</v>
      </c>
      <c r="J19" s="34"/>
      <c r="K19" s="34">
        <f t="shared" ref="K19" si="16">I19*((J20+J18)/2)</f>
        <v>0</v>
      </c>
      <c r="L19" s="36">
        <f>K19/27</f>
        <v>0</v>
      </c>
      <c r="N19" s="35"/>
      <c r="O19" s="34">
        <f t="shared" si="4"/>
        <v>50</v>
      </c>
      <c r="P19" s="34"/>
      <c r="Q19" s="34">
        <f t="shared" ref="Q19" si="17">O19*((P20+P18)/2)</f>
        <v>1090</v>
      </c>
      <c r="R19" s="48">
        <f>Q19/27</f>
        <v>40.370370370370374</v>
      </c>
    </row>
    <row r="20" spans="2:18" x14ac:dyDescent="0.25">
      <c r="B20" s="40">
        <f>B18+50</f>
        <v>42450</v>
      </c>
      <c r="C20" s="41"/>
      <c r="D20" s="41">
        <v>20</v>
      </c>
      <c r="E20" s="41"/>
      <c r="F20" s="49"/>
      <c r="H20" s="40">
        <f>H18+50</f>
        <v>42450</v>
      </c>
      <c r="I20" s="41"/>
      <c r="J20" s="41"/>
      <c r="K20" s="41"/>
      <c r="L20" s="42"/>
      <c r="N20" s="40">
        <f>N18+50</f>
        <v>42450</v>
      </c>
      <c r="O20" s="41"/>
      <c r="P20" s="41">
        <v>10.1</v>
      </c>
      <c r="Q20" s="41"/>
      <c r="R20" s="49"/>
    </row>
    <row r="21" spans="2:18" x14ac:dyDescent="0.25">
      <c r="B21" s="35"/>
      <c r="C21" s="34">
        <f t="shared" si="0"/>
        <v>50</v>
      </c>
      <c r="D21" s="34"/>
      <c r="E21" s="34">
        <f t="shared" si="1"/>
        <v>500</v>
      </c>
      <c r="F21" s="48">
        <f>E21/27</f>
        <v>18.518518518518519</v>
      </c>
      <c r="H21" s="35"/>
      <c r="I21" s="34">
        <f t="shared" si="2"/>
        <v>50</v>
      </c>
      <c r="J21" s="34"/>
      <c r="K21" s="34">
        <f t="shared" ref="K21" si="18">I21*((J22+J20)/2)</f>
        <v>0</v>
      </c>
      <c r="L21" s="36">
        <f>K21/27</f>
        <v>0</v>
      </c>
      <c r="N21" s="35"/>
      <c r="O21" s="34">
        <f t="shared" si="4"/>
        <v>50</v>
      </c>
      <c r="P21" s="34"/>
      <c r="Q21" s="34">
        <f t="shared" ref="Q21" si="19">O21*((P22+P20)/2)</f>
        <v>252.5</v>
      </c>
      <c r="R21" s="48">
        <f>Q21/27</f>
        <v>9.3518518518518512</v>
      </c>
    </row>
    <row r="22" spans="2:18" x14ac:dyDescent="0.25">
      <c r="B22" s="40">
        <f>B20+50</f>
        <v>42500</v>
      </c>
      <c r="C22" s="41"/>
      <c r="D22" s="41">
        <v>0</v>
      </c>
      <c r="E22" s="41"/>
      <c r="F22" s="49"/>
      <c r="H22" s="40">
        <f>H20+50</f>
        <v>42500</v>
      </c>
      <c r="I22" s="41"/>
      <c r="J22" s="41"/>
      <c r="K22" s="41"/>
      <c r="L22" s="42"/>
      <c r="N22" s="40">
        <f>N20+50</f>
        <v>42500</v>
      </c>
      <c r="O22" s="41"/>
      <c r="P22" s="41"/>
      <c r="Q22" s="41"/>
      <c r="R22" s="49"/>
    </row>
    <row r="23" spans="2:18" x14ac:dyDescent="0.25">
      <c r="B23" s="35"/>
      <c r="C23" s="34">
        <f t="shared" si="0"/>
        <v>50</v>
      </c>
      <c r="D23" s="34"/>
      <c r="E23" s="34">
        <f t="shared" si="1"/>
        <v>0</v>
      </c>
      <c r="F23" s="48">
        <f>E23/27</f>
        <v>0</v>
      </c>
      <c r="H23" s="35"/>
      <c r="I23" s="34">
        <f t="shared" si="2"/>
        <v>50</v>
      </c>
      <c r="J23" s="34"/>
      <c r="K23" s="34">
        <f t="shared" ref="K23" si="20">I23*((J24+J22)/2)</f>
        <v>0</v>
      </c>
      <c r="L23" s="36">
        <f>K23/27</f>
        <v>0</v>
      </c>
      <c r="N23" s="35"/>
      <c r="O23" s="34">
        <f t="shared" si="4"/>
        <v>50</v>
      </c>
      <c r="P23" s="34"/>
      <c r="Q23" s="34">
        <f t="shared" ref="Q23" si="21">O23*((P24+P22)/2)</f>
        <v>0</v>
      </c>
      <c r="R23" s="48">
        <f>Q23/27</f>
        <v>0</v>
      </c>
    </row>
    <row r="24" spans="2:18" x14ac:dyDescent="0.25">
      <c r="B24" s="40">
        <f t="shared" ref="B24" si="22">B22+50</f>
        <v>42550</v>
      </c>
      <c r="C24" s="41"/>
      <c r="D24" s="41">
        <v>0</v>
      </c>
      <c r="E24" s="41"/>
      <c r="F24" s="42"/>
      <c r="H24" s="40">
        <f t="shared" ref="H24" si="23">H22+50</f>
        <v>42550</v>
      </c>
      <c r="I24" s="41"/>
      <c r="J24" s="41"/>
      <c r="K24" s="41"/>
      <c r="L24" s="42"/>
      <c r="N24" s="40">
        <f t="shared" ref="N24" si="24">N22+50</f>
        <v>42550</v>
      </c>
      <c r="O24" s="41"/>
      <c r="P24" s="41"/>
      <c r="Q24" s="41"/>
      <c r="R24" s="42"/>
    </row>
    <row r="25" spans="2:18" x14ac:dyDescent="0.25">
      <c r="B25" s="35"/>
      <c r="C25" s="34"/>
      <c r="D25" s="34"/>
      <c r="E25" s="34"/>
      <c r="F25" s="36"/>
      <c r="H25" s="35"/>
      <c r="I25" s="34"/>
      <c r="J25" s="34"/>
      <c r="K25" s="34"/>
      <c r="L25" s="36"/>
      <c r="N25" s="35"/>
      <c r="O25" s="34"/>
      <c r="P25" s="34"/>
      <c r="Q25" s="34"/>
      <c r="R25" s="36"/>
    </row>
    <row r="26" spans="2:18" ht="15.75" thickBot="1" x14ac:dyDescent="0.3">
      <c r="B26" s="43"/>
      <c r="C26" s="44"/>
      <c r="D26" s="44"/>
      <c r="E26" s="44" t="s">
        <v>78</v>
      </c>
      <c r="F26" s="47">
        <f>SUM(F5:F24)</f>
        <v>2141.296296296297</v>
      </c>
      <c r="H26" s="43"/>
      <c r="I26" s="44"/>
      <c r="J26" s="44"/>
      <c r="K26" s="44" t="s">
        <v>78</v>
      </c>
      <c r="L26" s="45">
        <f>SUM(L5:L24)</f>
        <v>0</v>
      </c>
      <c r="N26" s="43"/>
      <c r="O26" s="44"/>
      <c r="P26" s="44"/>
      <c r="Q26" s="44" t="s">
        <v>78</v>
      </c>
      <c r="R26" s="46">
        <f>SUM(R5:R24)</f>
        <v>806.85185185185173</v>
      </c>
    </row>
  </sheetData>
  <mergeCells count="3">
    <mergeCell ref="B2:F2"/>
    <mergeCell ref="H2:L2"/>
    <mergeCell ref="N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STAGE 1 QUANTITIES</vt:lpstr>
      <vt:lpstr>STAGE 2 QUANTITIES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2025-01-02T17:39:22Z</dcterms:modified>
</cp:coreProperties>
</file>