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\60\08342\105792_BRIDGE_REDECK\Design\Roadway\EngData\Spreadsheets\"/>
    </mc:Choice>
  </mc:AlternateContent>
  <bookViews>
    <workbookView xWindow="-15" yWindow="7755" windowWidth="23970" windowHeight="7815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CALCS'!#REF!</definedName>
    <definedName name="ITEM">[1]QryItemAddIn2!$A:$A</definedName>
    <definedName name="_xlnm.Print_Area" localSheetId="0">'PAVEMENT CALCS'!$D$14:$AE$331</definedName>
    <definedName name="QryItemNamed">[1]QryItemAddIn2!$A:$G</definedName>
  </definedNames>
  <calcPr calcId="162913"/>
</workbook>
</file>

<file path=xl/calcChain.xml><?xml version="1.0" encoding="utf-8"?>
<calcChain xmlns="http://schemas.openxmlformats.org/spreadsheetml/2006/main">
  <c r="P331" i="1" l="1"/>
  <c r="L164" i="1"/>
  <c r="P166" i="1"/>
  <c r="L166" i="1"/>
  <c r="Y166" i="1"/>
  <c r="P276" i="1"/>
  <c r="P272" i="1"/>
  <c r="P250" i="1"/>
  <c r="P168" i="1"/>
  <c r="P169" i="1" s="1"/>
  <c r="P274" i="1" s="1"/>
  <c r="I166" i="1"/>
  <c r="P270" i="1"/>
  <c r="P258" i="1"/>
  <c r="P257" i="1"/>
  <c r="P189" i="1"/>
  <c r="P177" i="1"/>
  <c r="P176" i="1"/>
  <c r="P108" i="1"/>
  <c r="P96" i="1"/>
  <c r="P95" i="1"/>
  <c r="P27" i="1"/>
  <c r="P15" i="1"/>
  <c r="P14" i="1"/>
  <c r="AA166" i="1"/>
  <c r="X14" i="1"/>
  <c r="X15" i="1"/>
  <c r="X27" i="1"/>
  <c r="X87" i="1"/>
  <c r="X88" i="1" s="1"/>
  <c r="X272" i="1" s="1"/>
  <c r="X95" i="1"/>
  <c r="X96" i="1"/>
  <c r="X108" i="1"/>
  <c r="X168" i="1"/>
  <c r="X176" i="1"/>
  <c r="X177" i="1"/>
  <c r="X189" i="1"/>
  <c r="X249" i="1"/>
  <c r="X250" i="1"/>
  <c r="X276" i="1" s="1"/>
  <c r="X257" i="1"/>
  <c r="X258" i="1"/>
  <c r="X270" i="1"/>
  <c r="X274" i="1"/>
  <c r="X331" i="1" l="1"/>
  <c r="S169" i="1"/>
  <c r="AB169" i="1"/>
  <c r="U87" i="1"/>
  <c r="U88" i="1" s="1"/>
  <c r="T194" i="1"/>
  <c r="T193" i="1"/>
  <c r="T192" i="1"/>
  <c r="T164" i="1"/>
  <c r="T161" i="1"/>
  <c r="T154" i="1"/>
  <c r="T147" i="1"/>
  <c r="T134" i="1"/>
  <c r="T163" i="1"/>
  <c r="T160" i="1"/>
  <c r="T156" i="1"/>
  <c r="T151" i="1"/>
  <c r="T150" i="1"/>
  <c r="T146" i="1"/>
  <c r="T145" i="1"/>
  <c r="T142" i="1"/>
  <c r="T141" i="1"/>
  <c r="T138" i="1"/>
  <c r="T137" i="1"/>
  <c r="T133" i="1"/>
  <c r="T132" i="1"/>
  <c r="T129" i="1"/>
  <c r="T128" i="1"/>
  <c r="T125" i="1"/>
  <c r="T124" i="1"/>
  <c r="T121" i="1"/>
  <c r="T120" i="1"/>
  <c r="T119" i="1"/>
  <c r="T116" i="1"/>
  <c r="T115" i="1"/>
  <c r="T112" i="1"/>
  <c r="T111" i="1"/>
  <c r="L194" i="1" l="1"/>
  <c r="L192" i="1"/>
  <c r="L137" i="1"/>
  <c r="Y137" i="1" s="1"/>
  <c r="L133" i="1"/>
  <c r="Y133" i="1" s="1"/>
  <c r="L128" i="1"/>
  <c r="Y128" i="1" s="1"/>
  <c r="L156" i="1"/>
  <c r="Y156" i="1" s="1"/>
  <c r="L150" i="1"/>
  <c r="Y150" i="1" s="1"/>
  <c r="L146" i="1"/>
  <c r="Y146" i="1" s="1"/>
  <c r="L141" i="1"/>
  <c r="Y141" i="1" s="1"/>
  <c r="L132" i="1"/>
  <c r="Y132" i="1" s="1"/>
  <c r="L124" i="1"/>
  <c r="Y124" i="1" s="1"/>
  <c r="L119" i="1"/>
  <c r="Y119" i="1" s="1"/>
  <c r="L116" i="1"/>
  <c r="Y116" i="1" s="1"/>
  <c r="AA137" i="1"/>
  <c r="AA112" i="1"/>
  <c r="W137" i="1"/>
  <c r="L112" i="1"/>
  <c r="Y112" i="1" s="1"/>
  <c r="U192" i="1" l="1"/>
  <c r="N192" i="1"/>
  <c r="W192" i="1"/>
  <c r="AC192" i="1"/>
  <c r="AA192" i="1"/>
  <c r="Y192" i="1"/>
  <c r="N137" i="1"/>
  <c r="U194" i="1"/>
  <c r="N194" i="1"/>
  <c r="Y194" i="1"/>
  <c r="AA194" i="1"/>
  <c r="W194" i="1"/>
  <c r="AC194" i="1"/>
  <c r="U156" i="1"/>
  <c r="AC156" i="1"/>
  <c r="U150" i="1"/>
  <c r="AC150" i="1"/>
  <c r="U116" i="1"/>
  <c r="AC116" i="1"/>
  <c r="U128" i="1"/>
  <c r="AC128" i="1"/>
  <c r="U119" i="1"/>
  <c r="AC119" i="1"/>
  <c r="W128" i="1"/>
  <c r="U124" i="1"/>
  <c r="AC124" i="1"/>
  <c r="U137" i="1"/>
  <c r="AC137" i="1"/>
  <c r="U146" i="1"/>
  <c r="AC146" i="1"/>
  <c r="U112" i="1"/>
  <c r="AC112" i="1"/>
  <c r="U133" i="1"/>
  <c r="AC133" i="1"/>
  <c r="U132" i="1"/>
  <c r="AC132" i="1"/>
  <c r="U141" i="1"/>
  <c r="AC141" i="1"/>
  <c r="N133" i="1"/>
  <c r="AA132" i="1"/>
  <c r="AA128" i="1"/>
  <c r="AA150" i="1"/>
  <c r="AA141" i="1"/>
  <c r="N112" i="1"/>
  <c r="W112" i="1"/>
  <c r="W133" i="1"/>
  <c r="AA133" i="1"/>
  <c r="N128" i="1"/>
  <c r="AA156" i="1"/>
  <c r="N156" i="1"/>
  <c r="W156" i="1"/>
  <c r="W150" i="1"/>
  <c r="N150" i="1"/>
  <c r="N146" i="1"/>
  <c r="AA146" i="1"/>
  <c r="W146" i="1"/>
  <c r="N141" i="1"/>
  <c r="W141" i="1"/>
  <c r="W132" i="1"/>
  <c r="N132" i="1"/>
  <c r="AA124" i="1"/>
  <c r="N124" i="1"/>
  <c r="W124" i="1"/>
  <c r="W119" i="1"/>
  <c r="AA119" i="1"/>
  <c r="N119" i="1"/>
  <c r="N116" i="1"/>
  <c r="W116" i="1"/>
  <c r="AA116" i="1"/>
  <c r="D276" i="1"/>
  <c r="D274" i="1"/>
  <c r="D272" i="1"/>
  <c r="Z177" i="1"/>
  <c r="V177" i="1"/>
  <c r="O177" i="1"/>
  <c r="O249" i="1"/>
  <c r="O250" i="1" s="1"/>
  <c r="O276" i="1" s="1"/>
  <c r="R249" i="1"/>
  <c r="T249" i="1"/>
  <c r="T250" i="1" s="1"/>
  <c r="T276" i="1" s="1"/>
  <c r="V249" i="1"/>
  <c r="V250" i="1" s="1"/>
  <c r="V276" i="1" s="1"/>
  <c r="Z249" i="1"/>
  <c r="Z250" i="1" s="1"/>
  <c r="Z276" i="1" s="1"/>
  <c r="AD249" i="1"/>
  <c r="AD250" i="1" s="1"/>
  <c r="AD276" i="1" s="1"/>
  <c r="AE249" i="1"/>
  <c r="AE250" i="1" s="1"/>
  <c r="AE276" i="1" s="1"/>
  <c r="M249" i="1"/>
  <c r="M250" i="1" s="1"/>
  <c r="M276" i="1" s="1"/>
  <c r="O168" i="1"/>
  <c r="O274" i="1" s="1"/>
  <c r="R168" i="1"/>
  <c r="T168" i="1"/>
  <c r="T274" i="1" s="1"/>
  <c r="V168" i="1"/>
  <c r="V274" i="1" s="1"/>
  <c r="Z168" i="1"/>
  <c r="Z274" i="1" s="1"/>
  <c r="AD168" i="1"/>
  <c r="AD169" i="1" s="1"/>
  <c r="AD274" i="1" s="1"/>
  <c r="AE168" i="1"/>
  <c r="AE169" i="1" s="1"/>
  <c r="AE274" i="1" s="1"/>
  <c r="M168" i="1"/>
  <c r="M274" i="1" s="1"/>
  <c r="M87" i="1"/>
  <c r="I194" i="1"/>
  <c r="J194" i="1" s="1"/>
  <c r="K194" i="1" s="1"/>
  <c r="I193" i="1"/>
  <c r="K193" i="1" s="1"/>
  <c r="I192" i="1"/>
  <c r="AE270" i="1"/>
  <c r="AD270" i="1"/>
  <c r="AC270" i="1"/>
  <c r="AA270" i="1"/>
  <c r="Y270" i="1"/>
  <c r="W270" i="1"/>
  <c r="U270" i="1"/>
  <c r="R270" i="1"/>
  <c r="N270" i="1"/>
  <c r="M270" i="1"/>
  <c r="AE258" i="1"/>
  <c r="AD258" i="1"/>
  <c r="AC258" i="1"/>
  <c r="AA258" i="1"/>
  <c r="Y258" i="1"/>
  <c r="W258" i="1"/>
  <c r="U258" i="1"/>
  <c r="R258" i="1"/>
  <c r="N258" i="1"/>
  <c r="M258" i="1"/>
  <c r="AE257" i="1"/>
  <c r="AD257" i="1"/>
  <c r="AC257" i="1"/>
  <c r="AA257" i="1"/>
  <c r="Y257" i="1"/>
  <c r="W257" i="1"/>
  <c r="U257" i="1"/>
  <c r="R257" i="1"/>
  <c r="N257" i="1"/>
  <c r="M257" i="1"/>
  <c r="AE189" i="1"/>
  <c r="AD189" i="1"/>
  <c r="AC189" i="1"/>
  <c r="AA189" i="1"/>
  <c r="Y189" i="1"/>
  <c r="W189" i="1"/>
  <c r="U189" i="1"/>
  <c r="R189" i="1"/>
  <c r="N189" i="1"/>
  <c r="M189" i="1"/>
  <c r="AE177" i="1"/>
  <c r="AD177" i="1"/>
  <c r="AC177" i="1"/>
  <c r="AA177" i="1"/>
  <c r="Y177" i="1"/>
  <c r="W177" i="1"/>
  <c r="U177" i="1"/>
  <c r="R177" i="1"/>
  <c r="N177" i="1"/>
  <c r="M177" i="1"/>
  <c r="AE176" i="1"/>
  <c r="AD176" i="1"/>
  <c r="AC176" i="1"/>
  <c r="AA176" i="1"/>
  <c r="Y176" i="1"/>
  <c r="W176" i="1"/>
  <c r="U176" i="1"/>
  <c r="R176" i="1"/>
  <c r="N176" i="1"/>
  <c r="M176" i="1"/>
  <c r="I195" i="1" l="1"/>
  <c r="K195" i="1" s="1"/>
  <c r="U193" i="1"/>
  <c r="U249" i="1" s="1"/>
  <c r="Y193" i="1"/>
  <c r="Y249" i="1" s="1"/>
  <c r="Y250" i="1" s="1"/>
  <c r="Y276" i="1" s="1"/>
  <c r="N193" i="1"/>
  <c r="AC193" i="1"/>
  <c r="AC249" i="1" s="1"/>
  <c r="AC250" i="1" s="1"/>
  <c r="AC276" i="1" s="1"/>
  <c r="W193" i="1"/>
  <c r="AA193" i="1"/>
  <c r="AA249" i="1" s="1"/>
  <c r="AA250" i="1" s="1"/>
  <c r="AA276" i="1" s="1"/>
  <c r="R169" i="1"/>
  <c r="R274" i="1" s="1"/>
  <c r="U250" i="1"/>
  <c r="U276" i="1" s="1"/>
  <c r="R250" i="1"/>
  <c r="R276" i="1" s="1"/>
  <c r="I139" i="1"/>
  <c r="J138" i="1"/>
  <c r="I138" i="1"/>
  <c r="I137" i="1"/>
  <c r="I135" i="1"/>
  <c r="J134" i="1"/>
  <c r="I134" i="1"/>
  <c r="I133" i="1"/>
  <c r="I132" i="1"/>
  <c r="I130" i="1"/>
  <c r="J129" i="1"/>
  <c r="I129" i="1"/>
  <c r="I128" i="1"/>
  <c r="I126" i="1"/>
  <c r="J125" i="1"/>
  <c r="I125" i="1"/>
  <c r="I124" i="1"/>
  <c r="I122" i="1"/>
  <c r="J121" i="1"/>
  <c r="I121" i="1"/>
  <c r="I120" i="1"/>
  <c r="K120" i="1" s="1"/>
  <c r="Y120" i="1" s="1"/>
  <c r="I119" i="1"/>
  <c r="I117" i="1"/>
  <c r="K117" i="1" s="1"/>
  <c r="I116" i="1"/>
  <c r="I115" i="1"/>
  <c r="I113" i="1"/>
  <c r="K113" i="1" s="1"/>
  <c r="I112" i="1"/>
  <c r="I111" i="1"/>
  <c r="K111" i="1" s="1"/>
  <c r="Y111" i="1" s="1"/>
  <c r="N87" i="1"/>
  <c r="O87" i="1"/>
  <c r="O88" i="1" s="1"/>
  <c r="O272" i="1" s="1"/>
  <c r="O331" i="1" s="1"/>
  <c r="T87" i="1"/>
  <c r="T88" i="1" s="1"/>
  <c r="T272" i="1" s="1"/>
  <c r="T331" i="1" s="1"/>
  <c r="U272" i="1"/>
  <c r="V87" i="1"/>
  <c r="V88" i="1" s="1"/>
  <c r="V272" i="1" s="1"/>
  <c r="V331" i="1" s="1"/>
  <c r="Y87" i="1"/>
  <c r="Y88" i="1" s="1"/>
  <c r="Y272" i="1" s="1"/>
  <c r="Z87" i="1"/>
  <c r="Z88" i="1" s="1"/>
  <c r="Z272" i="1" s="1"/>
  <c r="Z331" i="1" s="1"/>
  <c r="AA87" i="1"/>
  <c r="AA88" i="1" s="1"/>
  <c r="AA272" i="1" s="1"/>
  <c r="AC87" i="1"/>
  <c r="AC88" i="1" s="1"/>
  <c r="AC272" i="1" s="1"/>
  <c r="AD87" i="1"/>
  <c r="AD88" i="1" s="1"/>
  <c r="AD272" i="1" s="1"/>
  <c r="AD331" i="1" s="1"/>
  <c r="AE87" i="1"/>
  <c r="AE88" i="1" s="1"/>
  <c r="AE272" i="1" s="1"/>
  <c r="AE331" i="1" s="1"/>
  <c r="M88" i="1"/>
  <c r="M272" i="1" s="1"/>
  <c r="M331" i="1" s="1"/>
  <c r="W195" i="1" l="1"/>
  <c r="W249" i="1" s="1"/>
  <c r="W250" i="1" s="1"/>
  <c r="W276" i="1" s="1"/>
  <c r="N195" i="1"/>
  <c r="N249" i="1" s="1"/>
  <c r="N250" i="1" s="1"/>
  <c r="N276" i="1" s="1"/>
  <c r="N88" i="1"/>
  <c r="N272" i="1" s="1"/>
  <c r="U120" i="1"/>
  <c r="AC120" i="1"/>
  <c r="U111" i="1"/>
  <c r="AC111" i="1"/>
  <c r="N113" i="1"/>
  <c r="W113" i="1"/>
  <c r="W117" i="1"/>
  <c r="N117" i="1"/>
  <c r="W120" i="1"/>
  <c r="N120" i="1"/>
  <c r="AA120" i="1"/>
  <c r="AA111" i="1"/>
  <c r="W111" i="1"/>
  <c r="N111" i="1"/>
  <c r="K139" i="1"/>
  <c r="K134" i="1"/>
  <c r="U134" i="1" s="1"/>
  <c r="K122" i="1"/>
  <c r="K129" i="1"/>
  <c r="U129" i="1" s="1"/>
  <c r="K125" i="1"/>
  <c r="U125" i="1" s="1"/>
  <c r="K130" i="1"/>
  <c r="K135" i="1"/>
  <c r="W135" i="1" s="1"/>
  <c r="K126" i="1"/>
  <c r="K121" i="1"/>
  <c r="U121" i="1" s="1"/>
  <c r="K138" i="1"/>
  <c r="U138" i="1" s="1"/>
  <c r="K115" i="1"/>
  <c r="Y115" i="1" s="1"/>
  <c r="I161" i="1"/>
  <c r="K161" i="1" s="1"/>
  <c r="Y161" i="1" s="1"/>
  <c r="I160" i="1"/>
  <c r="K160" i="1" s="1"/>
  <c r="Y160" i="1" s="1"/>
  <c r="I158" i="1"/>
  <c r="J157" i="1"/>
  <c r="I157" i="1"/>
  <c r="I156" i="1"/>
  <c r="I154" i="1"/>
  <c r="K154" i="1" s="1"/>
  <c r="Y154" i="1" s="1"/>
  <c r="I152" i="1"/>
  <c r="J151" i="1"/>
  <c r="I151" i="1"/>
  <c r="I150" i="1"/>
  <c r="I148" i="1"/>
  <c r="J147" i="1"/>
  <c r="I147" i="1"/>
  <c r="I146" i="1"/>
  <c r="I145" i="1"/>
  <c r="K145" i="1" s="1"/>
  <c r="Y145" i="1" s="1"/>
  <c r="I143" i="1"/>
  <c r="J142" i="1"/>
  <c r="I142" i="1"/>
  <c r="I141" i="1"/>
  <c r="J50" i="1"/>
  <c r="I50" i="1"/>
  <c r="R50" i="1" s="1"/>
  <c r="J49" i="1"/>
  <c r="I49" i="1"/>
  <c r="I47" i="1"/>
  <c r="R47" i="1" s="1"/>
  <c r="J46" i="1"/>
  <c r="I46" i="1"/>
  <c r="R46" i="1" s="1"/>
  <c r="I45" i="1"/>
  <c r="R45" i="1" s="1"/>
  <c r="J43" i="1"/>
  <c r="I43" i="1"/>
  <c r="R43" i="1" s="1"/>
  <c r="I42" i="1"/>
  <c r="R42" i="1" s="1"/>
  <c r="J41" i="1"/>
  <c r="I41" i="1"/>
  <c r="R41" i="1" s="1"/>
  <c r="J39" i="1"/>
  <c r="I39" i="1"/>
  <c r="J38" i="1"/>
  <c r="I38" i="1"/>
  <c r="R38" i="1" s="1"/>
  <c r="J36" i="1"/>
  <c r="I36" i="1"/>
  <c r="R36" i="1" s="1"/>
  <c r="J35" i="1"/>
  <c r="I35" i="1"/>
  <c r="R35" i="1" s="1"/>
  <c r="I33" i="1"/>
  <c r="R33" i="1" s="1"/>
  <c r="J31" i="1"/>
  <c r="I31" i="1"/>
  <c r="R31" i="1" s="1"/>
  <c r="J30" i="1"/>
  <c r="I30" i="1"/>
  <c r="R30" i="1" s="1"/>
  <c r="I164" i="1"/>
  <c r="Y164" i="1" s="1"/>
  <c r="I163" i="1"/>
  <c r="K163" i="1" s="1"/>
  <c r="Y163" i="1" s="1"/>
  <c r="U160" i="1" l="1"/>
  <c r="AC160" i="1"/>
  <c r="U161" i="1"/>
  <c r="AC161" i="1"/>
  <c r="U163" i="1"/>
  <c r="AC163" i="1"/>
  <c r="U145" i="1"/>
  <c r="AC145" i="1"/>
  <c r="U115" i="1"/>
  <c r="AC115" i="1"/>
  <c r="U164" i="1"/>
  <c r="AC164" i="1"/>
  <c r="U154" i="1"/>
  <c r="AC154" i="1"/>
  <c r="W126" i="1"/>
  <c r="N126" i="1"/>
  <c r="N145" i="1"/>
  <c r="AA145" i="1"/>
  <c r="W145" i="1"/>
  <c r="W130" i="1"/>
  <c r="N130" i="1"/>
  <c r="W125" i="1"/>
  <c r="N125" i="1"/>
  <c r="AA164" i="1"/>
  <c r="N164" i="1"/>
  <c r="W164" i="1"/>
  <c r="W160" i="1"/>
  <c r="AA160" i="1"/>
  <c r="N160" i="1"/>
  <c r="AA161" i="1"/>
  <c r="N161" i="1"/>
  <c r="W161" i="1"/>
  <c r="N129" i="1"/>
  <c r="W129" i="1"/>
  <c r="W122" i="1"/>
  <c r="N122" i="1"/>
  <c r="N138" i="1"/>
  <c r="W138" i="1"/>
  <c r="W134" i="1"/>
  <c r="W121" i="1"/>
  <c r="N121" i="1"/>
  <c r="W139" i="1"/>
  <c r="N139" i="1"/>
  <c r="AA115" i="1"/>
  <c r="W115" i="1"/>
  <c r="N115" i="1"/>
  <c r="AA163" i="1"/>
  <c r="N163" i="1"/>
  <c r="W163" i="1"/>
  <c r="W154" i="1"/>
  <c r="N154" i="1"/>
  <c r="AA154" i="1"/>
  <c r="K142" i="1"/>
  <c r="U142" i="1" s="1"/>
  <c r="K39" i="1"/>
  <c r="W39" i="1" s="1"/>
  <c r="R39" i="1"/>
  <c r="K33" i="1"/>
  <c r="W33" i="1" s="1"/>
  <c r="K42" i="1"/>
  <c r="W42" i="1" s="1"/>
  <c r="K47" i="1"/>
  <c r="W47" i="1" s="1"/>
  <c r="K46" i="1"/>
  <c r="W46" i="1" s="1"/>
  <c r="K49" i="1"/>
  <c r="W49" i="1" s="1"/>
  <c r="R49" i="1"/>
  <c r="K45" i="1"/>
  <c r="W45" i="1" s="1"/>
  <c r="K147" i="1"/>
  <c r="U147" i="1" s="1"/>
  <c r="K35" i="1"/>
  <c r="W35" i="1" s="1"/>
  <c r="K41" i="1"/>
  <c r="W41" i="1" s="1"/>
  <c r="K143" i="1"/>
  <c r="K157" i="1"/>
  <c r="K38" i="1"/>
  <c r="W38" i="1" s="1"/>
  <c r="K151" i="1"/>
  <c r="U151" i="1" s="1"/>
  <c r="K31" i="1"/>
  <c r="W31" i="1" s="1"/>
  <c r="K152" i="1"/>
  <c r="K148" i="1"/>
  <c r="K50" i="1"/>
  <c r="W50" i="1" s="1"/>
  <c r="K158" i="1"/>
  <c r="K30" i="1"/>
  <c r="W30" i="1" s="1"/>
  <c r="K36" i="1"/>
  <c r="W36" i="1" s="1"/>
  <c r="K43" i="1"/>
  <c r="W43" i="1" s="1"/>
  <c r="R87" i="1" l="1"/>
  <c r="R88" i="1" s="1"/>
  <c r="W158" i="1"/>
  <c r="N158" i="1"/>
  <c r="W148" i="1"/>
  <c r="N148" i="1"/>
  <c r="N143" i="1"/>
  <c r="W143" i="1"/>
  <c r="W147" i="1"/>
  <c r="N147" i="1"/>
  <c r="W157" i="1"/>
  <c r="N157" i="1"/>
  <c r="W142" i="1"/>
  <c r="N142" i="1"/>
  <c r="W152" i="1"/>
  <c r="N152" i="1"/>
  <c r="W151" i="1"/>
  <c r="N151" i="1"/>
  <c r="R272" i="1"/>
  <c r="R331" i="1" s="1"/>
  <c r="W87" i="1"/>
  <c r="AE108" i="1"/>
  <c r="AD108" i="1"/>
  <c r="AC108" i="1"/>
  <c r="AA108" i="1"/>
  <c r="Y108" i="1"/>
  <c r="W108" i="1"/>
  <c r="U108" i="1"/>
  <c r="R108" i="1"/>
  <c r="N108" i="1"/>
  <c r="M108" i="1"/>
  <c r="AE96" i="1"/>
  <c r="AD96" i="1"/>
  <c r="AC96" i="1"/>
  <c r="AA96" i="1"/>
  <c r="Y96" i="1"/>
  <c r="W96" i="1"/>
  <c r="U96" i="1"/>
  <c r="R96" i="1"/>
  <c r="N96" i="1"/>
  <c r="M96" i="1"/>
  <c r="AE95" i="1"/>
  <c r="AD95" i="1"/>
  <c r="AC95" i="1"/>
  <c r="AA95" i="1"/>
  <c r="Y95" i="1"/>
  <c r="W95" i="1"/>
  <c r="U95" i="1"/>
  <c r="R95" i="1"/>
  <c r="N95" i="1"/>
  <c r="M95" i="1"/>
  <c r="W88" i="1" l="1"/>
  <c r="W272" i="1" s="1"/>
  <c r="U168" i="1"/>
  <c r="Y168" i="1"/>
  <c r="N168" i="1"/>
  <c r="W168" i="1"/>
  <c r="AA168" i="1"/>
  <c r="AC168" i="1"/>
  <c r="R27" i="1"/>
  <c r="R15" i="1"/>
  <c r="R14" i="1"/>
  <c r="AA169" i="1" l="1"/>
  <c r="AA274" i="1" s="1"/>
  <c r="AA331" i="1" s="1"/>
  <c r="W169" i="1"/>
  <c r="W274" i="1" s="1"/>
  <c r="W331" i="1" s="1"/>
  <c r="Y169" i="1"/>
  <c r="Y274" i="1" s="1"/>
  <c r="Y331" i="1" s="1"/>
  <c r="U169" i="1"/>
  <c r="U274" i="1" s="1"/>
  <c r="U331" i="1" s="1"/>
  <c r="N169" i="1"/>
  <c r="N274" i="1" s="1"/>
  <c r="N331" i="1" s="1"/>
  <c r="AC169" i="1"/>
  <c r="AC274" i="1" s="1"/>
  <c r="AC331" i="1" s="1"/>
  <c r="AE15" i="1"/>
  <c r="AD15" i="1"/>
  <c r="AC15" i="1"/>
  <c r="AA15" i="1"/>
  <c r="Y15" i="1"/>
  <c r="W15" i="1"/>
  <c r="U15" i="1"/>
  <c r="N15" i="1"/>
  <c r="M15" i="1"/>
  <c r="AE27" i="1" l="1"/>
  <c r="AD27" i="1"/>
  <c r="AC27" i="1"/>
  <c r="AA27" i="1"/>
  <c r="Y27" i="1"/>
  <c r="W27" i="1"/>
  <c r="U27" i="1"/>
  <c r="N27" i="1"/>
  <c r="AE14" i="1"/>
  <c r="AD14" i="1"/>
  <c r="AC14" i="1"/>
  <c r="AA14" i="1"/>
  <c r="Y14" i="1"/>
  <c r="W14" i="1"/>
  <c r="U14" i="1"/>
  <c r="N14" i="1"/>
  <c r="M27" i="1"/>
  <c r="M14" i="1"/>
  <c r="D9" i="1" l="1"/>
  <c r="D90" i="1" l="1"/>
  <c r="D171" i="1" s="1"/>
  <c r="D252" i="1" s="1"/>
</calcChain>
</file>

<file path=xl/sharedStrings.xml><?xml version="1.0" encoding="utf-8"?>
<sst xmlns="http://schemas.openxmlformats.org/spreadsheetml/2006/main" count="323" uniqueCount="59">
  <si>
    <t>SIDE</t>
  </si>
  <si>
    <t>TO</t>
  </si>
  <si>
    <t>STATION RANGE</t>
  </si>
  <si>
    <t>CADD GENERATED AREA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</si>
  <si>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</si>
  <si>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</si>
  <si>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</si>
  <si>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</si>
  <si>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</si>
  <si>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</si>
  <si>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</si>
  <si>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</si>
  <si>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</si>
  <si>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</si>
  <si>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</si>
  <si>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</si>
  <si>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</si>
  <si>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</si>
  <si>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</si>
  <si>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</si>
  <si>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</si>
  <si>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</si>
  <si>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</si>
  <si>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</si>
  <si>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</si>
  <si>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</si>
  <si>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</si>
  <si>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204e10000</t>
  </si>
  <si>
    <t>304e20000</t>
  </si>
  <si>
    <t>PAV</t>
  </si>
  <si>
    <t>NOTE:  PLEASE BE CAREFULL WITH THE UNITS USED ……. WATCH OUT FOR "SQ FT" TO "SQ YD" CONVERSIONS</t>
  </si>
  <si>
    <t>WEST 44TH STREET</t>
  </si>
  <si>
    <t>407e10000</t>
  </si>
  <si>
    <t>255e20000</t>
  </si>
  <si>
    <t>441E50300</t>
  </si>
  <si>
    <t>LT</t>
  </si>
  <si>
    <t>CRB</t>
  </si>
  <si>
    <t>VAR</t>
  </si>
  <si>
    <t>RT</t>
  </si>
  <si>
    <t>-BRIDGE-</t>
  </si>
  <si>
    <t>I-90</t>
  </si>
  <si>
    <t>BAR</t>
  </si>
  <si>
    <t>LT/RT</t>
  </si>
  <si>
    <t>-LIGHT POLE-</t>
  </si>
  <si>
    <t>RAMP 27</t>
  </si>
  <si>
    <t>TOTALS CARRIED TO GENERAL SUMMARY</t>
  </si>
  <si>
    <t>I -90 TOTALS</t>
  </si>
  <si>
    <t>WEST 44TH STREET TOTALS</t>
  </si>
  <si>
    <t>I -90 TOTALS CARRIED TO SHEET 4</t>
  </si>
  <si>
    <t>WEST 44TH STREET TOTALS CARRIED TO SHEET 4</t>
  </si>
  <si>
    <t>RAMP 27 TOTALS</t>
  </si>
  <si>
    <t>RAMP 27 TOTALS CARRIED TO SHEET 4</t>
  </si>
  <si>
    <t>441e50101</t>
  </si>
  <si>
    <t>, PG64-22</t>
  </si>
  <si>
    <t>305e13011</t>
  </si>
  <si>
    <t>441 DEPTH (INTERMEDIATE)</t>
  </si>
  <si>
    <t>305 DEPTH</t>
  </si>
  <si>
    <t>RSF</t>
  </si>
  <si>
    <t>254e01000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</si>
</sst>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?/???"/>
    <numFmt numFmtId="165" formatCode="0&quot;+&quot;00.00"/>
    <numFmt numFmtId="166" formatCode="0\)"/>
    <numFmt numFmtId="167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/>
    </xf>
    <xf numFmtId="1" fontId="4" fillId="2" borderId="0" xfId="0" applyNumberFormat="1" applyFont="1" applyFill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  <protection locked="0"/>
    </xf>
    <xf numFmtId="2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vertical="center"/>
      <protection locked="0"/>
    </xf>
    <xf numFmtId="0" fontId="4" fillId="6" borderId="18" xfId="0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2" fontId="4" fillId="0" borderId="5" xfId="0" applyNumberFormat="1" applyFont="1" applyFill="1" applyBorder="1" applyAlignment="1" applyProtection="1">
      <alignment horizontal="left" vertical="center"/>
      <protection locked="0"/>
    </xf>
    <xf numFmtId="165" fontId="5" fillId="0" borderId="5" xfId="0" applyNumberFormat="1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1" fontId="4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25" xfId="0" applyNumberFormat="1" applyFont="1" applyFill="1" applyBorder="1" applyAlignment="1" applyProtection="1">
      <alignment horizontal="center" vertical="center"/>
    </xf>
    <xf numFmtId="165" fontId="4" fillId="0" borderId="1" xfId="0" quotePrefix="1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1" fontId="4" fillId="0" borderId="9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166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horizontal="center" vertical="center" textRotation="90"/>
    </xf>
    <xf numFmtId="1" fontId="4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90" wrapText="1"/>
    </xf>
    <xf numFmtId="165" fontId="4" fillId="0" borderId="6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9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2" fontId="3" fillId="0" borderId="6" xfId="0" applyNumberFormat="1" applyFont="1" applyFill="1" applyBorder="1" applyAlignment="1" applyProtection="1">
      <alignment horizontal="right" vertical="center"/>
      <protection locked="0"/>
    </xf>
    <xf numFmtId="2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0" borderId="20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7" name="Line 30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26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08" name="Line 31"/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9" name="Line 32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0" name="Line 41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1" name="Line 4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2" name="Line 43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3" name="Line 44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4" name="Line 45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5" name="Line 46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6" name="Line 47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7" name="Line 48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8" name="Line 49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9" name="Line 50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0" name="Line 51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1" name="Line 5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22" name="Line 54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3" name="Line 55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4" name="Line 56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5" name="Line 57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76200</xdr:rowOff>
    </xdr:from>
    <xdr:to>
      <xdr:col>31</xdr:col>
      <xdr:colOff>0</xdr:colOff>
      <xdr:row>86</xdr:row>
      <xdr:rowOff>76200</xdr:rowOff>
    </xdr:to>
    <xdr:sp macro="" textlink="">
      <xdr:nvSpPr>
        <xdr:cNvPr id="24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87</xdr:row>
      <xdr:rowOff>76200</xdr:rowOff>
    </xdr:from>
    <xdr:to>
      <xdr:col>31</xdr:col>
      <xdr:colOff>0</xdr:colOff>
      <xdr:row>87</xdr:row>
      <xdr:rowOff>76200</xdr:rowOff>
    </xdr:to>
    <xdr:sp macro="" textlink="">
      <xdr:nvSpPr>
        <xdr:cNvPr id="25" name="Line 17"/>
        <xdr:cNvSpPr>
          <a:spLocks noChangeShapeType="1"/>
        </xdr:cNvSpPr>
      </xdr:nvSpPr>
      <xdr:spPr bwMode="auto">
        <a:xfrm>
          <a:off x="19230975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167</xdr:row>
      <xdr:rowOff>76200</xdr:rowOff>
    </xdr:from>
    <xdr:to>
      <xdr:col>31</xdr:col>
      <xdr:colOff>0</xdr:colOff>
      <xdr:row>167</xdr:row>
      <xdr:rowOff>76200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188</xdr:row>
      <xdr:rowOff>0</xdr:rowOff>
    </xdr:from>
    <xdr:to>
      <xdr:col>43</xdr:col>
      <xdr:colOff>66675</xdr:colOff>
      <xdr:row>250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188</xdr:row>
      <xdr:rowOff>0</xdr:rowOff>
    </xdr:from>
    <xdr:to>
      <xdr:col>44</xdr:col>
      <xdr:colOff>161925</xdr:colOff>
      <xdr:row>250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rot="5400000">
          <a:off x="2186940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188</xdr:row>
      <xdr:rowOff>0</xdr:rowOff>
    </xdr:from>
    <xdr:to>
      <xdr:col>43</xdr:col>
      <xdr:colOff>66675</xdr:colOff>
      <xdr:row>250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248</xdr:row>
      <xdr:rowOff>76200</xdr:rowOff>
    </xdr:from>
    <xdr:to>
      <xdr:col>31</xdr:col>
      <xdr:colOff>0</xdr:colOff>
      <xdr:row>248</xdr:row>
      <xdr:rowOff>76200</xdr:rowOff>
    </xdr:to>
    <xdr:sp macro="" textlink="">
      <xdr:nvSpPr>
        <xdr:cNvPr id="32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249</xdr:row>
      <xdr:rowOff>76200</xdr:rowOff>
    </xdr:from>
    <xdr:to>
      <xdr:col>31</xdr:col>
      <xdr:colOff>0</xdr:colOff>
      <xdr:row>249</xdr:row>
      <xdr:rowOff>76200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269</xdr:row>
      <xdr:rowOff>0</xdr:rowOff>
    </xdr:from>
    <xdr:to>
      <xdr:col>43</xdr:col>
      <xdr:colOff>66675</xdr:colOff>
      <xdr:row>331</xdr:row>
      <xdr:rowOff>0</xdr:rowOff>
    </xdr:to>
    <xdr:sp macro="" textlink="">
      <xdr:nvSpPr>
        <xdr:cNvPr id="34" name="Line 30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269</xdr:row>
      <xdr:rowOff>0</xdr:rowOff>
    </xdr:from>
    <xdr:to>
      <xdr:col>44</xdr:col>
      <xdr:colOff>161925</xdr:colOff>
      <xdr:row>331</xdr:row>
      <xdr:rowOff>0</xdr:rowOff>
    </xdr:to>
    <xdr:sp macro="" textlink="">
      <xdr:nvSpPr>
        <xdr:cNvPr id="35" name="Line 31"/>
        <xdr:cNvSpPr>
          <a:spLocks noChangeShapeType="1"/>
        </xdr:cNvSpPr>
      </xdr:nvSpPr>
      <xdr:spPr bwMode="auto">
        <a:xfrm rot="5400000">
          <a:off x="2186940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269</xdr:row>
      <xdr:rowOff>0</xdr:rowOff>
    </xdr:from>
    <xdr:to>
      <xdr:col>43</xdr:col>
      <xdr:colOff>66675</xdr:colOff>
      <xdr:row>331</xdr:row>
      <xdr:rowOff>0</xdr:rowOff>
    </xdr:to>
    <xdr:sp macro="" textlink="">
      <xdr:nvSpPr>
        <xdr:cNvPr id="36" name="Line 32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329</xdr:row>
      <xdr:rowOff>76200</xdr:rowOff>
    </xdr:from>
    <xdr:to>
      <xdr:col>31</xdr:col>
      <xdr:colOff>0</xdr:colOff>
      <xdr:row>329</xdr:row>
      <xdr:rowOff>76200</xdr:rowOff>
    </xdr:to>
    <xdr:sp macro="" textlink="">
      <xdr:nvSpPr>
        <xdr:cNvPr id="37" name="Line 17"/>
        <xdr:cNvSpPr>
          <a:spLocks noChangeShapeType="1"/>
        </xdr:cNvSpPr>
      </xdr:nvSpPr>
      <xdr:spPr bwMode="auto">
        <a:xfrm>
          <a:off x="19230975" y="4541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330</xdr:row>
      <xdr:rowOff>76200</xdr:rowOff>
    </xdr:from>
    <xdr:to>
      <xdr:col>31</xdr:col>
      <xdr:colOff>0</xdr:colOff>
      <xdr:row>330</xdr:row>
      <xdr:rowOff>76200</xdr:rowOff>
    </xdr:to>
    <xdr:sp macro="" textlink="">
      <xdr:nvSpPr>
        <xdr:cNvPr id="38" name="Line 17"/>
        <xdr:cNvSpPr>
          <a:spLocks noChangeShapeType="1"/>
        </xdr:cNvSpPr>
      </xdr:nvSpPr>
      <xdr:spPr bwMode="auto">
        <a:xfrm>
          <a:off x="19230975" y="455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AM331"/>
  <sheetViews>
    <sheetView showGridLines="0" tabSelected="1" zoomScaleNormal="100" zoomScaleSheetLayoutView="90" workbookViewId="0">
      <selection activeCell="D30" sqref="D30"/>
    </sheetView>
  </sheetViews>
  <sheetFormatPr defaultRowHeight="12.75" customHeight="1" x14ac:dyDescent="0.2"/>
  <cols>
    <col min="1" max="1" width="2.5703125" style="1" customWidth="1"/>
    <col min="2" max="2" width="9.140625" style="1"/>
    <col min="3" max="3" width="2.7109375" style="1" customWidth="1"/>
    <col min="4" max="4" width="15.42578125" style="1" customWidth="1"/>
    <col min="5" max="5" width="4.28515625" style="1" customWidth="1"/>
    <col min="6" max="6" width="15.42578125" style="1" customWidth="1"/>
    <col min="7" max="7" width="5.7109375" style="2" customWidth="1"/>
    <col min="8" max="8" width="9.7109375" style="42" customWidth="1"/>
    <col min="9" max="9" width="9.7109375" style="3" customWidth="1"/>
    <col min="10" max="15" width="9.7109375" style="42" customWidth="1"/>
    <col min="16" max="17" width="9.7109375" style="76" customWidth="1"/>
    <col min="18" max="18" width="9.7109375" style="42" customWidth="1"/>
    <col min="19" max="19" width="9.7109375" style="76" customWidth="1"/>
    <col min="20" max="20" width="9.7109375" style="126" hidden="1" customWidth="1"/>
    <col min="21" max="23" width="9.7109375" style="42" customWidth="1"/>
    <col min="24" max="24" width="9.7109375" style="76" customWidth="1"/>
    <col min="25" max="27" width="9.7109375" style="42" customWidth="1"/>
    <col min="28" max="28" width="9.7109375" style="126" hidden="1" customWidth="1"/>
    <col min="29" max="31" width="9.7109375" style="42" customWidth="1"/>
    <col min="32" max="32" width="2.7109375" style="1" customWidth="1"/>
    <col min="33" max="16384" width="9.140625" style="1"/>
  </cols>
  <sheetData>
    <row r="1" spans="1:39" ht="12.75" customHeight="1" x14ac:dyDescent="0.2">
      <c r="A1" s="1">
        <v>1</v>
      </c>
      <c r="D1" s="68"/>
      <c r="E1" s="68"/>
      <c r="F1" s="69" t="s">
        <v>11</v>
      </c>
      <c r="G1" s="70" t="s">
        <v>18</v>
      </c>
      <c r="H1" s="68" t="s">
        <v>19</v>
      </c>
      <c r="I1" s="71"/>
      <c r="J1" s="71"/>
      <c r="K1" s="71"/>
      <c r="L1" s="72"/>
      <c r="M1" s="71"/>
      <c r="N1" s="71"/>
      <c r="O1" s="71"/>
      <c r="P1" s="71"/>
      <c r="Q1" s="71"/>
      <c r="R1" s="71"/>
      <c r="S1" s="71"/>
      <c r="T1" s="143"/>
      <c r="U1" s="71"/>
      <c r="V1" s="71"/>
      <c r="W1" s="72"/>
      <c r="X1" s="72"/>
      <c r="Y1" s="72"/>
      <c r="Z1" s="72"/>
      <c r="AA1" s="72"/>
      <c r="AB1" s="124"/>
      <c r="AC1" s="72"/>
      <c r="AD1" s="32"/>
      <c r="AE1" s="32"/>
    </row>
    <row r="2" spans="1:39" ht="12.75" customHeight="1" x14ac:dyDescent="0.2">
      <c r="D2" s="68"/>
      <c r="E2" s="68"/>
      <c r="F2" s="69" t="s">
        <v>10</v>
      </c>
      <c r="G2" s="70" t="s">
        <v>20</v>
      </c>
      <c r="H2" s="68" t="s">
        <v>22</v>
      </c>
      <c r="I2" s="71"/>
      <c r="J2" s="71"/>
      <c r="K2" s="71"/>
      <c r="L2" s="72"/>
      <c r="M2" s="71"/>
      <c r="N2" s="71"/>
      <c r="O2" s="71"/>
      <c r="P2" s="71"/>
      <c r="Q2" s="71"/>
      <c r="R2" s="71"/>
      <c r="S2" s="71"/>
      <c r="T2" s="143"/>
      <c r="U2" s="71"/>
      <c r="V2" s="71"/>
      <c r="W2" s="72"/>
      <c r="X2" s="72"/>
      <c r="Y2" s="72"/>
      <c r="Z2" s="72"/>
      <c r="AA2" s="72"/>
      <c r="AB2" s="124"/>
      <c r="AC2" s="72"/>
      <c r="AD2" s="32"/>
      <c r="AE2" s="32"/>
    </row>
    <row r="3" spans="1:39" ht="12.75" customHeight="1" x14ac:dyDescent="0.2">
      <c r="D3" s="68"/>
      <c r="E3" s="69"/>
      <c r="F3" s="69"/>
      <c r="G3" s="70" t="s">
        <v>21</v>
      </c>
      <c r="H3" s="68" t="s">
        <v>24</v>
      </c>
      <c r="I3" s="71"/>
      <c r="J3" s="71"/>
      <c r="K3" s="71"/>
      <c r="L3" s="68"/>
      <c r="M3" s="71"/>
      <c r="N3" s="71"/>
      <c r="O3" s="71"/>
      <c r="P3" s="71"/>
      <c r="Q3" s="71"/>
      <c r="R3" s="71"/>
      <c r="S3" s="71"/>
      <c r="T3" s="143"/>
      <c r="U3" s="71"/>
      <c r="V3" s="71"/>
      <c r="W3" s="68"/>
      <c r="X3" s="68"/>
      <c r="Y3" s="68"/>
      <c r="Z3" s="68"/>
      <c r="AA3" s="68"/>
      <c r="AB3" s="125"/>
      <c r="AC3" s="68"/>
      <c r="AD3" s="32"/>
      <c r="AE3" s="32"/>
    </row>
    <row r="4" spans="1:39" ht="12.75" customHeight="1" x14ac:dyDescent="0.2">
      <c r="D4" s="68"/>
      <c r="E4" s="69"/>
      <c r="F4" s="73"/>
      <c r="G4" s="70" t="s">
        <v>23</v>
      </c>
      <c r="H4" s="68" t="s">
        <v>25</v>
      </c>
      <c r="I4" s="71"/>
      <c r="J4" s="71"/>
      <c r="K4" s="71"/>
      <c r="L4" s="68"/>
      <c r="M4" s="71"/>
      <c r="N4" s="71"/>
      <c r="O4" s="71"/>
      <c r="P4" s="71"/>
      <c r="Q4" s="71"/>
      <c r="R4" s="71"/>
      <c r="S4" s="71"/>
      <c r="T4" s="143"/>
      <c r="U4" s="71"/>
      <c r="V4" s="71"/>
      <c r="W4" s="68"/>
      <c r="X4" s="68"/>
      <c r="Y4" s="68"/>
      <c r="Z4" s="68"/>
      <c r="AA4" s="68"/>
      <c r="AB4" s="125"/>
      <c r="AC4" s="68"/>
      <c r="AD4" s="32"/>
      <c r="AE4" s="32"/>
    </row>
    <row r="5" spans="1:39" ht="12.75" customHeight="1" x14ac:dyDescent="0.2">
      <c r="D5" s="68"/>
      <c r="E5" s="69"/>
      <c r="F5" s="73"/>
      <c r="G5" s="70"/>
      <c r="H5" s="68"/>
      <c r="I5" s="71"/>
      <c r="J5" s="71"/>
      <c r="K5" s="71"/>
      <c r="L5" s="68"/>
      <c r="M5" s="71"/>
      <c r="N5" s="71"/>
      <c r="O5" s="71"/>
      <c r="P5" s="71"/>
      <c r="Q5" s="71"/>
      <c r="R5" s="71"/>
      <c r="S5" s="71"/>
      <c r="T5" s="143"/>
      <c r="U5" s="71"/>
      <c r="V5" s="71"/>
      <c r="W5" s="68"/>
      <c r="X5" s="68"/>
      <c r="Y5" s="68"/>
      <c r="Z5" s="68"/>
      <c r="AA5" s="68"/>
      <c r="AB5" s="125"/>
      <c r="AC5" s="68"/>
      <c r="AD5" s="32"/>
      <c r="AE5" s="32"/>
    </row>
    <row r="6" spans="1:39" ht="12.75" customHeight="1" x14ac:dyDescent="0.2">
      <c r="D6" s="68"/>
      <c r="E6" s="69"/>
      <c r="F6" s="73"/>
      <c r="G6" s="70"/>
      <c r="H6" s="68"/>
      <c r="I6" s="71"/>
      <c r="J6" s="71"/>
      <c r="K6" s="71"/>
      <c r="L6" s="68"/>
      <c r="M6" s="71"/>
      <c r="N6" s="71"/>
      <c r="O6" s="71"/>
      <c r="P6" s="71"/>
      <c r="Q6" s="71"/>
      <c r="R6" s="71"/>
      <c r="S6" s="71"/>
      <c r="T6" s="143"/>
      <c r="U6" s="71"/>
      <c r="V6" s="71"/>
      <c r="W6" s="68"/>
      <c r="X6" s="68"/>
      <c r="Y6" s="68"/>
      <c r="Z6" s="68"/>
      <c r="AA6" s="68"/>
      <c r="AB6" s="125"/>
      <c r="AC6" s="68"/>
      <c r="AD6" s="32"/>
      <c r="AE6" s="32"/>
    </row>
    <row r="7" spans="1:39" ht="12.75" customHeight="1" x14ac:dyDescent="0.2">
      <c r="D7" s="68"/>
      <c r="E7" s="74"/>
      <c r="F7" s="73"/>
      <c r="G7" s="75" t="s">
        <v>30</v>
      </c>
      <c r="H7" s="75"/>
      <c r="I7" s="71"/>
      <c r="J7" s="71"/>
      <c r="K7" s="71"/>
      <c r="L7" s="68"/>
      <c r="M7" s="71"/>
      <c r="N7" s="71"/>
      <c r="O7" s="71"/>
      <c r="P7" s="71"/>
      <c r="Q7" s="71"/>
      <c r="R7" s="71"/>
      <c r="S7" s="71"/>
      <c r="T7" s="143"/>
      <c r="U7" s="71"/>
      <c r="V7" s="71"/>
      <c r="W7" s="68"/>
      <c r="X7" s="68"/>
      <c r="Y7" s="68"/>
      <c r="Z7" s="68"/>
      <c r="AA7" s="68"/>
      <c r="AB7" s="125"/>
      <c r="AC7" s="68"/>
      <c r="AD7" s="32"/>
      <c r="AE7" s="32"/>
    </row>
    <row r="8" spans="1:39" ht="12.75" customHeight="1" thickBot="1" x14ac:dyDescent="0.25"/>
    <row r="9" spans="1:39" ht="12.75" customHeight="1" thickBot="1" x14ac:dyDescent="0.25">
      <c r="B9" s="36" t="s">
        <v>16</v>
      </c>
      <c r="D9" s="84">
        <f>AG9</f>
        <v>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G9" s="33">
        <v>1</v>
      </c>
      <c r="AH9" s="34" t="s">
        <v>12</v>
      </c>
      <c r="AI9" s="9"/>
      <c r="AJ9" s="9"/>
      <c r="AK9" s="9"/>
      <c r="AL9" s="9"/>
      <c r="AM9" s="9"/>
    </row>
    <row r="10" spans="1:39" ht="12.75" customHeight="1" thickBot="1" x14ac:dyDescent="0.25">
      <c r="B10" s="37"/>
      <c r="D10" s="4"/>
      <c r="E10" s="4"/>
      <c r="F10" s="4"/>
      <c r="G10" s="4"/>
      <c r="H10" s="4"/>
      <c r="I10" s="5"/>
      <c r="J10" s="5"/>
      <c r="K10" s="5"/>
      <c r="L10" s="6" t="s">
        <v>14</v>
      </c>
      <c r="M10" s="35"/>
      <c r="N10" s="35" t="s">
        <v>27</v>
      </c>
      <c r="O10" s="35"/>
      <c r="P10" s="35" t="s">
        <v>58</v>
      </c>
      <c r="Q10" s="35"/>
      <c r="R10" s="35" t="s">
        <v>33</v>
      </c>
      <c r="S10" s="35"/>
      <c r="T10" s="127"/>
      <c r="U10" s="35" t="s">
        <v>54</v>
      </c>
      <c r="V10" s="35"/>
      <c r="W10" s="35" t="s">
        <v>28</v>
      </c>
      <c r="X10" s="35"/>
      <c r="Y10" s="35" t="s">
        <v>32</v>
      </c>
      <c r="Z10" s="35"/>
      <c r="AA10" s="35" t="s">
        <v>52</v>
      </c>
      <c r="AB10" s="127"/>
      <c r="AC10" s="35" t="s">
        <v>34</v>
      </c>
      <c r="AD10" s="35"/>
      <c r="AE10" s="35"/>
    </row>
    <row r="11" spans="1:39" ht="12.75" customHeight="1" x14ac:dyDescent="0.2">
      <c r="D11" s="4"/>
      <c r="E11" s="4"/>
      <c r="F11" s="4"/>
      <c r="G11" s="4"/>
      <c r="H11" s="4"/>
      <c r="I11" s="5"/>
      <c r="J11" s="5"/>
      <c r="K11" s="5"/>
      <c r="L11" s="6" t="s">
        <v>15</v>
      </c>
      <c r="M11" s="8"/>
      <c r="N11" s="8"/>
      <c r="O11" s="8"/>
      <c r="P11" s="8"/>
      <c r="Q11" s="8"/>
      <c r="R11" s="8"/>
      <c r="S11" s="8"/>
      <c r="T11" s="128"/>
      <c r="U11" s="8"/>
      <c r="V11" s="8"/>
      <c r="W11" s="8"/>
      <c r="X11" s="8"/>
      <c r="Y11" s="8"/>
      <c r="Z11" s="8"/>
      <c r="AA11" s="8" t="s">
        <v>53</v>
      </c>
      <c r="AB11" s="128"/>
      <c r="AC11" s="8"/>
      <c r="AD11" s="8"/>
      <c r="AE11" s="8"/>
    </row>
    <row r="12" spans="1:39" ht="12.75" customHeight="1" x14ac:dyDescent="0.2">
      <c r="D12" s="9"/>
      <c r="E12" s="9"/>
      <c r="F12" s="9"/>
      <c r="G12" s="10"/>
      <c r="H12" s="5"/>
      <c r="I12" s="4"/>
      <c r="J12" s="5"/>
      <c r="K12" s="5"/>
      <c r="L12" s="6" t="s">
        <v>5</v>
      </c>
      <c r="M12" s="7"/>
      <c r="N12" s="7">
        <v>9</v>
      </c>
      <c r="O12" s="7"/>
      <c r="P12" s="7"/>
      <c r="Q12" s="7"/>
      <c r="R12" s="7"/>
      <c r="S12" s="7"/>
      <c r="T12" s="129"/>
      <c r="U12" s="7">
        <v>7</v>
      </c>
      <c r="V12" s="7"/>
      <c r="W12" s="7">
        <v>8</v>
      </c>
      <c r="X12" s="7"/>
      <c r="Y12" s="7">
        <v>2</v>
      </c>
      <c r="Z12" s="7"/>
      <c r="AA12" s="7">
        <v>1</v>
      </c>
      <c r="AB12" s="129"/>
      <c r="AC12" s="7">
        <v>3</v>
      </c>
      <c r="AD12" s="7"/>
      <c r="AE12" s="7"/>
    </row>
    <row r="13" spans="1:39" ht="12.75" customHeight="1" thickBot="1" x14ac:dyDescent="0.25">
      <c r="D13" s="9"/>
      <c r="E13" s="9"/>
      <c r="F13" s="9"/>
      <c r="G13" s="10"/>
      <c r="H13" s="5"/>
      <c r="I13" s="4"/>
      <c r="J13" s="5"/>
      <c r="K13" s="5"/>
      <c r="L13" s="6" t="s">
        <v>6</v>
      </c>
      <c r="M13" s="11"/>
      <c r="N13" s="11"/>
      <c r="O13" s="11"/>
      <c r="P13" s="11"/>
      <c r="Q13" s="11"/>
      <c r="R13" s="11"/>
      <c r="S13" s="11"/>
      <c r="T13" s="130"/>
      <c r="U13" s="11">
        <v>9</v>
      </c>
      <c r="V13" s="11"/>
      <c r="W13" s="11">
        <v>5</v>
      </c>
      <c r="X13" s="11"/>
      <c r="Y13" s="11">
        <v>0.06</v>
      </c>
      <c r="Z13" s="11"/>
      <c r="AA13" s="11">
        <v>1.25</v>
      </c>
      <c r="AB13" s="130"/>
      <c r="AC13" s="11" t="s">
        <v>37</v>
      </c>
      <c r="AD13" s="11"/>
      <c r="AE13" s="11"/>
    </row>
    <row r="14" spans="1:39" ht="12.75" customHeight="1" x14ac:dyDescent="0.2">
      <c r="B14" s="95" t="s">
        <v>17</v>
      </c>
      <c r="D14" s="87" t="s">
        <v>2</v>
      </c>
      <c r="E14" s="88"/>
      <c r="F14" s="89"/>
      <c r="G14" s="93" t="s">
        <v>7</v>
      </c>
      <c r="H14" s="85" t="s">
        <v>0</v>
      </c>
      <c r="I14" s="85" t="s">
        <v>8</v>
      </c>
      <c r="J14" s="85" t="s">
        <v>9</v>
      </c>
      <c r="K14" s="85" t="s">
        <v>13</v>
      </c>
      <c r="L14" s="85" t="s">
        <v>3</v>
      </c>
      <c r="M14" s="12" t="str">
        <f t="shared" ref="M14:AE14" si="0">IF(OR(TRIM(M10)=0,TRIM(M10)=""),"",IF(IFERROR(TRIM(INDEX(QryItemNamed,MATCH(TRIM(M10),ITEM,0),2)),"")="Y","SPECIAL",LEFT(IFERROR(TRIM(INDEX(ITEM,MATCH(TRIM(M10),ITEM,0))),""),3)))</f>
        <v/>
      </c>
      <c r="N14" s="12" t="str">
        <f t="shared" si="0"/>
        <v>204</v>
      </c>
      <c r="O14" s="12"/>
      <c r="P14" s="12" t="str">
        <f t="shared" ref="P14:R14" si="1">IF(OR(TRIM(P10)=0,TRIM(P10)=""),"",IF(IFERROR(TRIM(INDEX(QryItemNamed,MATCH(TRIM(P10),ITEM,0),2)),"")="Y","SPECIAL",LEFT(IFERROR(TRIM(INDEX(ITEM,MATCH(TRIM(P10),ITEM,0))),""),3)))</f>
        <v>254</v>
      </c>
      <c r="Q14" s="12"/>
      <c r="R14" s="12" t="str">
        <f t="shared" si="1"/>
        <v>255</v>
      </c>
      <c r="S14" s="12"/>
      <c r="T14" s="131"/>
      <c r="U14" s="12" t="str">
        <f t="shared" si="0"/>
        <v>305</v>
      </c>
      <c r="V14" s="12"/>
      <c r="W14" s="12" t="str">
        <f t="shared" si="0"/>
        <v>304</v>
      </c>
      <c r="X14" s="12" t="str">
        <f t="shared" si="0"/>
        <v/>
      </c>
      <c r="Y14" s="12" t="str">
        <f t="shared" si="0"/>
        <v>407</v>
      </c>
      <c r="Z14" s="12"/>
      <c r="AA14" s="12" t="str">
        <f t="shared" si="0"/>
        <v>441</v>
      </c>
      <c r="AB14" s="131"/>
      <c r="AC14" s="12" t="str">
        <f t="shared" si="0"/>
        <v>441</v>
      </c>
      <c r="AD14" s="12" t="str">
        <f t="shared" si="0"/>
        <v/>
      </c>
      <c r="AE14" s="12" t="str">
        <f t="shared" si="0"/>
        <v/>
      </c>
    </row>
    <row r="15" spans="1:39" ht="12.75" customHeight="1" x14ac:dyDescent="0.2">
      <c r="B15" s="96"/>
      <c r="D15" s="90"/>
      <c r="E15" s="91"/>
      <c r="F15" s="92"/>
      <c r="G15" s="94"/>
      <c r="H15" s="86"/>
      <c r="I15" s="86"/>
      <c r="J15" s="86"/>
      <c r="K15" s="86"/>
      <c r="L15" s="86"/>
      <c r="M15" s="80" t="str">
        <f t="shared" ref="M15:AE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80" t="str">
        <f t="shared" si="2"/>
        <v>SUBGRADE COMPACTION</v>
      </c>
      <c r="O15" s="44"/>
      <c r="P15" s="80" t="str">
        <f t="shared" ref="P15:R15" si="3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</v>
      </c>
      <c r="Q15" s="77"/>
      <c r="R15" s="80" t="str">
        <f t="shared" si="3"/>
        <v>FULL DEPTH PAVEMENT SAWING</v>
      </c>
      <c r="S15" s="77"/>
      <c r="T15" s="118" t="s">
        <v>56</v>
      </c>
      <c r="U15" s="80" t="str">
        <f t="shared" si="2"/>
        <v>9" CONCRETE BASE, CLASS QC1, AS PER PLAN</v>
      </c>
      <c r="V15" s="44"/>
      <c r="W15" s="80" t="str">
        <f t="shared" si="2"/>
        <v>AGGREGATE BASE</v>
      </c>
      <c r="X15" s="80" t="str">
        <f t="shared" si="2"/>
        <v/>
      </c>
      <c r="Y15" s="80" t="str">
        <f t="shared" si="2"/>
        <v>TACK COAT</v>
      </c>
      <c r="Z15" s="44"/>
      <c r="AA15" s="80" t="str">
        <f t="shared" si="2"/>
        <v>ASPHALT CONCRETE SURFACE COURSE, TYPE 1, (448), AS PER PLAN, PG64-22</v>
      </c>
      <c r="AB15" s="118" t="s">
        <v>55</v>
      </c>
      <c r="AC15" s="80" t="str">
        <f t="shared" si="2"/>
        <v>ASPHALT CONCRETE INTERMEDIATE COURSE, TYPE 2, (448)</v>
      </c>
      <c r="AD15" s="80" t="str">
        <f t="shared" si="2"/>
        <v/>
      </c>
      <c r="AE15" s="80" t="str">
        <f t="shared" si="2"/>
        <v/>
      </c>
    </row>
    <row r="16" spans="1:39" ht="12.75" customHeight="1" x14ac:dyDescent="0.2">
      <c r="B16" s="96"/>
      <c r="D16" s="90"/>
      <c r="E16" s="91"/>
      <c r="F16" s="92"/>
      <c r="G16" s="94"/>
      <c r="H16" s="86"/>
      <c r="I16" s="86"/>
      <c r="J16" s="86"/>
      <c r="K16" s="86"/>
      <c r="L16" s="86"/>
      <c r="M16" s="81"/>
      <c r="N16" s="81"/>
      <c r="O16" s="45"/>
      <c r="P16" s="81"/>
      <c r="Q16" s="78"/>
      <c r="R16" s="81"/>
      <c r="S16" s="78"/>
      <c r="T16" s="119"/>
      <c r="U16" s="81"/>
      <c r="V16" s="45"/>
      <c r="W16" s="81"/>
      <c r="X16" s="81"/>
      <c r="Y16" s="81"/>
      <c r="Z16" s="45"/>
      <c r="AA16" s="81"/>
      <c r="AB16" s="119"/>
      <c r="AC16" s="81"/>
      <c r="AD16" s="81"/>
      <c r="AE16" s="81"/>
    </row>
    <row r="17" spans="2:33" ht="12.75" customHeight="1" x14ac:dyDescent="0.2">
      <c r="B17" s="96"/>
      <c r="D17" s="90"/>
      <c r="E17" s="91"/>
      <c r="F17" s="92"/>
      <c r="G17" s="94"/>
      <c r="H17" s="86"/>
      <c r="I17" s="86"/>
      <c r="J17" s="86"/>
      <c r="K17" s="86"/>
      <c r="L17" s="86"/>
      <c r="M17" s="81"/>
      <c r="N17" s="81"/>
      <c r="O17" s="45"/>
      <c r="P17" s="81"/>
      <c r="Q17" s="78"/>
      <c r="R17" s="81"/>
      <c r="S17" s="78"/>
      <c r="T17" s="119"/>
      <c r="U17" s="81"/>
      <c r="V17" s="45"/>
      <c r="W17" s="81"/>
      <c r="X17" s="81"/>
      <c r="Y17" s="81"/>
      <c r="Z17" s="45"/>
      <c r="AA17" s="81"/>
      <c r="AB17" s="119"/>
      <c r="AC17" s="81"/>
      <c r="AD17" s="81"/>
      <c r="AE17" s="81"/>
    </row>
    <row r="18" spans="2:33" ht="12.75" customHeight="1" x14ac:dyDescent="0.2">
      <c r="B18" s="96"/>
      <c r="D18" s="90"/>
      <c r="E18" s="91"/>
      <c r="F18" s="92"/>
      <c r="G18" s="94"/>
      <c r="H18" s="86"/>
      <c r="I18" s="86"/>
      <c r="J18" s="86"/>
      <c r="K18" s="86"/>
      <c r="L18" s="86"/>
      <c r="M18" s="81"/>
      <c r="N18" s="81"/>
      <c r="O18" s="45"/>
      <c r="P18" s="81"/>
      <c r="Q18" s="78"/>
      <c r="R18" s="81"/>
      <c r="S18" s="78"/>
      <c r="T18" s="119"/>
      <c r="U18" s="81"/>
      <c r="V18" s="45"/>
      <c r="W18" s="81"/>
      <c r="X18" s="81"/>
      <c r="Y18" s="81"/>
      <c r="Z18" s="45"/>
      <c r="AA18" s="81"/>
      <c r="AB18" s="119"/>
      <c r="AC18" s="81"/>
      <c r="AD18" s="81"/>
      <c r="AE18" s="81"/>
    </row>
    <row r="19" spans="2:33" ht="12.75" customHeight="1" x14ac:dyDescent="0.2">
      <c r="B19" s="96"/>
      <c r="D19" s="90"/>
      <c r="E19" s="91"/>
      <c r="F19" s="92"/>
      <c r="G19" s="94"/>
      <c r="H19" s="86"/>
      <c r="I19" s="86"/>
      <c r="J19" s="86"/>
      <c r="K19" s="86"/>
      <c r="L19" s="86"/>
      <c r="M19" s="81"/>
      <c r="N19" s="81"/>
      <c r="O19" s="45"/>
      <c r="P19" s="81"/>
      <c r="Q19" s="78"/>
      <c r="R19" s="81"/>
      <c r="S19" s="78"/>
      <c r="T19" s="119"/>
      <c r="U19" s="81"/>
      <c r="V19" s="45"/>
      <c r="W19" s="81"/>
      <c r="X19" s="81"/>
      <c r="Y19" s="81"/>
      <c r="Z19" s="45"/>
      <c r="AA19" s="81"/>
      <c r="AB19" s="119"/>
      <c r="AC19" s="81"/>
      <c r="AD19" s="81"/>
      <c r="AE19" s="81"/>
    </row>
    <row r="20" spans="2:33" ht="12.75" customHeight="1" x14ac:dyDescent="0.2">
      <c r="B20" s="96"/>
      <c r="D20" s="90"/>
      <c r="E20" s="91"/>
      <c r="F20" s="92"/>
      <c r="G20" s="94"/>
      <c r="H20" s="86"/>
      <c r="I20" s="86"/>
      <c r="J20" s="86"/>
      <c r="K20" s="86"/>
      <c r="L20" s="86"/>
      <c r="M20" s="81"/>
      <c r="N20" s="81"/>
      <c r="O20" s="45"/>
      <c r="P20" s="81"/>
      <c r="Q20" s="78"/>
      <c r="R20" s="81"/>
      <c r="S20" s="78"/>
      <c r="T20" s="119"/>
      <c r="U20" s="81"/>
      <c r="V20" s="45"/>
      <c r="W20" s="81"/>
      <c r="X20" s="81"/>
      <c r="Y20" s="81"/>
      <c r="Z20" s="45"/>
      <c r="AA20" s="81"/>
      <c r="AB20" s="119"/>
      <c r="AC20" s="81"/>
      <c r="AD20" s="81"/>
      <c r="AE20" s="81"/>
    </row>
    <row r="21" spans="2:33" ht="12.75" customHeight="1" x14ac:dyDescent="0.2">
      <c r="B21" s="96"/>
      <c r="D21" s="90"/>
      <c r="E21" s="91"/>
      <c r="F21" s="92"/>
      <c r="G21" s="94"/>
      <c r="H21" s="86"/>
      <c r="I21" s="86"/>
      <c r="J21" s="86"/>
      <c r="K21" s="86"/>
      <c r="L21" s="86"/>
      <c r="M21" s="81"/>
      <c r="N21" s="81"/>
      <c r="O21" s="45"/>
      <c r="P21" s="81"/>
      <c r="Q21" s="78"/>
      <c r="R21" s="81"/>
      <c r="S21" s="78"/>
      <c r="T21" s="119"/>
      <c r="U21" s="81"/>
      <c r="V21" s="45"/>
      <c r="W21" s="81"/>
      <c r="X21" s="81"/>
      <c r="Y21" s="81"/>
      <c r="Z21" s="45"/>
      <c r="AA21" s="81"/>
      <c r="AB21" s="119"/>
      <c r="AC21" s="81"/>
      <c r="AD21" s="81"/>
      <c r="AE21" s="81"/>
    </row>
    <row r="22" spans="2:33" ht="12.75" customHeight="1" x14ac:dyDescent="0.2">
      <c r="B22" s="96"/>
      <c r="D22" s="90"/>
      <c r="E22" s="91"/>
      <c r="F22" s="92"/>
      <c r="G22" s="94"/>
      <c r="H22" s="86"/>
      <c r="I22" s="86"/>
      <c r="J22" s="86"/>
      <c r="K22" s="86"/>
      <c r="L22" s="86"/>
      <c r="M22" s="81"/>
      <c r="N22" s="81"/>
      <c r="O22" s="45"/>
      <c r="P22" s="81"/>
      <c r="Q22" s="78"/>
      <c r="R22" s="81"/>
      <c r="S22" s="78"/>
      <c r="T22" s="119"/>
      <c r="U22" s="81"/>
      <c r="V22" s="45"/>
      <c r="W22" s="81"/>
      <c r="X22" s="81"/>
      <c r="Y22" s="81"/>
      <c r="Z22" s="45"/>
      <c r="AA22" s="81"/>
      <c r="AB22" s="119"/>
      <c r="AC22" s="81"/>
      <c r="AD22" s="81"/>
      <c r="AE22" s="81"/>
    </row>
    <row r="23" spans="2:33" ht="12.75" customHeight="1" x14ac:dyDescent="0.2">
      <c r="B23" s="96"/>
      <c r="D23" s="90"/>
      <c r="E23" s="91"/>
      <c r="F23" s="92"/>
      <c r="G23" s="94"/>
      <c r="H23" s="86"/>
      <c r="I23" s="86"/>
      <c r="J23" s="86"/>
      <c r="K23" s="86"/>
      <c r="L23" s="86"/>
      <c r="M23" s="81"/>
      <c r="N23" s="81"/>
      <c r="O23" s="45"/>
      <c r="P23" s="81"/>
      <c r="Q23" s="78"/>
      <c r="R23" s="81"/>
      <c r="S23" s="78"/>
      <c r="T23" s="119"/>
      <c r="U23" s="81"/>
      <c r="V23" s="45"/>
      <c r="W23" s="81"/>
      <c r="X23" s="81"/>
      <c r="Y23" s="81"/>
      <c r="Z23" s="45"/>
      <c r="AA23" s="81"/>
      <c r="AB23" s="119"/>
      <c r="AC23" s="81"/>
      <c r="AD23" s="81"/>
      <c r="AE23" s="81"/>
    </row>
    <row r="24" spans="2:33" ht="12.75" customHeight="1" x14ac:dyDescent="0.2">
      <c r="B24" s="96"/>
      <c r="D24" s="90"/>
      <c r="E24" s="91"/>
      <c r="F24" s="92"/>
      <c r="G24" s="94"/>
      <c r="H24" s="86"/>
      <c r="I24" s="86"/>
      <c r="J24" s="86"/>
      <c r="K24" s="86"/>
      <c r="L24" s="86"/>
      <c r="M24" s="81"/>
      <c r="N24" s="81"/>
      <c r="O24" s="45"/>
      <c r="P24" s="81"/>
      <c r="Q24" s="78"/>
      <c r="R24" s="81"/>
      <c r="S24" s="78"/>
      <c r="T24" s="119"/>
      <c r="U24" s="81"/>
      <c r="V24" s="45"/>
      <c r="W24" s="81"/>
      <c r="X24" s="81"/>
      <c r="Y24" s="81"/>
      <c r="Z24" s="45"/>
      <c r="AA24" s="81"/>
      <c r="AB24" s="119"/>
      <c r="AC24" s="81"/>
      <c r="AD24" s="81"/>
      <c r="AE24" s="81"/>
    </row>
    <row r="25" spans="2:33" ht="12.75" customHeight="1" x14ac:dyDescent="0.2">
      <c r="B25" s="96"/>
      <c r="D25" s="90"/>
      <c r="E25" s="91"/>
      <c r="F25" s="92"/>
      <c r="G25" s="94"/>
      <c r="H25" s="86"/>
      <c r="I25" s="86"/>
      <c r="J25" s="86"/>
      <c r="K25" s="86"/>
      <c r="L25" s="86"/>
      <c r="M25" s="81"/>
      <c r="N25" s="81"/>
      <c r="O25" s="45"/>
      <c r="P25" s="81"/>
      <c r="Q25" s="78"/>
      <c r="R25" s="81"/>
      <c r="S25" s="78"/>
      <c r="T25" s="119"/>
      <c r="U25" s="81"/>
      <c r="V25" s="45"/>
      <c r="W25" s="81"/>
      <c r="X25" s="81"/>
      <c r="Y25" s="81"/>
      <c r="Z25" s="45"/>
      <c r="AA25" s="81"/>
      <c r="AB25" s="119"/>
      <c r="AC25" s="81"/>
      <c r="AD25" s="81"/>
      <c r="AE25" s="81"/>
    </row>
    <row r="26" spans="2:33" ht="12.75" customHeight="1" x14ac:dyDescent="0.2">
      <c r="B26" s="96"/>
      <c r="D26" s="90"/>
      <c r="E26" s="91"/>
      <c r="F26" s="92"/>
      <c r="G26" s="94"/>
      <c r="H26" s="86"/>
      <c r="I26" s="86"/>
      <c r="J26" s="86"/>
      <c r="K26" s="86"/>
      <c r="L26" s="86"/>
      <c r="M26" s="82"/>
      <c r="N26" s="82"/>
      <c r="O26" s="46"/>
      <c r="P26" s="82"/>
      <c r="Q26" s="79"/>
      <c r="R26" s="82"/>
      <c r="S26" s="79"/>
      <c r="T26" s="120"/>
      <c r="U26" s="82"/>
      <c r="V26" s="46"/>
      <c r="W26" s="82"/>
      <c r="X26" s="82"/>
      <c r="Y26" s="82"/>
      <c r="Z26" s="46"/>
      <c r="AA26" s="82"/>
      <c r="AB26" s="120"/>
      <c r="AC26" s="82"/>
      <c r="AD26" s="82"/>
      <c r="AE26" s="82"/>
    </row>
    <row r="27" spans="2:33" ht="12.75" customHeight="1" thickBot="1" x14ac:dyDescent="0.25">
      <c r="B27" s="97"/>
      <c r="D27" s="98"/>
      <c r="E27" s="98"/>
      <c r="F27" s="98"/>
      <c r="G27" s="13"/>
      <c r="H27" s="14"/>
      <c r="I27" s="15" t="s">
        <v>4</v>
      </c>
      <c r="J27" s="15" t="s">
        <v>4</v>
      </c>
      <c r="K27" s="15" t="s">
        <v>26</v>
      </c>
      <c r="L27" s="15" t="s">
        <v>26</v>
      </c>
      <c r="M27" s="15" t="str">
        <f t="shared" ref="M27:AE27" si="4">IF(OR(TRIM(M10)=0,TRIM(M10)=""),"",IF(IFERROR(TRIM(INDEX(QryItemNamed,MATCH(TRIM(M10),ITEM,0),3)),"")="LS","",IFERROR(TRIM(INDEX(QryItemNamed,MATCH(TRIM(M10),ITEM,0),3)),"")))</f>
        <v/>
      </c>
      <c r="N27" s="15" t="str">
        <f t="shared" si="4"/>
        <v>SY</v>
      </c>
      <c r="O27" s="15"/>
      <c r="P27" s="15" t="str">
        <f t="shared" ref="P27:R27" si="5">IF(OR(TRIM(P10)=0,TRIM(P10)=""),"",IF(IFERROR(TRIM(INDEX(QryItemNamed,MATCH(TRIM(P10),ITEM,0),3)),"")="LS","",IFERROR(TRIM(INDEX(QryItemNamed,MATCH(TRIM(P10),ITEM,0),3)),"")))</f>
        <v>SY</v>
      </c>
      <c r="Q27" s="15"/>
      <c r="R27" s="15" t="str">
        <f t="shared" si="5"/>
        <v>FT</v>
      </c>
      <c r="S27" s="15"/>
      <c r="T27" s="132"/>
      <c r="U27" s="15" t="str">
        <f t="shared" si="4"/>
        <v>SY</v>
      </c>
      <c r="V27" s="15"/>
      <c r="W27" s="15" t="str">
        <f t="shared" si="4"/>
        <v>CY</v>
      </c>
      <c r="X27" s="15" t="str">
        <f t="shared" si="4"/>
        <v/>
      </c>
      <c r="Y27" s="15" t="str">
        <f t="shared" si="4"/>
        <v>GAL</v>
      </c>
      <c r="Z27" s="15"/>
      <c r="AA27" s="15" t="str">
        <f t="shared" si="4"/>
        <v>CY</v>
      </c>
      <c r="AB27" s="132"/>
      <c r="AC27" s="15" t="str">
        <f t="shared" si="4"/>
        <v>CY</v>
      </c>
      <c r="AD27" s="15" t="str">
        <f t="shared" si="4"/>
        <v/>
      </c>
      <c r="AE27" s="15" t="str">
        <f t="shared" si="4"/>
        <v/>
      </c>
    </row>
    <row r="28" spans="2:33" ht="12.75" customHeight="1" x14ac:dyDescent="0.2">
      <c r="B28" s="50"/>
      <c r="D28" s="65"/>
      <c r="E28" s="65"/>
      <c r="F28" s="65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133"/>
      <c r="U28" s="67"/>
      <c r="V28" s="67"/>
      <c r="W28" s="67"/>
      <c r="X28" s="67"/>
      <c r="Y28" s="67"/>
      <c r="Z28" s="67"/>
      <c r="AA28" s="67"/>
      <c r="AB28" s="133"/>
      <c r="AC28" s="67"/>
      <c r="AD28" s="67"/>
      <c r="AE28" s="67"/>
      <c r="AG28" s="1">
        <v>1</v>
      </c>
    </row>
    <row r="29" spans="2:33" ht="12.75" customHeight="1" x14ac:dyDescent="0.2">
      <c r="B29" s="39"/>
      <c r="D29" s="106" t="s">
        <v>40</v>
      </c>
      <c r="E29" s="106"/>
      <c r="F29" s="106"/>
      <c r="G29" s="24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34"/>
      <c r="U29" s="21"/>
      <c r="V29" s="21"/>
      <c r="W29" s="21"/>
      <c r="X29" s="21"/>
      <c r="Y29" s="21"/>
      <c r="Z29" s="21"/>
      <c r="AA29" s="21"/>
      <c r="AB29" s="134"/>
      <c r="AC29" s="21"/>
      <c r="AD29" s="21"/>
      <c r="AE29" s="21"/>
      <c r="AG29" s="1">
        <v>2</v>
      </c>
    </row>
    <row r="30" spans="2:33" ht="12.75" customHeight="1" x14ac:dyDescent="0.2">
      <c r="B30" s="39"/>
      <c r="D30" s="22">
        <v>87965</v>
      </c>
      <c r="E30" s="23" t="s">
        <v>1</v>
      </c>
      <c r="F30" s="22">
        <v>87985</v>
      </c>
      <c r="G30" s="24" t="s">
        <v>41</v>
      </c>
      <c r="H30" s="25" t="s">
        <v>35</v>
      </c>
      <c r="I30" s="21">
        <f t="shared" ref="I30:I31" si="6">IF(D30&lt;&gt;"",F30-D30,"")</f>
        <v>20</v>
      </c>
      <c r="J30" s="21">
        <f>(3.17+3.91)/2</f>
        <v>3.54</v>
      </c>
      <c r="K30" s="21">
        <f t="shared" ref="K30:K31" si="7">(I30*J30)/9</f>
        <v>7.8666666666666663</v>
      </c>
      <c r="L30" s="21"/>
      <c r="M30" s="21"/>
      <c r="N30" s="21"/>
      <c r="O30" s="21"/>
      <c r="P30" s="21"/>
      <c r="Q30" s="21"/>
      <c r="R30" s="21">
        <f>I30+1.5</f>
        <v>21.5</v>
      </c>
      <c r="S30" s="21"/>
      <c r="T30" s="134"/>
      <c r="U30" s="21"/>
      <c r="V30" s="21"/>
      <c r="W30" s="21">
        <f>5/36*$K30</f>
        <v>1.0925925925925926</v>
      </c>
      <c r="X30" s="21"/>
      <c r="Y30" s="21"/>
      <c r="Z30" s="21"/>
      <c r="AA30" s="21"/>
      <c r="AB30" s="134"/>
      <c r="AC30" s="21"/>
      <c r="AD30" s="21"/>
      <c r="AE30" s="21"/>
      <c r="AG30" s="1">
        <v>3</v>
      </c>
    </row>
    <row r="31" spans="2:33" ht="12.75" customHeight="1" x14ac:dyDescent="0.2">
      <c r="B31" s="39"/>
      <c r="D31" s="22">
        <v>87965</v>
      </c>
      <c r="E31" s="23" t="s">
        <v>1</v>
      </c>
      <c r="F31" s="22">
        <v>87985</v>
      </c>
      <c r="G31" s="24" t="s">
        <v>41</v>
      </c>
      <c r="H31" s="25" t="s">
        <v>38</v>
      </c>
      <c r="I31" s="21">
        <f t="shared" si="6"/>
        <v>20</v>
      </c>
      <c r="J31" s="21">
        <f>(3.34+2.91)/2</f>
        <v>3.125</v>
      </c>
      <c r="K31" s="21">
        <f t="shared" si="7"/>
        <v>6.9444444444444446</v>
      </c>
      <c r="L31" s="21"/>
      <c r="M31" s="21"/>
      <c r="N31" s="21"/>
      <c r="O31" s="21"/>
      <c r="P31" s="21"/>
      <c r="Q31" s="21"/>
      <c r="R31" s="21">
        <f>I31+1.5</f>
        <v>21.5</v>
      </c>
      <c r="S31" s="21"/>
      <c r="T31" s="134"/>
      <c r="U31" s="21"/>
      <c r="V31" s="21"/>
      <c r="W31" s="21">
        <f>5/36*$K31</f>
        <v>0.96450617283950624</v>
      </c>
      <c r="X31" s="21"/>
      <c r="Y31" s="21"/>
      <c r="Z31" s="21"/>
      <c r="AA31" s="21"/>
      <c r="AB31" s="134"/>
      <c r="AC31" s="21"/>
      <c r="AD31" s="21"/>
      <c r="AE31" s="21"/>
      <c r="AG31" s="1">
        <v>4</v>
      </c>
    </row>
    <row r="32" spans="2:33" ht="12.75" customHeight="1" x14ac:dyDescent="0.2">
      <c r="B32" s="39"/>
      <c r="D32" s="22"/>
      <c r="E32" s="23"/>
      <c r="F32" s="22"/>
      <c r="G32" s="24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34"/>
      <c r="U32" s="21"/>
      <c r="V32" s="21"/>
      <c r="W32" s="21"/>
      <c r="X32" s="21"/>
      <c r="Y32" s="21"/>
      <c r="Z32" s="21"/>
      <c r="AA32" s="21"/>
      <c r="AB32" s="134"/>
      <c r="AC32" s="21"/>
      <c r="AD32" s="21"/>
      <c r="AE32" s="21"/>
      <c r="AG32" s="1">
        <v>5</v>
      </c>
    </row>
    <row r="33" spans="2:33" ht="12.75" customHeight="1" x14ac:dyDescent="0.2">
      <c r="B33" s="39"/>
      <c r="D33" s="22">
        <v>87985</v>
      </c>
      <c r="E33" s="23" t="s">
        <v>1</v>
      </c>
      <c r="F33" s="22">
        <v>88108.29</v>
      </c>
      <c r="G33" s="24" t="s">
        <v>41</v>
      </c>
      <c r="H33" s="25" t="s">
        <v>42</v>
      </c>
      <c r="I33" s="21">
        <f t="shared" ref="I33" si="8">IF(D33&lt;&gt;"",F33-D33,"")</f>
        <v>123.2899999999936</v>
      </c>
      <c r="J33" s="21">
        <v>5.81</v>
      </c>
      <c r="K33" s="21">
        <f t="shared" ref="K33" si="9">(I33*J33)/9</f>
        <v>79.590544444440312</v>
      </c>
      <c r="L33" s="21"/>
      <c r="M33" s="21"/>
      <c r="N33" s="21"/>
      <c r="O33" s="21"/>
      <c r="P33" s="21"/>
      <c r="Q33" s="21"/>
      <c r="R33" s="21">
        <f>I33*2</f>
        <v>246.57999999998719</v>
      </c>
      <c r="S33" s="21"/>
      <c r="T33" s="134"/>
      <c r="U33" s="21"/>
      <c r="V33" s="21"/>
      <c r="W33" s="21">
        <f>5/36*$K33</f>
        <v>11.054242283950044</v>
      </c>
      <c r="X33" s="21"/>
      <c r="Y33" s="21"/>
      <c r="Z33" s="21"/>
      <c r="AA33" s="21"/>
      <c r="AB33" s="134"/>
      <c r="AC33" s="21"/>
      <c r="AD33" s="21"/>
      <c r="AE33" s="21"/>
      <c r="AG33" s="1">
        <v>6</v>
      </c>
    </row>
    <row r="34" spans="2:33" ht="12.75" customHeight="1" x14ac:dyDescent="0.2">
      <c r="B34" s="39"/>
      <c r="D34" s="22"/>
      <c r="E34" s="23"/>
      <c r="F34" s="22"/>
      <c r="G34" s="24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34"/>
      <c r="U34" s="21"/>
      <c r="V34" s="21"/>
      <c r="W34" s="21"/>
      <c r="X34" s="21"/>
      <c r="Y34" s="21"/>
      <c r="Z34" s="21"/>
      <c r="AA34" s="21"/>
      <c r="AB34" s="134"/>
      <c r="AC34" s="21"/>
      <c r="AD34" s="21"/>
      <c r="AE34" s="21"/>
      <c r="AG34" s="1">
        <v>7</v>
      </c>
    </row>
    <row r="35" spans="2:33" ht="12.75" customHeight="1" x14ac:dyDescent="0.2">
      <c r="B35" s="39"/>
      <c r="D35" s="22">
        <v>88108.29</v>
      </c>
      <c r="E35" s="23" t="s">
        <v>1</v>
      </c>
      <c r="F35" s="22">
        <v>88128.9</v>
      </c>
      <c r="G35" s="24" t="s">
        <v>41</v>
      </c>
      <c r="H35" s="25" t="s">
        <v>35</v>
      </c>
      <c r="I35" s="21">
        <f t="shared" ref="I35:I36" si="10">IF(D35&lt;&gt;"",F35-D35,"")</f>
        <v>20.610000000000582</v>
      </c>
      <c r="J35" s="21">
        <f>(2.91+3.02)/2</f>
        <v>2.9649999999999999</v>
      </c>
      <c r="K35" s="21">
        <f t="shared" ref="K35:K36" si="11">(I35*J35)/9</f>
        <v>6.7898500000001913</v>
      </c>
      <c r="L35" s="21"/>
      <c r="M35" s="21"/>
      <c r="N35" s="21"/>
      <c r="O35" s="21"/>
      <c r="P35" s="21"/>
      <c r="Q35" s="21"/>
      <c r="R35" s="21">
        <f>I35+1.5</f>
        <v>22.110000000000582</v>
      </c>
      <c r="S35" s="21"/>
      <c r="T35" s="134"/>
      <c r="U35" s="21"/>
      <c r="V35" s="21"/>
      <c r="W35" s="21">
        <f>5/36*$K35</f>
        <v>0.94303472222224882</v>
      </c>
      <c r="X35" s="21"/>
      <c r="Y35" s="21"/>
      <c r="Z35" s="21"/>
      <c r="AA35" s="21"/>
      <c r="AB35" s="134"/>
      <c r="AC35" s="21"/>
      <c r="AD35" s="21"/>
      <c r="AE35" s="21"/>
      <c r="AG35" s="1">
        <v>8</v>
      </c>
    </row>
    <row r="36" spans="2:33" ht="12.75" customHeight="1" x14ac:dyDescent="0.2">
      <c r="B36" s="39"/>
      <c r="D36" s="22">
        <v>88108.29</v>
      </c>
      <c r="E36" s="23" t="s">
        <v>1</v>
      </c>
      <c r="F36" s="22">
        <v>88128.9</v>
      </c>
      <c r="G36" s="24" t="s">
        <v>41</v>
      </c>
      <c r="H36" s="25" t="s">
        <v>38</v>
      </c>
      <c r="I36" s="21">
        <f t="shared" si="10"/>
        <v>20.610000000000582</v>
      </c>
      <c r="J36" s="21">
        <f>(2.91+4.25)/2</f>
        <v>3.58</v>
      </c>
      <c r="K36" s="21">
        <f t="shared" si="11"/>
        <v>8.1982000000002326</v>
      </c>
      <c r="L36" s="21"/>
      <c r="M36" s="21"/>
      <c r="N36" s="21"/>
      <c r="O36" s="21"/>
      <c r="P36" s="21"/>
      <c r="Q36" s="21"/>
      <c r="R36" s="21">
        <f>I36+1.5</f>
        <v>22.110000000000582</v>
      </c>
      <c r="S36" s="21"/>
      <c r="T36" s="134"/>
      <c r="U36" s="21"/>
      <c r="V36" s="21"/>
      <c r="W36" s="21">
        <f>5/36*$K36</f>
        <v>1.1386388888889212</v>
      </c>
      <c r="X36" s="21"/>
      <c r="Y36" s="21"/>
      <c r="Z36" s="21"/>
      <c r="AA36" s="21"/>
      <c r="AB36" s="134"/>
      <c r="AC36" s="21"/>
      <c r="AD36" s="21"/>
      <c r="AE36" s="21"/>
      <c r="AG36" s="1">
        <v>9</v>
      </c>
    </row>
    <row r="37" spans="2:33" ht="12.75" customHeight="1" x14ac:dyDescent="0.2">
      <c r="B37" s="39"/>
      <c r="D37" s="107" t="s">
        <v>43</v>
      </c>
      <c r="E37" s="107"/>
      <c r="F37" s="107"/>
      <c r="G37" s="24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34"/>
      <c r="U37" s="21"/>
      <c r="V37" s="21"/>
      <c r="W37" s="21"/>
      <c r="X37" s="21"/>
      <c r="Y37" s="21"/>
      <c r="Z37" s="21"/>
      <c r="AA37" s="21"/>
      <c r="AB37" s="134"/>
      <c r="AC37" s="21"/>
      <c r="AD37" s="21"/>
      <c r="AE37" s="21"/>
      <c r="AG37" s="1">
        <v>10</v>
      </c>
    </row>
    <row r="38" spans="2:33" ht="12.75" customHeight="1" x14ac:dyDescent="0.2">
      <c r="B38" s="39"/>
      <c r="D38" s="22">
        <v>88131.9</v>
      </c>
      <c r="E38" s="23" t="s">
        <v>1</v>
      </c>
      <c r="F38" s="22">
        <v>88152</v>
      </c>
      <c r="G38" s="24" t="s">
        <v>41</v>
      </c>
      <c r="H38" s="25" t="s">
        <v>35</v>
      </c>
      <c r="I38" s="21">
        <f t="shared" ref="I38:I39" si="12">IF(D38&lt;&gt;"",F38-D38,"")</f>
        <v>20.100000000005821</v>
      </c>
      <c r="J38" s="21">
        <f>(3.22+3.91)/2</f>
        <v>3.5650000000000004</v>
      </c>
      <c r="K38" s="21">
        <f t="shared" ref="K38:K39" si="13">(I38*J38)/9</f>
        <v>7.9618333333356395</v>
      </c>
      <c r="L38" s="21"/>
      <c r="M38" s="21"/>
      <c r="N38" s="21"/>
      <c r="O38" s="21"/>
      <c r="P38" s="21"/>
      <c r="Q38" s="21"/>
      <c r="R38" s="21">
        <f>I38+1.5</f>
        <v>21.600000000005821</v>
      </c>
      <c r="S38" s="21"/>
      <c r="T38" s="134"/>
      <c r="U38" s="21"/>
      <c r="V38" s="21"/>
      <c r="W38" s="21">
        <f>5/36*$K38</f>
        <v>1.1058101851855056</v>
      </c>
      <c r="X38" s="21"/>
      <c r="Y38" s="21"/>
      <c r="Z38" s="21"/>
      <c r="AA38" s="21"/>
      <c r="AB38" s="134"/>
      <c r="AC38" s="21"/>
      <c r="AD38" s="21"/>
      <c r="AE38" s="21"/>
      <c r="AG38" s="1">
        <v>11</v>
      </c>
    </row>
    <row r="39" spans="2:33" ht="12.75" customHeight="1" x14ac:dyDescent="0.2">
      <c r="B39" s="39"/>
      <c r="D39" s="22">
        <v>88131.9</v>
      </c>
      <c r="E39" s="23" t="s">
        <v>1</v>
      </c>
      <c r="F39" s="22">
        <v>88152</v>
      </c>
      <c r="G39" s="24" t="s">
        <v>41</v>
      </c>
      <c r="H39" s="25" t="s">
        <v>38</v>
      </c>
      <c r="I39" s="21">
        <f t="shared" si="12"/>
        <v>20.100000000005821</v>
      </c>
      <c r="J39" s="21">
        <f>(4.28+3.91)/2</f>
        <v>4.0950000000000006</v>
      </c>
      <c r="K39" s="21">
        <f t="shared" si="13"/>
        <v>9.1455000000026487</v>
      </c>
      <c r="L39" s="21"/>
      <c r="M39" s="21"/>
      <c r="N39" s="21"/>
      <c r="O39" s="21"/>
      <c r="P39" s="21"/>
      <c r="Q39" s="21"/>
      <c r="R39" s="21">
        <f>I39+1.5</f>
        <v>21.600000000005821</v>
      </c>
      <c r="S39" s="21"/>
      <c r="T39" s="134"/>
      <c r="U39" s="21"/>
      <c r="V39" s="21"/>
      <c r="W39" s="21">
        <f>5/36*$K39</f>
        <v>1.2702083333337013</v>
      </c>
      <c r="X39" s="21"/>
      <c r="Y39" s="21"/>
      <c r="Z39" s="21"/>
      <c r="AA39" s="21"/>
      <c r="AB39" s="134"/>
      <c r="AC39" s="21"/>
      <c r="AD39" s="21"/>
      <c r="AE39" s="21"/>
      <c r="AG39" s="1">
        <v>12</v>
      </c>
    </row>
    <row r="40" spans="2:33" ht="12.75" customHeight="1" x14ac:dyDescent="0.2">
      <c r="B40" s="39"/>
      <c r="D40" s="22"/>
      <c r="E40" s="23"/>
      <c r="F40" s="22"/>
      <c r="G40" s="24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34"/>
      <c r="U40" s="21"/>
      <c r="V40" s="21"/>
      <c r="W40" s="21"/>
      <c r="X40" s="21"/>
      <c r="Y40" s="21"/>
      <c r="Z40" s="21"/>
      <c r="AA40" s="21"/>
      <c r="AB40" s="134"/>
      <c r="AC40" s="21"/>
      <c r="AD40" s="21"/>
      <c r="AE40" s="21"/>
      <c r="AG40" s="1">
        <v>13</v>
      </c>
    </row>
    <row r="41" spans="2:33" ht="12.75" customHeight="1" x14ac:dyDescent="0.2">
      <c r="B41" s="39"/>
      <c r="D41" s="22">
        <v>88152</v>
      </c>
      <c r="E41" s="23" t="s">
        <v>1</v>
      </c>
      <c r="F41" s="22">
        <v>88192</v>
      </c>
      <c r="G41" s="24" t="s">
        <v>41</v>
      </c>
      <c r="H41" s="25" t="s">
        <v>42</v>
      </c>
      <c r="I41" s="21">
        <f t="shared" ref="I41:I43" si="14">IF(D41&lt;&gt;"",F41-D41,"")</f>
        <v>40</v>
      </c>
      <c r="J41" s="21">
        <f>(7.81+8.81)/2</f>
        <v>8.31</v>
      </c>
      <c r="K41" s="21">
        <f t="shared" ref="K41:K43" si="15">(I41*J41)/9</f>
        <v>36.933333333333337</v>
      </c>
      <c r="L41" s="21"/>
      <c r="M41" s="21"/>
      <c r="N41" s="21"/>
      <c r="O41" s="21"/>
      <c r="P41" s="21"/>
      <c r="Q41" s="21"/>
      <c r="R41" s="21">
        <f>I41*2</f>
        <v>80</v>
      </c>
      <c r="S41" s="21"/>
      <c r="T41" s="134"/>
      <c r="U41" s="21"/>
      <c r="V41" s="21"/>
      <c r="W41" s="21">
        <f>5/36*$K41</f>
        <v>5.1296296296296306</v>
      </c>
      <c r="X41" s="21"/>
      <c r="Y41" s="21"/>
      <c r="Z41" s="21"/>
      <c r="AA41" s="21"/>
      <c r="AB41" s="134"/>
      <c r="AC41" s="21"/>
      <c r="AD41" s="21"/>
      <c r="AE41" s="21"/>
      <c r="AG41" s="1">
        <v>14</v>
      </c>
    </row>
    <row r="42" spans="2:33" ht="12.75" customHeight="1" x14ac:dyDescent="0.2">
      <c r="B42" s="39"/>
      <c r="D42" s="22">
        <v>88192</v>
      </c>
      <c r="E42" s="23" t="s">
        <v>1</v>
      </c>
      <c r="F42" s="22">
        <v>88239</v>
      </c>
      <c r="G42" s="24" t="s">
        <v>41</v>
      </c>
      <c r="H42" s="25" t="s">
        <v>42</v>
      </c>
      <c r="I42" s="21">
        <f t="shared" si="14"/>
        <v>47</v>
      </c>
      <c r="J42" s="21">
        <v>8.81</v>
      </c>
      <c r="K42" s="21">
        <f t="shared" si="15"/>
        <v>46.007777777777783</v>
      </c>
      <c r="L42" s="21"/>
      <c r="M42" s="21"/>
      <c r="N42" s="21"/>
      <c r="O42" s="21"/>
      <c r="P42" s="21"/>
      <c r="Q42" s="21"/>
      <c r="R42" s="21">
        <f>I42*2</f>
        <v>94</v>
      </c>
      <c r="S42" s="21"/>
      <c r="T42" s="134"/>
      <c r="U42" s="21"/>
      <c r="V42" s="21"/>
      <c r="W42" s="21">
        <f t="shared" ref="W42:W50" si="16">5/36*$K42</f>
        <v>6.3899691358024704</v>
      </c>
      <c r="X42" s="21"/>
      <c r="Y42" s="21"/>
      <c r="Z42" s="21"/>
      <c r="AA42" s="21"/>
      <c r="AB42" s="134"/>
      <c r="AC42" s="21"/>
      <c r="AD42" s="21"/>
      <c r="AE42" s="21"/>
      <c r="AG42" s="1">
        <v>15</v>
      </c>
    </row>
    <row r="43" spans="2:33" ht="12.75" customHeight="1" x14ac:dyDescent="0.2">
      <c r="B43" s="39"/>
      <c r="D43" s="22">
        <v>88239</v>
      </c>
      <c r="E43" s="23" t="s">
        <v>1</v>
      </c>
      <c r="F43" s="22">
        <v>88279</v>
      </c>
      <c r="G43" s="24" t="s">
        <v>41</v>
      </c>
      <c r="H43" s="25" t="s">
        <v>42</v>
      </c>
      <c r="I43" s="21">
        <f t="shared" si="14"/>
        <v>40</v>
      </c>
      <c r="J43" s="21">
        <f>(8.81+7.81)/2</f>
        <v>8.31</v>
      </c>
      <c r="K43" s="21">
        <f t="shared" si="15"/>
        <v>36.933333333333337</v>
      </c>
      <c r="L43" s="21"/>
      <c r="M43" s="21"/>
      <c r="N43" s="21"/>
      <c r="O43" s="21"/>
      <c r="P43" s="21"/>
      <c r="Q43" s="21"/>
      <c r="R43" s="21">
        <f>I43*2</f>
        <v>80</v>
      </c>
      <c r="S43" s="21"/>
      <c r="T43" s="134"/>
      <c r="U43" s="21"/>
      <c r="V43" s="21"/>
      <c r="W43" s="21">
        <f t="shared" si="16"/>
        <v>5.1296296296296306</v>
      </c>
      <c r="X43" s="21"/>
      <c r="Y43" s="21"/>
      <c r="Z43" s="21"/>
      <c r="AA43" s="21"/>
      <c r="AB43" s="134"/>
      <c r="AC43" s="21"/>
      <c r="AD43" s="21"/>
      <c r="AE43" s="21"/>
      <c r="AG43" s="1">
        <v>16</v>
      </c>
    </row>
    <row r="44" spans="2:33" ht="12.75" customHeight="1" x14ac:dyDescent="0.2">
      <c r="B44" s="39"/>
      <c r="D44" s="22"/>
      <c r="E44" s="23"/>
      <c r="F44" s="22"/>
      <c r="G44" s="24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34"/>
      <c r="U44" s="21"/>
      <c r="V44" s="21"/>
      <c r="W44" s="21"/>
      <c r="X44" s="21"/>
      <c r="Y44" s="21"/>
      <c r="Z44" s="21"/>
      <c r="AA44" s="21"/>
      <c r="AB44" s="134"/>
      <c r="AC44" s="21"/>
      <c r="AD44" s="21"/>
      <c r="AE44" s="21"/>
      <c r="AG44" s="1">
        <v>17</v>
      </c>
    </row>
    <row r="45" spans="2:33" ht="12.75" customHeight="1" x14ac:dyDescent="0.2">
      <c r="B45" s="39"/>
      <c r="D45" s="22">
        <v>88279</v>
      </c>
      <c r="E45" s="23" t="s">
        <v>1</v>
      </c>
      <c r="F45" s="22">
        <v>88300</v>
      </c>
      <c r="G45" s="24" t="s">
        <v>41</v>
      </c>
      <c r="H45" s="25" t="s">
        <v>42</v>
      </c>
      <c r="I45" s="21">
        <f t="shared" ref="I45:I47" si="17">IF(D45&lt;&gt;"",F45-D45,"")</f>
        <v>21</v>
      </c>
      <c r="J45" s="21">
        <v>7.81</v>
      </c>
      <c r="K45" s="21">
        <f t="shared" ref="K45:K47" si="18">(I45*J45)/9</f>
        <v>18.223333333333333</v>
      </c>
      <c r="L45" s="21"/>
      <c r="M45" s="21"/>
      <c r="N45" s="21"/>
      <c r="O45" s="21"/>
      <c r="P45" s="21"/>
      <c r="Q45" s="21"/>
      <c r="R45" s="21">
        <f>I45*2</f>
        <v>42</v>
      </c>
      <c r="S45" s="21"/>
      <c r="T45" s="134"/>
      <c r="U45" s="21"/>
      <c r="V45" s="21"/>
      <c r="W45" s="21">
        <f t="shared" si="16"/>
        <v>2.5310185185185183</v>
      </c>
      <c r="X45" s="21"/>
      <c r="Y45" s="21"/>
      <c r="Z45" s="21"/>
      <c r="AA45" s="21"/>
      <c r="AB45" s="134"/>
      <c r="AC45" s="21"/>
      <c r="AD45" s="21"/>
      <c r="AE45" s="21"/>
      <c r="AG45" s="1">
        <v>18</v>
      </c>
    </row>
    <row r="46" spans="2:33" ht="12.75" customHeight="1" x14ac:dyDescent="0.2">
      <c r="B46" s="39"/>
      <c r="D46" s="22">
        <v>88300</v>
      </c>
      <c r="E46" s="23" t="s">
        <v>1</v>
      </c>
      <c r="F46" s="22">
        <v>88340</v>
      </c>
      <c r="G46" s="24" t="s">
        <v>41</v>
      </c>
      <c r="H46" s="25" t="s">
        <v>42</v>
      </c>
      <c r="I46" s="21">
        <f t="shared" si="17"/>
        <v>40</v>
      </c>
      <c r="J46" s="21">
        <f>(7.81+5.81)/2</f>
        <v>6.81</v>
      </c>
      <c r="K46" s="21">
        <f t="shared" si="18"/>
        <v>30.266666666666666</v>
      </c>
      <c r="L46" s="21"/>
      <c r="M46" s="21"/>
      <c r="N46" s="21"/>
      <c r="O46" s="21"/>
      <c r="P46" s="21"/>
      <c r="Q46" s="21"/>
      <c r="R46" s="21">
        <f>I46*2</f>
        <v>80</v>
      </c>
      <c r="S46" s="21"/>
      <c r="T46" s="134"/>
      <c r="U46" s="21"/>
      <c r="V46" s="21"/>
      <c r="W46" s="21">
        <f t="shared" si="16"/>
        <v>4.2037037037037042</v>
      </c>
      <c r="X46" s="21"/>
      <c r="Y46" s="21"/>
      <c r="Z46" s="21"/>
      <c r="AA46" s="21"/>
      <c r="AB46" s="134"/>
      <c r="AC46" s="21"/>
      <c r="AD46" s="21"/>
      <c r="AE46" s="21"/>
      <c r="AG46" s="1">
        <v>19</v>
      </c>
    </row>
    <row r="47" spans="2:33" ht="12.75" customHeight="1" x14ac:dyDescent="0.2">
      <c r="B47" s="39"/>
      <c r="D47" s="22">
        <v>88340</v>
      </c>
      <c r="E47" s="23" t="s">
        <v>1</v>
      </c>
      <c r="F47" s="22">
        <v>88355</v>
      </c>
      <c r="G47" s="24" t="s">
        <v>41</v>
      </c>
      <c r="H47" s="25" t="s">
        <v>42</v>
      </c>
      <c r="I47" s="21">
        <f t="shared" si="17"/>
        <v>15</v>
      </c>
      <c r="J47" s="21">
        <v>5.81</v>
      </c>
      <c r="K47" s="21">
        <f t="shared" si="18"/>
        <v>9.6833333333333318</v>
      </c>
      <c r="L47" s="21"/>
      <c r="M47" s="21"/>
      <c r="N47" s="21"/>
      <c r="O47" s="21"/>
      <c r="P47" s="21"/>
      <c r="Q47" s="21"/>
      <c r="R47" s="21">
        <f>I47*2</f>
        <v>30</v>
      </c>
      <c r="S47" s="21"/>
      <c r="T47" s="134"/>
      <c r="U47" s="21"/>
      <c r="V47" s="21"/>
      <c r="W47" s="21">
        <f t="shared" si="16"/>
        <v>1.3449074074074072</v>
      </c>
      <c r="X47" s="21"/>
      <c r="Y47" s="21"/>
      <c r="Z47" s="21"/>
      <c r="AA47" s="21"/>
      <c r="AB47" s="134"/>
      <c r="AC47" s="21"/>
      <c r="AD47" s="21"/>
      <c r="AE47" s="21"/>
      <c r="AG47" s="1">
        <v>20</v>
      </c>
    </row>
    <row r="48" spans="2:33" ht="12.75" customHeight="1" x14ac:dyDescent="0.2">
      <c r="B48" s="39"/>
      <c r="D48" s="22"/>
      <c r="E48" s="23"/>
      <c r="F48" s="22"/>
      <c r="G48" s="24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34"/>
      <c r="U48" s="21"/>
      <c r="V48" s="21"/>
      <c r="W48" s="21"/>
      <c r="X48" s="21"/>
      <c r="Y48" s="21"/>
      <c r="Z48" s="21"/>
      <c r="AA48" s="21"/>
      <c r="AB48" s="134"/>
      <c r="AC48" s="21"/>
      <c r="AD48" s="21"/>
      <c r="AE48" s="21"/>
      <c r="AG48" s="1">
        <v>21</v>
      </c>
    </row>
    <row r="49" spans="2:33" ht="12.75" customHeight="1" x14ac:dyDescent="0.2">
      <c r="B49" s="39"/>
      <c r="D49" s="22">
        <v>88355</v>
      </c>
      <c r="E49" s="23" t="s">
        <v>1</v>
      </c>
      <c r="F49" s="22">
        <v>88375</v>
      </c>
      <c r="G49" s="24" t="s">
        <v>41</v>
      </c>
      <c r="H49" s="25" t="s">
        <v>35</v>
      </c>
      <c r="I49" s="21">
        <f t="shared" ref="I49:I50" si="19">IF(D49&lt;&gt;"",F49-D49,"")</f>
        <v>20</v>
      </c>
      <c r="J49" s="21">
        <f>(2.91+2.69)/2</f>
        <v>2.8</v>
      </c>
      <c r="K49" s="21">
        <f t="shared" ref="K49:K50" si="20">(I49*J49)/9</f>
        <v>6.2222222222222223</v>
      </c>
      <c r="L49" s="21"/>
      <c r="M49" s="21"/>
      <c r="N49" s="21"/>
      <c r="O49" s="21"/>
      <c r="P49" s="21"/>
      <c r="Q49" s="21"/>
      <c r="R49" s="21">
        <f>I49+1.5</f>
        <v>21.5</v>
      </c>
      <c r="S49" s="21"/>
      <c r="T49" s="134"/>
      <c r="U49" s="21"/>
      <c r="V49" s="21"/>
      <c r="W49" s="21">
        <f t="shared" si="16"/>
        <v>0.86419753086419759</v>
      </c>
      <c r="X49" s="21"/>
      <c r="Y49" s="21"/>
      <c r="Z49" s="21"/>
      <c r="AA49" s="21"/>
      <c r="AB49" s="134"/>
      <c r="AC49" s="21"/>
      <c r="AD49" s="21"/>
      <c r="AE49" s="21"/>
      <c r="AG49" s="1">
        <v>22</v>
      </c>
    </row>
    <row r="50" spans="2:33" ht="12.75" customHeight="1" x14ac:dyDescent="0.2">
      <c r="B50" s="39"/>
      <c r="D50" s="27">
        <v>88355</v>
      </c>
      <c r="E50" s="28" t="s">
        <v>1</v>
      </c>
      <c r="F50" s="27">
        <v>88375</v>
      </c>
      <c r="G50" s="29" t="s">
        <v>41</v>
      </c>
      <c r="H50" s="26" t="s">
        <v>38</v>
      </c>
      <c r="I50" s="30">
        <f t="shared" si="19"/>
        <v>20</v>
      </c>
      <c r="J50" s="30">
        <f>(2.91+2.89)/2</f>
        <v>2.9000000000000004</v>
      </c>
      <c r="K50" s="30">
        <f t="shared" si="20"/>
        <v>6.4444444444444455</v>
      </c>
      <c r="L50" s="30"/>
      <c r="M50" s="30"/>
      <c r="N50" s="30"/>
      <c r="O50" s="30"/>
      <c r="P50" s="30"/>
      <c r="Q50" s="30"/>
      <c r="R50" s="30">
        <f>I50+1.5</f>
        <v>21.5</v>
      </c>
      <c r="S50" s="30"/>
      <c r="T50" s="135"/>
      <c r="U50" s="30"/>
      <c r="V50" s="30"/>
      <c r="W50" s="30">
        <f t="shared" si="16"/>
        <v>0.89506172839506193</v>
      </c>
      <c r="X50" s="30"/>
      <c r="Y50" s="30"/>
      <c r="Z50" s="30"/>
      <c r="AA50" s="30"/>
      <c r="AB50" s="135"/>
      <c r="AC50" s="30"/>
      <c r="AD50" s="30"/>
      <c r="AE50" s="30"/>
      <c r="AG50" s="1">
        <v>23</v>
      </c>
    </row>
    <row r="51" spans="2:33" ht="12.75" customHeight="1" x14ac:dyDescent="0.2">
      <c r="B51" s="39"/>
      <c r="D51" s="22"/>
      <c r="E51" s="23"/>
      <c r="F51" s="22"/>
      <c r="G51" s="24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34"/>
      <c r="U51" s="21"/>
      <c r="V51" s="21"/>
      <c r="W51" s="21"/>
      <c r="X51" s="21"/>
      <c r="Y51" s="21"/>
      <c r="Z51" s="21"/>
      <c r="AA51" s="21"/>
      <c r="AB51" s="134"/>
      <c r="AC51" s="21"/>
      <c r="AD51" s="21"/>
      <c r="AE51" s="21"/>
      <c r="AG51" s="1">
        <v>24</v>
      </c>
    </row>
    <row r="52" spans="2:33" ht="12.75" customHeight="1" x14ac:dyDescent="0.2">
      <c r="B52" s="39"/>
      <c r="D52" s="22"/>
      <c r="E52" s="23"/>
      <c r="F52" s="22"/>
      <c r="G52" s="24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34"/>
      <c r="U52" s="21"/>
      <c r="V52" s="21"/>
      <c r="W52" s="21"/>
      <c r="X52" s="21"/>
      <c r="Y52" s="21"/>
      <c r="Z52" s="21"/>
      <c r="AA52" s="21"/>
      <c r="AB52" s="134"/>
      <c r="AC52" s="21"/>
      <c r="AD52" s="21"/>
      <c r="AE52" s="21"/>
      <c r="AG52" s="1">
        <v>25</v>
      </c>
    </row>
    <row r="53" spans="2:33" ht="12.75" customHeight="1" x14ac:dyDescent="0.2">
      <c r="B53" s="39"/>
      <c r="D53" s="22"/>
      <c r="E53" s="23"/>
      <c r="F53" s="22"/>
      <c r="G53" s="24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34"/>
      <c r="U53" s="21"/>
      <c r="V53" s="21"/>
      <c r="W53" s="21"/>
      <c r="X53" s="21"/>
      <c r="Y53" s="21"/>
      <c r="Z53" s="21"/>
      <c r="AA53" s="21"/>
      <c r="AB53" s="134"/>
      <c r="AC53" s="21"/>
      <c r="AD53" s="21"/>
      <c r="AE53" s="21"/>
      <c r="AG53" s="1">
        <v>26</v>
      </c>
    </row>
    <row r="54" spans="2:33" ht="12.75" customHeight="1" x14ac:dyDescent="0.2">
      <c r="B54" s="39"/>
      <c r="D54" s="22"/>
      <c r="E54" s="23"/>
      <c r="F54" s="22"/>
      <c r="G54" s="24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34"/>
      <c r="U54" s="21"/>
      <c r="V54" s="21"/>
      <c r="W54" s="21"/>
      <c r="X54" s="21"/>
      <c r="Y54" s="21"/>
      <c r="Z54" s="21"/>
      <c r="AA54" s="21"/>
      <c r="AB54" s="134"/>
      <c r="AC54" s="21"/>
      <c r="AD54" s="21"/>
      <c r="AE54" s="21"/>
      <c r="AG54" s="1">
        <v>27</v>
      </c>
    </row>
    <row r="55" spans="2:33" ht="12.75" customHeight="1" x14ac:dyDescent="0.2">
      <c r="B55" s="39"/>
      <c r="D55" s="22"/>
      <c r="E55" s="23"/>
      <c r="F55" s="22"/>
      <c r="G55" s="24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34"/>
      <c r="U55" s="21"/>
      <c r="V55" s="21"/>
      <c r="W55" s="21"/>
      <c r="X55" s="21"/>
      <c r="Y55" s="21"/>
      <c r="Z55" s="21"/>
      <c r="AA55" s="21"/>
      <c r="AB55" s="134"/>
      <c r="AC55" s="21"/>
      <c r="AD55" s="21"/>
      <c r="AE55" s="21"/>
      <c r="AG55" s="1">
        <v>28</v>
      </c>
    </row>
    <row r="56" spans="2:33" ht="12.75" customHeight="1" x14ac:dyDescent="0.2">
      <c r="B56" s="39"/>
      <c r="D56" s="22"/>
      <c r="E56" s="23"/>
      <c r="F56" s="22"/>
      <c r="G56" s="24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34"/>
      <c r="U56" s="21"/>
      <c r="V56" s="21"/>
      <c r="W56" s="21"/>
      <c r="X56" s="21"/>
      <c r="Y56" s="21"/>
      <c r="Z56" s="21"/>
      <c r="AA56" s="21"/>
      <c r="AB56" s="134"/>
      <c r="AC56" s="21"/>
      <c r="AD56" s="21"/>
      <c r="AE56" s="21"/>
      <c r="AG56" s="1">
        <v>29</v>
      </c>
    </row>
    <row r="57" spans="2:33" ht="12.75" customHeight="1" x14ac:dyDescent="0.2">
      <c r="B57" s="39"/>
      <c r="D57" s="22"/>
      <c r="E57" s="23"/>
      <c r="F57" s="22"/>
      <c r="G57" s="24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34"/>
      <c r="U57" s="21"/>
      <c r="V57" s="21"/>
      <c r="W57" s="21"/>
      <c r="X57" s="21"/>
      <c r="Y57" s="21"/>
      <c r="Z57" s="21"/>
      <c r="AA57" s="21"/>
      <c r="AB57" s="134"/>
      <c r="AC57" s="21"/>
      <c r="AD57" s="21"/>
      <c r="AE57" s="21"/>
      <c r="AG57" s="1">
        <v>30</v>
      </c>
    </row>
    <row r="58" spans="2:33" ht="12.75" customHeight="1" x14ac:dyDescent="0.2">
      <c r="B58" s="39"/>
      <c r="D58" s="22"/>
      <c r="E58" s="23"/>
      <c r="F58" s="22"/>
      <c r="G58" s="24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34"/>
      <c r="U58" s="21"/>
      <c r="V58" s="21"/>
      <c r="W58" s="21"/>
      <c r="X58" s="21"/>
      <c r="Y58" s="21"/>
      <c r="Z58" s="21"/>
      <c r="AA58" s="21"/>
      <c r="AB58" s="134"/>
      <c r="AC58" s="21"/>
      <c r="AD58" s="21"/>
      <c r="AE58" s="21"/>
      <c r="AG58" s="1">
        <v>31</v>
      </c>
    </row>
    <row r="59" spans="2:33" ht="12.75" customHeight="1" x14ac:dyDescent="0.2">
      <c r="B59" s="39"/>
      <c r="D59" s="22"/>
      <c r="E59" s="23"/>
      <c r="F59" s="22"/>
      <c r="G59" s="24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34"/>
      <c r="U59" s="21"/>
      <c r="V59" s="21"/>
      <c r="W59" s="21"/>
      <c r="X59" s="21"/>
      <c r="Y59" s="21"/>
      <c r="Z59" s="21"/>
      <c r="AA59" s="21"/>
      <c r="AB59" s="134"/>
      <c r="AC59" s="21"/>
      <c r="AD59" s="21"/>
      <c r="AE59" s="21"/>
      <c r="AG59" s="1">
        <v>32</v>
      </c>
    </row>
    <row r="60" spans="2:33" ht="12.75" customHeight="1" x14ac:dyDescent="0.2">
      <c r="B60" s="39"/>
      <c r="D60" s="22"/>
      <c r="E60" s="23"/>
      <c r="F60" s="22"/>
      <c r="G60" s="24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34"/>
      <c r="U60" s="21"/>
      <c r="V60" s="21"/>
      <c r="W60" s="21"/>
      <c r="X60" s="21"/>
      <c r="Y60" s="21"/>
      <c r="Z60" s="21"/>
      <c r="AA60" s="21"/>
      <c r="AB60" s="134"/>
      <c r="AC60" s="21"/>
      <c r="AD60" s="21"/>
      <c r="AE60" s="21"/>
      <c r="AG60" s="1">
        <v>33</v>
      </c>
    </row>
    <row r="61" spans="2:33" ht="12.75" customHeight="1" x14ac:dyDescent="0.2">
      <c r="B61" s="39"/>
      <c r="D61" s="22"/>
      <c r="E61" s="23"/>
      <c r="F61" s="22"/>
      <c r="G61" s="24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34"/>
      <c r="U61" s="21"/>
      <c r="V61" s="21"/>
      <c r="W61" s="21"/>
      <c r="X61" s="21"/>
      <c r="Y61" s="21"/>
      <c r="Z61" s="21"/>
      <c r="AA61" s="21"/>
      <c r="AB61" s="134"/>
      <c r="AC61" s="21"/>
      <c r="AD61" s="21"/>
      <c r="AE61" s="21"/>
      <c r="AG61" s="1">
        <v>34</v>
      </c>
    </row>
    <row r="62" spans="2:33" ht="12.75" customHeight="1" x14ac:dyDescent="0.2">
      <c r="B62" s="39"/>
      <c r="D62" s="22"/>
      <c r="E62" s="23"/>
      <c r="F62" s="22"/>
      <c r="G62" s="24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34"/>
      <c r="U62" s="21"/>
      <c r="V62" s="21"/>
      <c r="W62" s="21"/>
      <c r="X62" s="21"/>
      <c r="Y62" s="21"/>
      <c r="Z62" s="21"/>
      <c r="AA62" s="21"/>
      <c r="AB62" s="134"/>
      <c r="AC62" s="21"/>
      <c r="AD62" s="21"/>
      <c r="AE62" s="21"/>
      <c r="AG62" s="1">
        <v>35</v>
      </c>
    </row>
    <row r="63" spans="2:33" ht="12.75" customHeight="1" x14ac:dyDescent="0.2">
      <c r="B63" s="39"/>
      <c r="D63" s="22"/>
      <c r="E63" s="23"/>
      <c r="F63" s="22"/>
      <c r="G63" s="24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34"/>
      <c r="U63" s="21"/>
      <c r="V63" s="21"/>
      <c r="W63" s="21"/>
      <c r="X63" s="21"/>
      <c r="Y63" s="21"/>
      <c r="Z63" s="21"/>
      <c r="AA63" s="21"/>
      <c r="AB63" s="134"/>
      <c r="AC63" s="21"/>
      <c r="AD63" s="21"/>
      <c r="AE63" s="21"/>
      <c r="AG63" s="1">
        <v>36</v>
      </c>
    </row>
    <row r="64" spans="2:33" ht="12.75" customHeight="1" x14ac:dyDescent="0.2">
      <c r="B64" s="39"/>
      <c r="D64" s="22"/>
      <c r="E64" s="23"/>
      <c r="F64" s="22"/>
      <c r="G64" s="24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34"/>
      <c r="U64" s="21"/>
      <c r="V64" s="21"/>
      <c r="W64" s="21"/>
      <c r="X64" s="21"/>
      <c r="Y64" s="21"/>
      <c r="Z64" s="21"/>
      <c r="AA64" s="21"/>
      <c r="AB64" s="134"/>
      <c r="AC64" s="21"/>
      <c r="AD64" s="21"/>
      <c r="AE64" s="21"/>
      <c r="AG64" s="1">
        <v>37</v>
      </c>
    </row>
    <row r="65" spans="2:33" ht="12.75" customHeight="1" x14ac:dyDescent="0.2">
      <c r="B65" s="39"/>
      <c r="D65" s="22"/>
      <c r="E65" s="23"/>
      <c r="F65" s="22"/>
      <c r="G65" s="24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34"/>
      <c r="U65" s="21"/>
      <c r="V65" s="21"/>
      <c r="W65" s="21"/>
      <c r="X65" s="21"/>
      <c r="Y65" s="21"/>
      <c r="Z65" s="21"/>
      <c r="AA65" s="21"/>
      <c r="AB65" s="134"/>
      <c r="AC65" s="21"/>
      <c r="AD65" s="21"/>
      <c r="AE65" s="21"/>
      <c r="AG65" s="1">
        <v>38</v>
      </c>
    </row>
    <row r="66" spans="2:33" ht="12.75" customHeight="1" x14ac:dyDescent="0.2">
      <c r="B66" s="39"/>
      <c r="D66" s="22"/>
      <c r="E66" s="23"/>
      <c r="F66" s="22"/>
      <c r="G66" s="24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34"/>
      <c r="U66" s="21"/>
      <c r="V66" s="21"/>
      <c r="W66" s="21"/>
      <c r="X66" s="21"/>
      <c r="Y66" s="21"/>
      <c r="Z66" s="21"/>
      <c r="AA66" s="21"/>
      <c r="AB66" s="134"/>
      <c r="AC66" s="21"/>
      <c r="AD66" s="21"/>
      <c r="AE66" s="21"/>
      <c r="AG66" s="1">
        <v>39</v>
      </c>
    </row>
    <row r="67" spans="2:33" ht="12.75" customHeight="1" x14ac:dyDescent="0.2">
      <c r="B67" s="39"/>
      <c r="D67" s="22"/>
      <c r="E67" s="23"/>
      <c r="F67" s="22"/>
      <c r="G67" s="24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34"/>
      <c r="U67" s="21"/>
      <c r="V67" s="21"/>
      <c r="W67" s="21"/>
      <c r="X67" s="21"/>
      <c r="Y67" s="21"/>
      <c r="Z67" s="21"/>
      <c r="AA67" s="21"/>
      <c r="AB67" s="134"/>
      <c r="AC67" s="21"/>
      <c r="AD67" s="21"/>
      <c r="AE67" s="21"/>
      <c r="AG67" s="1">
        <v>40</v>
      </c>
    </row>
    <row r="68" spans="2:33" ht="12.75" customHeight="1" x14ac:dyDescent="0.2">
      <c r="B68" s="39"/>
      <c r="D68" s="22"/>
      <c r="E68" s="23"/>
      <c r="F68" s="22"/>
      <c r="G68" s="24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34"/>
      <c r="U68" s="21"/>
      <c r="V68" s="21"/>
      <c r="W68" s="21"/>
      <c r="X68" s="21"/>
      <c r="Y68" s="21"/>
      <c r="Z68" s="21"/>
      <c r="AA68" s="21"/>
      <c r="AB68" s="134"/>
      <c r="AC68" s="21"/>
      <c r="AD68" s="21"/>
      <c r="AE68" s="21"/>
      <c r="AG68" s="1">
        <v>41</v>
      </c>
    </row>
    <row r="69" spans="2:33" ht="12.75" customHeight="1" x14ac:dyDescent="0.2">
      <c r="B69" s="39"/>
      <c r="D69" s="22"/>
      <c r="E69" s="23"/>
      <c r="F69" s="22"/>
      <c r="G69" s="24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34"/>
      <c r="U69" s="21"/>
      <c r="V69" s="21"/>
      <c r="W69" s="21"/>
      <c r="X69" s="21"/>
      <c r="Y69" s="21"/>
      <c r="Z69" s="21"/>
      <c r="AA69" s="21"/>
      <c r="AB69" s="134"/>
      <c r="AC69" s="21"/>
      <c r="AD69" s="21"/>
      <c r="AE69" s="21"/>
      <c r="AG69" s="1">
        <v>42</v>
      </c>
    </row>
    <row r="70" spans="2:33" ht="12.75" customHeight="1" x14ac:dyDescent="0.2">
      <c r="B70" s="39"/>
      <c r="D70" s="22"/>
      <c r="E70" s="23"/>
      <c r="F70" s="22"/>
      <c r="G70" s="24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134"/>
      <c r="U70" s="21"/>
      <c r="V70" s="21"/>
      <c r="W70" s="21"/>
      <c r="X70" s="21"/>
      <c r="Y70" s="21"/>
      <c r="Z70" s="21"/>
      <c r="AA70" s="21"/>
      <c r="AB70" s="134"/>
      <c r="AC70" s="21"/>
      <c r="AD70" s="21"/>
      <c r="AE70" s="21"/>
      <c r="AG70" s="1">
        <v>43</v>
      </c>
    </row>
    <row r="71" spans="2:33" ht="12.75" customHeight="1" x14ac:dyDescent="0.2">
      <c r="B71" s="39"/>
      <c r="D71" s="22"/>
      <c r="E71" s="23"/>
      <c r="F71" s="22"/>
      <c r="G71" s="24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134"/>
      <c r="U71" s="21"/>
      <c r="V71" s="21"/>
      <c r="W71" s="21"/>
      <c r="X71" s="21"/>
      <c r="Y71" s="21"/>
      <c r="Z71" s="21"/>
      <c r="AA71" s="21"/>
      <c r="AB71" s="134"/>
      <c r="AC71" s="21"/>
      <c r="AD71" s="21"/>
      <c r="AE71" s="21"/>
      <c r="AG71" s="1">
        <v>44</v>
      </c>
    </row>
    <row r="72" spans="2:33" ht="12.75" customHeight="1" x14ac:dyDescent="0.2">
      <c r="B72" s="39"/>
      <c r="D72" s="22"/>
      <c r="E72" s="23"/>
      <c r="F72" s="22"/>
      <c r="G72" s="24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134"/>
      <c r="U72" s="21"/>
      <c r="V72" s="21"/>
      <c r="W72" s="21"/>
      <c r="X72" s="21"/>
      <c r="Y72" s="21"/>
      <c r="Z72" s="21"/>
      <c r="AA72" s="21"/>
      <c r="AB72" s="134"/>
      <c r="AC72" s="21"/>
      <c r="AD72" s="21"/>
      <c r="AE72" s="21"/>
      <c r="AG72" s="1">
        <v>45</v>
      </c>
    </row>
    <row r="73" spans="2:33" ht="12.75" customHeight="1" x14ac:dyDescent="0.2">
      <c r="B73" s="39"/>
      <c r="D73" s="22"/>
      <c r="E73" s="23"/>
      <c r="F73" s="22"/>
      <c r="G73" s="24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134"/>
      <c r="U73" s="21"/>
      <c r="V73" s="21"/>
      <c r="W73" s="21"/>
      <c r="X73" s="21"/>
      <c r="Y73" s="21"/>
      <c r="Z73" s="21"/>
      <c r="AA73" s="21"/>
      <c r="AB73" s="134"/>
      <c r="AC73" s="21"/>
      <c r="AD73" s="21"/>
      <c r="AE73" s="21"/>
      <c r="AG73" s="1">
        <v>46</v>
      </c>
    </row>
    <row r="74" spans="2:33" ht="12.75" customHeight="1" x14ac:dyDescent="0.2">
      <c r="B74" s="39"/>
      <c r="D74" s="22"/>
      <c r="E74" s="23"/>
      <c r="F74" s="22"/>
      <c r="G74" s="24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34"/>
      <c r="U74" s="21"/>
      <c r="V74" s="21"/>
      <c r="W74" s="21"/>
      <c r="X74" s="21"/>
      <c r="Y74" s="21"/>
      <c r="Z74" s="21"/>
      <c r="AA74" s="21"/>
      <c r="AB74" s="134"/>
      <c r="AC74" s="21"/>
      <c r="AD74" s="21"/>
      <c r="AE74" s="21"/>
      <c r="AG74" s="1">
        <v>47</v>
      </c>
    </row>
    <row r="75" spans="2:33" ht="12.75" customHeight="1" x14ac:dyDescent="0.2">
      <c r="B75" s="39"/>
      <c r="D75" s="22"/>
      <c r="E75" s="23"/>
      <c r="F75" s="22"/>
      <c r="G75" s="24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134"/>
      <c r="U75" s="21"/>
      <c r="V75" s="21"/>
      <c r="W75" s="21"/>
      <c r="X75" s="21"/>
      <c r="Y75" s="21"/>
      <c r="Z75" s="21"/>
      <c r="AA75" s="21"/>
      <c r="AB75" s="134"/>
      <c r="AC75" s="21"/>
      <c r="AD75" s="21"/>
      <c r="AE75" s="21"/>
      <c r="AG75" s="1">
        <v>48</v>
      </c>
    </row>
    <row r="76" spans="2:33" ht="12.75" customHeight="1" x14ac:dyDescent="0.2">
      <c r="B76" s="39"/>
      <c r="D76" s="22"/>
      <c r="E76" s="23"/>
      <c r="F76" s="22"/>
      <c r="G76" s="24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34"/>
      <c r="U76" s="21"/>
      <c r="V76" s="21"/>
      <c r="W76" s="21"/>
      <c r="X76" s="21"/>
      <c r="Y76" s="21"/>
      <c r="Z76" s="21"/>
      <c r="AA76" s="21"/>
      <c r="AB76" s="134"/>
      <c r="AC76" s="21"/>
      <c r="AD76" s="21"/>
      <c r="AE76" s="21"/>
      <c r="AG76" s="1">
        <v>49</v>
      </c>
    </row>
    <row r="77" spans="2:33" ht="12.75" customHeight="1" x14ac:dyDescent="0.2">
      <c r="B77" s="39"/>
      <c r="D77" s="22"/>
      <c r="E77" s="23"/>
      <c r="F77" s="22"/>
      <c r="G77" s="24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34"/>
      <c r="U77" s="21"/>
      <c r="V77" s="21"/>
      <c r="W77" s="21"/>
      <c r="X77" s="21"/>
      <c r="Y77" s="21"/>
      <c r="Z77" s="21"/>
      <c r="AA77" s="21"/>
      <c r="AB77" s="134"/>
      <c r="AC77" s="21"/>
      <c r="AD77" s="21"/>
      <c r="AE77" s="21"/>
      <c r="AG77" s="1">
        <v>50</v>
      </c>
    </row>
    <row r="78" spans="2:33" ht="12.75" customHeight="1" x14ac:dyDescent="0.2">
      <c r="B78" s="39"/>
      <c r="D78" s="22"/>
      <c r="E78" s="23"/>
      <c r="F78" s="22"/>
      <c r="G78" s="24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34"/>
      <c r="U78" s="21"/>
      <c r="V78" s="21"/>
      <c r="W78" s="21"/>
      <c r="X78" s="21"/>
      <c r="Y78" s="21"/>
      <c r="Z78" s="21"/>
      <c r="AA78" s="21"/>
      <c r="AB78" s="134"/>
      <c r="AC78" s="21"/>
      <c r="AD78" s="21"/>
      <c r="AE78" s="21"/>
      <c r="AG78" s="1">
        <v>51</v>
      </c>
    </row>
    <row r="79" spans="2:33" ht="12.75" customHeight="1" x14ac:dyDescent="0.2">
      <c r="B79" s="39"/>
      <c r="D79" s="22"/>
      <c r="E79" s="23"/>
      <c r="F79" s="22"/>
      <c r="G79" s="24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34"/>
      <c r="U79" s="21"/>
      <c r="V79" s="21"/>
      <c r="W79" s="21"/>
      <c r="X79" s="21"/>
      <c r="Y79" s="21"/>
      <c r="Z79" s="21"/>
      <c r="AA79" s="21"/>
      <c r="AB79" s="134"/>
      <c r="AC79" s="21"/>
      <c r="AD79" s="21"/>
      <c r="AE79" s="21"/>
      <c r="AG79" s="1">
        <v>52</v>
      </c>
    </row>
    <row r="80" spans="2:33" ht="12.75" customHeight="1" x14ac:dyDescent="0.2">
      <c r="B80" s="39"/>
      <c r="D80" s="22"/>
      <c r="E80" s="23"/>
      <c r="F80" s="22"/>
      <c r="G80" s="24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34"/>
      <c r="U80" s="21"/>
      <c r="V80" s="21"/>
      <c r="W80" s="21"/>
      <c r="X80" s="21"/>
      <c r="Y80" s="21"/>
      <c r="Z80" s="21"/>
      <c r="AA80" s="21"/>
      <c r="AB80" s="134"/>
      <c r="AC80" s="21"/>
      <c r="AD80" s="21"/>
      <c r="AE80" s="21"/>
      <c r="AG80" s="1">
        <v>53</v>
      </c>
    </row>
    <row r="81" spans="2:33" ht="12.75" customHeight="1" x14ac:dyDescent="0.2">
      <c r="B81" s="39"/>
      <c r="D81" s="22"/>
      <c r="E81" s="23"/>
      <c r="F81" s="22"/>
      <c r="G81" s="24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34"/>
      <c r="U81" s="21"/>
      <c r="V81" s="21"/>
      <c r="W81" s="21"/>
      <c r="X81" s="21"/>
      <c r="Y81" s="21"/>
      <c r="Z81" s="21"/>
      <c r="AA81" s="21"/>
      <c r="AB81" s="134"/>
      <c r="AC81" s="21"/>
      <c r="AD81" s="21"/>
      <c r="AE81" s="21"/>
      <c r="AG81" s="1">
        <v>54</v>
      </c>
    </row>
    <row r="82" spans="2:33" ht="12.75" customHeight="1" x14ac:dyDescent="0.2">
      <c r="B82" s="39"/>
      <c r="D82" s="22"/>
      <c r="E82" s="23"/>
      <c r="F82" s="22"/>
      <c r="G82" s="24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134"/>
      <c r="U82" s="21"/>
      <c r="V82" s="21"/>
      <c r="W82" s="21"/>
      <c r="X82" s="21"/>
      <c r="Y82" s="21"/>
      <c r="Z82" s="21"/>
      <c r="AA82" s="21"/>
      <c r="AB82" s="134"/>
      <c r="AC82" s="21"/>
      <c r="AD82" s="21"/>
      <c r="AE82" s="21"/>
      <c r="AG82" s="1">
        <v>55</v>
      </c>
    </row>
    <row r="83" spans="2:33" ht="12.75" customHeight="1" x14ac:dyDescent="0.2">
      <c r="B83" s="39"/>
      <c r="D83" s="22"/>
      <c r="E83" s="23"/>
      <c r="F83" s="22"/>
      <c r="G83" s="24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134"/>
      <c r="U83" s="21"/>
      <c r="V83" s="21"/>
      <c r="W83" s="21"/>
      <c r="X83" s="21"/>
      <c r="Y83" s="21"/>
      <c r="Z83" s="21"/>
      <c r="AA83" s="21"/>
      <c r="AB83" s="134"/>
      <c r="AC83" s="21"/>
      <c r="AD83" s="21"/>
      <c r="AE83" s="21"/>
      <c r="AG83" s="1">
        <v>56</v>
      </c>
    </row>
    <row r="84" spans="2:33" ht="12.75" customHeight="1" x14ac:dyDescent="0.2">
      <c r="B84" s="39"/>
      <c r="D84" s="22"/>
      <c r="E84" s="23"/>
      <c r="F84" s="22"/>
      <c r="G84" s="24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134"/>
      <c r="U84" s="21"/>
      <c r="V84" s="21"/>
      <c r="W84" s="21"/>
      <c r="X84" s="21"/>
      <c r="Y84" s="21"/>
      <c r="Z84" s="21"/>
      <c r="AA84" s="21"/>
      <c r="AB84" s="134"/>
      <c r="AC84" s="21"/>
      <c r="AD84" s="21"/>
      <c r="AE84" s="21"/>
      <c r="AG84" s="1">
        <v>57</v>
      </c>
    </row>
    <row r="85" spans="2:33" ht="12.75" customHeight="1" x14ac:dyDescent="0.2">
      <c r="B85" s="39"/>
      <c r="D85" s="22"/>
      <c r="E85" s="23"/>
      <c r="F85" s="22"/>
      <c r="G85" s="24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134"/>
      <c r="U85" s="21"/>
      <c r="V85" s="21"/>
      <c r="W85" s="21"/>
      <c r="X85" s="21"/>
      <c r="Y85" s="21"/>
      <c r="Z85" s="21"/>
      <c r="AA85" s="21"/>
      <c r="AB85" s="134"/>
      <c r="AC85" s="21"/>
      <c r="AD85" s="21"/>
      <c r="AE85" s="21"/>
      <c r="AG85" s="1">
        <v>58</v>
      </c>
    </row>
    <row r="86" spans="2:33" ht="12.75" customHeight="1" thickBot="1" x14ac:dyDescent="0.25">
      <c r="B86" s="39"/>
      <c r="D86" s="27"/>
      <c r="E86" s="28"/>
      <c r="F86" s="27"/>
      <c r="G86" s="29"/>
      <c r="H86" s="2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135"/>
      <c r="U86" s="30"/>
      <c r="V86" s="30"/>
      <c r="W86" s="30"/>
      <c r="X86" s="30"/>
      <c r="Y86" s="30"/>
      <c r="Z86" s="30"/>
      <c r="AA86" s="30"/>
      <c r="AB86" s="135"/>
      <c r="AC86" s="30"/>
      <c r="AD86" s="30"/>
      <c r="AE86" s="30"/>
      <c r="AG86" s="1">
        <v>59</v>
      </c>
    </row>
    <row r="87" spans="2:33" ht="12.75" customHeight="1" thickBot="1" x14ac:dyDescent="0.25">
      <c r="D87" s="108" t="s">
        <v>46</v>
      </c>
      <c r="E87" s="108"/>
      <c r="F87" s="108"/>
      <c r="G87" s="108"/>
      <c r="H87" s="108"/>
      <c r="I87" s="108"/>
      <c r="J87" s="108"/>
      <c r="K87" s="108"/>
      <c r="L87" s="108"/>
      <c r="M87" s="57" t="str">
        <f>IF(M$10&gt;0,SUM(M28:M86),"")</f>
        <v/>
      </c>
      <c r="N87" s="57">
        <f t="shared" ref="N87:AE87" si="21">IF(N$10&gt;0,SUM(N28:N50),"")</f>
        <v>0</v>
      </c>
      <c r="O87" s="57" t="str">
        <f t="shared" si="21"/>
        <v/>
      </c>
      <c r="P87" s="57"/>
      <c r="Q87" s="57"/>
      <c r="R87" s="57">
        <f>IF(R$10&gt;0,SUM(R28:R50),"")</f>
        <v>826</v>
      </c>
      <c r="S87" s="57"/>
      <c r="T87" s="136" t="str">
        <f t="shared" si="21"/>
        <v/>
      </c>
      <c r="U87" s="57">
        <f t="shared" si="21"/>
        <v>0</v>
      </c>
      <c r="V87" s="57" t="str">
        <f t="shared" si="21"/>
        <v/>
      </c>
      <c r="W87" s="57">
        <f t="shared" si="21"/>
        <v>44.057150462963136</v>
      </c>
      <c r="X87" s="57" t="str">
        <f t="shared" si="21"/>
        <v/>
      </c>
      <c r="Y87" s="57">
        <f t="shared" si="21"/>
        <v>0</v>
      </c>
      <c r="Z87" s="57" t="str">
        <f t="shared" si="21"/>
        <v/>
      </c>
      <c r="AA87" s="57">
        <f t="shared" si="21"/>
        <v>0</v>
      </c>
      <c r="AB87" s="136"/>
      <c r="AC87" s="57">
        <f t="shared" si="21"/>
        <v>0</v>
      </c>
      <c r="AD87" s="57" t="str">
        <f t="shared" si="21"/>
        <v/>
      </c>
      <c r="AE87" s="57" t="str">
        <f t="shared" si="21"/>
        <v/>
      </c>
      <c r="AG87" s="1">
        <v>60</v>
      </c>
    </row>
    <row r="88" spans="2:33" ht="12.75" customHeight="1" x14ac:dyDescent="0.2">
      <c r="D88" s="109" t="s">
        <v>48</v>
      </c>
      <c r="E88" s="109"/>
      <c r="F88" s="109"/>
      <c r="G88" s="109"/>
      <c r="H88" s="109"/>
      <c r="I88" s="109"/>
      <c r="J88" s="109"/>
      <c r="K88" s="109"/>
      <c r="L88" s="109"/>
      <c r="M88" s="31" t="str">
        <f>IF(M87&gt;0,M87,"")</f>
        <v/>
      </c>
      <c r="N88" s="31" t="str">
        <f>IF(N87&gt;0,ROUNDUP(N87,0),"")</f>
        <v/>
      </c>
      <c r="O88" s="31" t="str">
        <f t="shared" ref="O88:AE88" si="22">IF(O87&gt;0,O87,"")</f>
        <v/>
      </c>
      <c r="P88" s="31"/>
      <c r="Q88" s="31"/>
      <c r="R88" s="31">
        <f>IF(R87&gt;0,ROUNDUP(R87,0),"")</f>
        <v>826</v>
      </c>
      <c r="S88" s="31"/>
      <c r="T88" s="137" t="str">
        <f t="shared" si="22"/>
        <v/>
      </c>
      <c r="U88" s="137" t="str">
        <f t="shared" si="22"/>
        <v/>
      </c>
      <c r="V88" s="31" t="str">
        <f t="shared" si="22"/>
        <v/>
      </c>
      <c r="W88" s="31">
        <f>IF(W87&gt;0,ROUNDUP(W87,0),"")</f>
        <v>45</v>
      </c>
      <c r="X88" s="31" t="str">
        <f t="shared" si="22"/>
        <v/>
      </c>
      <c r="Y88" s="31" t="str">
        <f t="shared" si="22"/>
        <v/>
      </c>
      <c r="Z88" s="31" t="str">
        <f t="shared" si="22"/>
        <v/>
      </c>
      <c r="AA88" s="31" t="str">
        <f t="shared" si="22"/>
        <v/>
      </c>
      <c r="AB88" s="137"/>
      <c r="AC88" s="31" t="str">
        <f t="shared" si="22"/>
        <v/>
      </c>
      <c r="AD88" s="31" t="str">
        <f t="shared" si="22"/>
        <v/>
      </c>
      <c r="AE88" s="31" t="str">
        <f t="shared" si="22"/>
        <v/>
      </c>
      <c r="AG88" s="1">
        <v>61</v>
      </c>
    </row>
    <row r="89" spans="2:33" ht="12.75" customHeight="1" thickBot="1" x14ac:dyDescent="0.25"/>
    <row r="90" spans="2:33" ht="12.75" customHeight="1" thickBot="1" x14ac:dyDescent="0.25">
      <c r="B90" s="36" t="s">
        <v>16</v>
      </c>
      <c r="D90" s="84">
        <f>D9+1</f>
        <v>2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G90" s="1">
        <v>2</v>
      </c>
    </row>
    <row r="91" spans="2:33" ht="12.75" customHeight="1" thickBot="1" x14ac:dyDescent="0.25">
      <c r="B91" s="37"/>
      <c r="D91" s="4"/>
      <c r="E91" s="4"/>
      <c r="F91" s="4"/>
      <c r="G91" s="4"/>
      <c r="H91" s="4"/>
      <c r="I91" s="5"/>
      <c r="J91" s="5"/>
      <c r="K91" s="5"/>
      <c r="L91" s="6" t="s">
        <v>14</v>
      </c>
      <c r="M91" s="35"/>
      <c r="N91" s="35" t="s">
        <v>27</v>
      </c>
      <c r="O91" s="35"/>
      <c r="P91" s="35" t="s">
        <v>58</v>
      </c>
      <c r="Q91" s="35"/>
      <c r="R91" s="35" t="s">
        <v>33</v>
      </c>
      <c r="S91" s="35"/>
      <c r="T91" s="127"/>
      <c r="U91" s="35" t="s">
        <v>54</v>
      </c>
      <c r="V91" s="35"/>
      <c r="W91" s="35" t="s">
        <v>28</v>
      </c>
      <c r="X91" s="35"/>
      <c r="Y91" s="35" t="s">
        <v>32</v>
      </c>
      <c r="Z91" s="35"/>
      <c r="AA91" s="35" t="s">
        <v>52</v>
      </c>
      <c r="AB91" s="127"/>
      <c r="AC91" s="35" t="s">
        <v>34</v>
      </c>
      <c r="AD91" s="35"/>
      <c r="AE91" s="35"/>
    </row>
    <row r="92" spans="2:33" ht="12.75" customHeight="1" x14ac:dyDescent="0.2">
      <c r="D92" s="4"/>
      <c r="E92" s="4"/>
      <c r="F92" s="4"/>
      <c r="G92" s="4"/>
      <c r="H92" s="4"/>
      <c r="I92" s="5"/>
      <c r="J92" s="5"/>
      <c r="K92" s="5"/>
      <c r="L92" s="6" t="s">
        <v>15</v>
      </c>
      <c r="M92" s="8"/>
      <c r="N92" s="8"/>
      <c r="O92" s="8"/>
      <c r="P92" s="8"/>
      <c r="Q92" s="8"/>
      <c r="R92" s="8"/>
      <c r="S92" s="8"/>
      <c r="T92" s="128"/>
      <c r="U92" s="8"/>
      <c r="V92" s="8"/>
      <c r="W92" s="8"/>
      <c r="X92" s="8"/>
      <c r="Y92" s="8"/>
      <c r="Z92" s="8"/>
      <c r="AA92" s="8" t="s">
        <v>53</v>
      </c>
      <c r="AB92" s="128"/>
      <c r="AC92" s="8"/>
      <c r="AD92" s="8"/>
      <c r="AE92" s="8"/>
    </row>
    <row r="93" spans="2:33" ht="12.75" customHeight="1" x14ac:dyDescent="0.2">
      <c r="D93" s="9"/>
      <c r="E93" s="9"/>
      <c r="F93" s="9"/>
      <c r="G93" s="10"/>
      <c r="H93" s="5"/>
      <c r="I93" s="4"/>
      <c r="J93" s="5"/>
      <c r="K93" s="5"/>
      <c r="L93" s="6" t="s">
        <v>5</v>
      </c>
      <c r="M93" s="7"/>
      <c r="N93" s="7">
        <v>9</v>
      </c>
      <c r="O93" s="7"/>
      <c r="P93" s="7"/>
      <c r="Q93" s="7"/>
      <c r="R93" s="7"/>
      <c r="S93" s="7"/>
      <c r="T93" s="129"/>
      <c r="U93" s="7">
        <v>7</v>
      </c>
      <c r="V93" s="7"/>
      <c r="W93" s="7">
        <v>8</v>
      </c>
      <c r="X93" s="7"/>
      <c r="Y93" s="7">
        <v>2</v>
      </c>
      <c r="Z93" s="7"/>
      <c r="AA93" s="7">
        <v>1</v>
      </c>
      <c r="AB93" s="129"/>
      <c r="AC93" s="7">
        <v>3</v>
      </c>
      <c r="AD93" s="7"/>
      <c r="AE93" s="7"/>
    </row>
    <row r="94" spans="2:33" ht="12.75" customHeight="1" thickBot="1" x14ac:dyDescent="0.25">
      <c r="D94" s="9"/>
      <c r="E94" s="9"/>
      <c r="F94" s="9"/>
      <c r="G94" s="10"/>
      <c r="H94" s="5"/>
      <c r="I94" s="4"/>
      <c r="J94" s="5"/>
      <c r="K94" s="5"/>
      <c r="L94" s="6" t="s">
        <v>6</v>
      </c>
      <c r="M94" s="11"/>
      <c r="N94" s="11"/>
      <c r="O94" s="11"/>
      <c r="P94" s="11"/>
      <c r="Q94" s="11"/>
      <c r="R94" s="11"/>
      <c r="S94" s="11"/>
      <c r="T94" s="130"/>
      <c r="U94" s="11">
        <v>9</v>
      </c>
      <c r="V94" s="11"/>
      <c r="W94" s="11">
        <v>6</v>
      </c>
      <c r="X94" s="11"/>
      <c r="Y94" s="11">
        <v>0.06</v>
      </c>
      <c r="Z94" s="11"/>
      <c r="AA94" s="11">
        <v>1.25</v>
      </c>
      <c r="AB94" s="130"/>
      <c r="AC94" s="11" t="s">
        <v>37</v>
      </c>
      <c r="AD94" s="11"/>
      <c r="AE94" s="11"/>
    </row>
    <row r="95" spans="2:33" ht="12.75" customHeight="1" x14ac:dyDescent="0.2">
      <c r="B95" s="95" t="s">
        <v>17</v>
      </c>
      <c r="D95" s="87" t="s">
        <v>2</v>
      </c>
      <c r="E95" s="110"/>
      <c r="F95" s="111"/>
      <c r="G95" s="93" t="s">
        <v>7</v>
      </c>
      <c r="H95" s="85" t="s">
        <v>0</v>
      </c>
      <c r="I95" s="85" t="s">
        <v>8</v>
      </c>
      <c r="J95" s="85" t="s">
        <v>9</v>
      </c>
      <c r="K95" s="85" t="s">
        <v>13</v>
      </c>
      <c r="L95" s="85" t="s">
        <v>3</v>
      </c>
      <c r="M95" s="12" t="str">
        <f t="shared" ref="M95:N95" si="23">IF(OR(TRIM(M91)=0,TRIM(M91)=""),"",IF(IFERROR(TRIM(INDEX(QryItemNamed,MATCH(TRIM(M91),ITEM,0),2)),"")="Y","SPECIAL",LEFT(IFERROR(TRIM(INDEX(ITEM,MATCH(TRIM(M91),ITEM,0))),""),3)))</f>
        <v/>
      </c>
      <c r="N95" s="12" t="str">
        <f t="shared" si="23"/>
        <v>204</v>
      </c>
      <c r="O95" s="12"/>
      <c r="P95" s="12" t="str">
        <f t="shared" ref="P95" si="24">IF(OR(TRIM(P91)=0,TRIM(P91)=""),"",IF(IFERROR(TRIM(INDEX(QryItemNamed,MATCH(TRIM(P91),ITEM,0),2)),"")="Y","SPECIAL",LEFT(IFERROR(TRIM(INDEX(ITEM,MATCH(TRIM(P91),ITEM,0))),""),3)))</f>
        <v>254</v>
      </c>
      <c r="Q95" s="12"/>
      <c r="R95" s="12" t="str">
        <f t="shared" ref="R95" si="25">IF(OR(TRIM(R91)=0,TRIM(R91)=""),"",IF(IFERROR(TRIM(INDEX(QryItemNamed,MATCH(TRIM(R91),ITEM,0),2)),"")="Y","SPECIAL",LEFT(IFERROR(TRIM(INDEX(ITEM,MATCH(TRIM(R91),ITEM,0))),""),3)))</f>
        <v>255</v>
      </c>
      <c r="S95" s="12"/>
      <c r="T95" s="131"/>
      <c r="U95" s="12" t="str">
        <f t="shared" ref="U95" si="26">IF(OR(TRIM(U91)=0,TRIM(U91)=""),"",IF(IFERROR(TRIM(INDEX(QryItemNamed,MATCH(TRIM(U91),ITEM,0),2)),"")="Y","SPECIAL",LEFT(IFERROR(TRIM(INDEX(ITEM,MATCH(TRIM(U91),ITEM,0))),""),3)))</f>
        <v>305</v>
      </c>
      <c r="V95" s="12"/>
      <c r="W95" s="12" t="str">
        <f t="shared" ref="W95:Y95" si="27">IF(OR(TRIM(W91)=0,TRIM(W91)=""),"",IF(IFERROR(TRIM(INDEX(QryItemNamed,MATCH(TRIM(W91),ITEM,0),2)),"")="Y","SPECIAL",LEFT(IFERROR(TRIM(INDEX(ITEM,MATCH(TRIM(W91),ITEM,0))),""),3)))</f>
        <v>304</v>
      </c>
      <c r="X95" s="12" t="str">
        <f t="shared" si="27"/>
        <v/>
      </c>
      <c r="Y95" s="12" t="str">
        <f t="shared" si="27"/>
        <v>407</v>
      </c>
      <c r="Z95" s="12"/>
      <c r="AA95" s="12" t="str">
        <f t="shared" ref="AA95:AE95" si="28">IF(OR(TRIM(AA91)=0,TRIM(AA91)=""),"",IF(IFERROR(TRIM(INDEX(QryItemNamed,MATCH(TRIM(AA91),ITEM,0),2)),"")="Y","SPECIAL",LEFT(IFERROR(TRIM(INDEX(ITEM,MATCH(TRIM(AA91),ITEM,0))),""),3)))</f>
        <v>441</v>
      </c>
      <c r="AB95" s="131"/>
      <c r="AC95" s="12" t="str">
        <f t="shared" si="28"/>
        <v>441</v>
      </c>
      <c r="AD95" s="12" t="str">
        <f t="shared" si="28"/>
        <v/>
      </c>
      <c r="AE95" s="12" t="str">
        <f t="shared" si="28"/>
        <v/>
      </c>
    </row>
    <row r="96" spans="2:33" ht="12.75" customHeight="1" x14ac:dyDescent="0.2">
      <c r="B96" s="96"/>
      <c r="D96" s="90"/>
      <c r="E96" s="112"/>
      <c r="F96" s="113"/>
      <c r="G96" s="94"/>
      <c r="H96" s="86"/>
      <c r="I96" s="86"/>
      <c r="J96" s="86"/>
      <c r="K96" s="86"/>
      <c r="L96" s="86"/>
      <c r="M96" s="80" t="str">
        <f t="shared" ref="M96:N96" si="29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80" t="str">
        <f t="shared" si="29"/>
        <v>SUBGRADE COMPACTION</v>
      </c>
      <c r="O96" s="44"/>
      <c r="P96" s="80" t="str">
        <f t="shared" ref="P96" si="30">IF(OR(TRIM(P91)=0,TRIM(P91)=""),IF(P92="","",P92),IF(IFERROR(TRIM(INDEX(QryItemNamed,MATCH(TRIM(P91),ITEM,0),2)),"")="Y",TRIM(RIGHT(IFERROR(TRIM(INDEX(QryItemNamed,MATCH(TRIM(P91),ITEM,0),4)),"123456789012"),LEN(IFERROR(TRIM(INDEX(QryItemNamed,MATCH(TRIM(P91),ITEM,0),4)),"123456789012"))-9))&amp;P92,IFERROR(TRIM(INDEX(QryItemNamed,MATCH(TRIM(P91),ITEM,0),4))&amp;P92,"ITEM CODE DOES NOT EXIST IN ITEM MASTER")))</f>
        <v>PAVEMENT PLANING, ASPHALT CONCRETE</v>
      </c>
      <c r="Q96" s="77"/>
      <c r="R96" s="80" t="str">
        <f t="shared" ref="R96" si="31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FULL DEPTH PAVEMENT SAWING</v>
      </c>
      <c r="S96" s="77"/>
      <c r="T96" s="118" t="s">
        <v>56</v>
      </c>
      <c r="U96" s="80" t="str">
        <f t="shared" ref="U96" si="32">IF(OR(TRIM(U91)=0,TRIM(U91)=""),IF(U92="","",U92),IF(IFERROR(TRIM(INDEX(QryItemNamed,MATCH(TRIM(U91),ITEM,0),2)),"")="Y",TRIM(RIGHT(IFERROR(TRIM(INDEX(QryItemNamed,MATCH(TRIM(U91),ITEM,0),4)),"123456789012"),LEN(IFERROR(TRIM(INDEX(QryItemNamed,MATCH(TRIM(U91),ITEM,0),4)),"123456789012"))-9))&amp;U92,IFERROR(TRIM(INDEX(QryItemNamed,MATCH(TRIM(U91),ITEM,0),4))&amp;U92,"ITEM CODE DOES NOT EXIST IN ITEM MASTER")))</f>
        <v>9" CONCRETE BASE, CLASS QC1, AS PER PLAN</v>
      </c>
      <c r="V96" s="44"/>
      <c r="W96" s="80" t="str">
        <f t="shared" ref="W96:Y96" si="33">IF(OR(TRIM(W91)=0,TRIM(W91)=""),IF(W92="","",W92),IF(IFERROR(TRIM(INDEX(QryItemNamed,MATCH(TRIM(W91),ITEM,0),2)),"")="Y",TRIM(RIGHT(IFERROR(TRIM(INDEX(QryItemNamed,MATCH(TRIM(W91),ITEM,0),4)),"123456789012"),LEN(IFERROR(TRIM(INDEX(QryItemNamed,MATCH(TRIM(W91),ITEM,0),4)),"123456789012"))-9))&amp;W92,IFERROR(TRIM(INDEX(QryItemNamed,MATCH(TRIM(W91),ITEM,0),4))&amp;W92,"ITEM CODE DOES NOT EXIST IN ITEM MASTER")))</f>
        <v>AGGREGATE BASE</v>
      </c>
      <c r="X96" s="80" t="str">
        <f t="shared" si="33"/>
        <v/>
      </c>
      <c r="Y96" s="80" t="str">
        <f t="shared" si="33"/>
        <v>TACK COAT</v>
      </c>
      <c r="Z96" s="44"/>
      <c r="AA96" s="80" t="str">
        <f t="shared" ref="AA96:AE96" si="34">IF(OR(TRIM(AA91)=0,TRIM(AA91)=""),IF(AA92="","",AA92),IF(IFERROR(TRIM(INDEX(QryItemNamed,MATCH(TRIM(AA91),ITEM,0),2)),"")="Y",TRIM(RIGHT(IFERROR(TRIM(INDEX(QryItemNamed,MATCH(TRIM(AA91),ITEM,0),4)),"123456789012"),LEN(IFERROR(TRIM(INDEX(QryItemNamed,MATCH(TRIM(AA91),ITEM,0),4)),"123456789012"))-9))&amp;AA92,IFERROR(TRIM(INDEX(QryItemNamed,MATCH(TRIM(AA91),ITEM,0),4))&amp;AA92,"ITEM CODE DOES NOT EXIST IN ITEM MASTER")))</f>
        <v>ASPHALT CONCRETE SURFACE COURSE, TYPE 1, (448), AS PER PLAN, PG64-22</v>
      </c>
      <c r="AB96" s="118" t="s">
        <v>55</v>
      </c>
      <c r="AC96" s="80" t="str">
        <f t="shared" si="34"/>
        <v>ASPHALT CONCRETE INTERMEDIATE COURSE, TYPE 2, (448)</v>
      </c>
      <c r="AD96" s="80" t="str">
        <f t="shared" si="34"/>
        <v/>
      </c>
      <c r="AE96" s="80" t="str">
        <f t="shared" si="34"/>
        <v/>
      </c>
    </row>
    <row r="97" spans="2:33" ht="12.75" customHeight="1" x14ac:dyDescent="0.2">
      <c r="B97" s="96"/>
      <c r="D97" s="90"/>
      <c r="E97" s="112"/>
      <c r="F97" s="113"/>
      <c r="G97" s="94"/>
      <c r="H97" s="86"/>
      <c r="I97" s="86"/>
      <c r="J97" s="86"/>
      <c r="K97" s="86"/>
      <c r="L97" s="86"/>
      <c r="M97" s="81"/>
      <c r="N97" s="81"/>
      <c r="O97" s="45"/>
      <c r="P97" s="81"/>
      <c r="Q97" s="78"/>
      <c r="R97" s="81"/>
      <c r="S97" s="78"/>
      <c r="T97" s="119"/>
      <c r="U97" s="81"/>
      <c r="V97" s="45"/>
      <c r="W97" s="81"/>
      <c r="X97" s="81"/>
      <c r="Y97" s="81"/>
      <c r="Z97" s="45"/>
      <c r="AA97" s="81"/>
      <c r="AB97" s="119"/>
      <c r="AC97" s="81"/>
      <c r="AD97" s="81"/>
      <c r="AE97" s="81"/>
    </row>
    <row r="98" spans="2:33" ht="12.75" customHeight="1" x14ac:dyDescent="0.2">
      <c r="B98" s="96"/>
      <c r="D98" s="90"/>
      <c r="E98" s="112"/>
      <c r="F98" s="113"/>
      <c r="G98" s="94"/>
      <c r="H98" s="86"/>
      <c r="I98" s="86"/>
      <c r="J98" s="86"/>
      <c r="K98" s="86"/>
      <c r="L98" s="86"/>
      <c r="M98" s="81"/>
      <c r="N98" s="81"/>
      <c r="O98" s="45"/>
      <c r="P98" s="81"/>
      <c r="Q98" s="78"/>
      <c r="R98" s="81"/>
      <c r="S98" s="78"/>
      <c r="T98" s="119"/>
      <c r="U98" s="81"/>
      <c r="V98" s="45"/>
      <c r="W98" s="81"/>
      <c r="X98" s="81"/>
      <c r="Y98" s="81"/>
      <c r="Z98" s="45"/>
      <c r="AA98" s="81"/>
      <c r="AB98" s="119"/>
      <c r="AC98" s="81"/>
      <c r="AD98" s="81"/>
      <c r="AE98" s="81"/>
    </row>
    <row r="99" spans="2:33" ht="12.75" customHeight="1" x14ac:dyDescent="0.2">
      <c r="B99" s="96"/>
      <c r="D99" s="90"/>
      <c r="E99" s="112"/>
      <c r="F99" s="113"/>
      <c r="G99" s="94"/>
      <c r="H99" s="86"/>
      <c r="I99" s="86"/>
      <c r="J99" s="86"/>
      <c r="K99" s="86"/>
      <c r="L99" s="86"/>
      <c r="M99" s="81"/>
      <c r="N99" s="81"/>
      <c r="O99" s="45"/>
      <c r="P99" s="81"/>
      <c r="Q99" s="78"/>
      <c r="R99" s="81"/>
      <c r="S99" s="78"/>
      <c r="T99" s="119"/>
      <c r="U99" s="81"/>
      <c r="V99" s="45"/>
      <c r="W99" s="81"/>
      <c r="X99" s="81"/>
      <c r="Y99" s="81"/>
      <c r="Z99" s="45"/>
      <c r="AA99" s="81"/>
      <c r="AB99" s="119"/>
      <c r="AC99" s="81"/>
      <c r="AD99" s="81"/>
      <c r="AE99" s="81"/>
    </row>
    <row r="100" spans="2:33" ht="12.75" customHeight="1" x14ac:dyDescent="0.2">
      <c r="B100" s="96"/>
      <c r="D100" s="90"/>
      <c r="E100" s="112"/>
      <c r="F100" s="113"/>
      <c r="G100" s="94"/>
      <c r="H100" s="86"/>
      <c r="I100" s="86"/>
      <c r="J100" s="86"/>
      <c r="K100" s="86"/>
      <c r="L100" s="86"/>
      <c r="M100" s="81"/>
      <c r="N100" s="81"/>
      <c r="O100" s="45"/>
      <c r="P100" s="81"/>
      <c r="Q100" s="78"/>
      <c r="R100" s="81"/>
      <c r="S100" s="78"/>
      <c r="T100" s="119"/>
      <c r="U100" s="81"/>
      <c r="V100" s="45"/>
      <c r="W100" s="81"/>
      <c r="X100" s="81"/>
      <c r="Y100" s="81"/>
      <c r="Z100" s="45"/>
      <c r="AA100" s="81"/>
      <c r="AB100" s="119"/>
      <c r="AC100" s="81"/>
      <c r="AD100" s="81"/>
      <c r="AE100" s="81"/>
    </row>
    <row r="101" spans="2:33" ht="12.75" customHeight="1" x14ac:dyDescent="0.2">
      <c r="B101" s="96"/>
      <c r="D101" s="90"/>
      <c r="E101" s="112"/>
      <c r="F101" s="113"/>
      <c r="G101" s="94"/>
      <c r="H101" s="86"/>
      <c r="I101" s="86"/>
      <c r="J101" s="86"/>
      <c r="K101" s="86"/>
      <c r="L101" s="86"/>
      <c r="M101" s="81"/>
      <c r="N101" s="81"/>
      <c r="O101" s="45"/>
      <c r="P101" s="81"/>
      <c r="Q101" s="78"/>
      <c r="R101" s="81"/>
      <c r="S101" s="78"/>
      <c r="T101" s="119"/>
      <c r="U101" s="81"/>
      <c r="V101" s="45"/>
      <c r="W101" s="81"/>
      <c r="X101" s="81"/>
      <c r="Y101" s="81"/>
      <c r="Z101" s="45"/>
      <c r="AA101" s="81"/>
      <c r="AB101" s="119"/>
      <c r="AC101" s="81"/>
      <c r="AD101" s="81"/>
      <c r="AE101" s="81"/>
    </row>
    <row r="102" spans="2:33" ht="12.75" customHeight="1" x14ac:dyDescent="0.2">
      <c r="B102" s="96"/>
      <c r="D102" s="90"/>
      <c r="E102" s="112"/>
      <c r="F102" s="113"/>
      <c r="G102" s="94"/>
      <c r="H102" s="86"/>
      <c r="I102" s="86"/>
      <c r="J102" s="86"/>
      <c r="K102" s="86"/>
      <c r="L102" s="86"/>
      <c r="M102" s="81"/>
      <c r="N102" s="81"/>
      <c r="O102" s="45"/>
      <c r="P102" s="81"/>
      <c r="Q102" s="78"/>
      <c r="R102" s="81"/>
      <c r="S102" s="78"/>
      <c r="T102" s="119"/>
      <c r="U102" s="81"/>
      <c r="V102" s="45"/>
      <c r="W102" s="81"/>
      <c r="X102" s="81"/>
      <c r="Y102" s="81"/>
      <c r="Z102" s="45"/>
      <c r="AA102" s="81"/>
      <c r="AB102" s="119"/>
      <c r="AC102" s="81"/>
      <c r="AD102" s="81"/>
      <c r="AE102" s="81"/>
    </row>
    <row r="103" spans="2:33" ht="12.75" customHeight="1" x14ac:dyDescent="0.2">
      <c r="B103" s="96"/>
      <c r="D103" s="90"/>
      <c r="E103" s="112"/>
      <c r="F103" s="113"/>
      <c r="G103" s="94"/>
      <c r="H103" s="86"/>
      <c r="I103" s="86"/>
      <c r="J103" s="86"/>
      <c r="K103" s="86"/>
      <c r="L103" s="86"/>
      <c r="M103" s="81"/>
      <c r="N103" s="81"/>
      <c r="O103" s="45"/>
      <c r="P103" s="81"/>
      <c r="Q103" s="78"/>
      <c r="R103" s="81"/>
      <c r="S103" s="78"/>
      <c r="T103" s="119"/>
      <c r="U103" s="81"/>
      <c r="V103" s="45"/>
      <c r="W103" s="81"/>
      <c r="X103" s="81"/>
      <c r="Y103" s="81"/>
      <c r="Z103" s="45"/>
      <c r="AA103" s="81"/>
      <c r="AB103" s="119"/>
      <c r="AC103" s="81"/>
      <c r="AD103" s="81"/>
      <c r="AE103" s="81"/>
    </row>
    <row r="104" spans="2:33" ht="12.75" customHeight="1" x14ac:dyDescent="0.2">
      <c r="B104" s="96"/>
      <c r="D104" s="90"/>
      <c r="E104" s="112"/>
      <c r="F104" s="113"/>
      <c r="G104" s="94"/>
      <c r="H104" s="86"/>
      <c r="I104" s="86"/>
      <c r="J104" s="86"/>
      <c r="K104" s="86"/>
      <c r="L104" s="86"/>
      <c r="M104" s="81"/>
      <c r="N104" s="81"/>
      <c r="O104" s="45"/>
      <c r="P104" s="81"/>
      <c r="Q104" s="78"/>
      <c r="R104" s="81"/>
      <c r="S104" s="78"/>
      <c r="T104" s="119"/>
      <c r="U104" s="81"/>
      <c r="V104" s="45"/>
      <c r="W104" s="81"/>
      <c r="X104" s="81"/>
      <c r="Y104" s="81"/>
      <c r="Z104" s="45"/>
      <c r="AA104" s="81"/>
      <c r="AB104" s="119"/>
      <c r="AC104" s="81"/>
      <c r="AD104" s="81"/>
      <c r="AE104" s="81"/>
    </row>
    <row r="105" spans="2:33" ht="12.75" customHeight="1" x14ac:dyDescent="0.2">
      <c r="B105" s="96"/>
      <c r="D105" s="90"/>
      <c r="E105" s="112"/>
      <c r="F105" s="113"/>
      <c r="G105" s="94"/>
      <c r="H105" s="86"/>
      <c r="I105" s="86"/>
      <c r="J105" s="86"/>
      <c r="K105" s="86"/>
      <c r="L105" s="86"/>
      <c r="M105" s="81"/>
      <c r="N105" s="81"/>
      <c r="O105" s="45"/>
      <c r="P105" s="81"/>
      <c r="Q105" s="78"/>
      <c r="R105" s="81"/>
      <c r="S105" s="78"/>
      <c r="T105" s="119"/>
      <c r="U105" s="81"/>
      <c r="V105" s="45"/>
      <c r="W105" s="81"/>
      <c r="X105" s="81"/>
      <c r="Y105" s="81"/>
      <c r="Z105" s="45"/>
      <c r="AA105" s="81"/>
      <c r="AB105" s="119"/>
      <c r="AC105" s="81"/>
      <c r="AD105" s="81"/>
      <c r="AE105" s="81"/>
    </row>
    <row r="106" spans="2:33" ht="12.75" customHeight="1" x14ac:dyDescent="0.2">
      <c r="B106" s="96"/>
      <c r="D106" s="90"/>
      <c r="E106" s="112"/>
      <c r="F106" s="113"/>
      <c r="G106" s="94"/>
      <c r="H106" s="86"/>
      <c r="I106" s="86"/>
      <c r="J106" s="86"/>
      <c r="K106" s="86"/>
      <c r="L106" s="86"/>
      <c r="M106" s="81"/>
      <c r="N106" s="81"/>
      <c r="O106" s="45"/>
      <c r="P106" s="81"/>
      <c r="Q106" s="78"/>
      <c r="R106" s="81"/>
      <c r="S106" s="78"/>
      <c r="T106" s="119"/>
      <c r="U106" s="81"/>
      <c r="V106" s="45"/>
      <c r="W106" s="81"/>
      <c r="X106" s="81"/>
      <c r="Y106" s="81"/>
      <c r="Z106" s="45"/>
      <c r="AA106" s="81"/>
      <c r="AB106" s="119"/>
      <c r="AC106" s="81"/>
      <c r="AD106" s="81"/>
      <c r="AE106" s="81"/>
    </row>
    <row r="107" spans="2:33" ht="12.75" customHeight="1" x14ac:dyDescent="0.2">
      <c r="B107" s="96"/>
      <c r="D107" s="90"/>
      <c r="E107" s="112"/>
      <c r="F107" s="113"/>
      <c r="G107" s="94"/>
      <c r="H107" s="86"/>
      <c r="I107" s="102"/>
      <c r="J107" s="102"/>
      <c r="K107" s="102"/>
      <c r="L107" s="102"/>
      <c r="M107" s="82"/>
      <c r="N107" s="82"/>
      <c r="O107" s="46"/>
      <c r="P107" s="82"/>
      <c r="Q107" s="79"/>
      <c r="R107" s="82"/>
      <c r="S107" s="79"/>
      <c r="T107" s="120"/>
      <c r="U107" s="82"/>
      <c r="V107" s="46"/>
      <c r="W107" s="82"/>
      <c r="X107" s="82"/>
      <c r="Y107" s="82"/>
      <c r="Z107" s="46"/>
      <c r="AA107" s="82"/>
      <c r="AB107" s="120"/>
      <c r="AC107" s="82"/>
      <c r="AD107" s="82"/>
      <c r="AE107" s="82"/>
    </row>
    <row r="108" spans="2:33" ht="12.75" customHeight="1" thickBot="1" x14ac:dyDescent="0.25">
      <c r="B108" s="97"/>
      <c r="D108" s="99"/>
      <c r="E108" s="100"/>
      <c r="F108" s="101"/>
      <c r="G108" s="13"/>
      <c r="H108" s="14"/>
      <c r="I108" s="15" t="s">
        <v>4</v>
      </c>
      <c r="J108" s="15" t="s">
        <v>4</v>
      </c>
      <c r="K108" s="15" t="s">
        <v>26</v>
      </c>
      <c r="L108" s="15" t="s">
        <v>26</v>
      </c>
      <c r="M108" s="15" t="str">
        <f t="shared" ref="M108:N108" si="35">IF(OR(TRIM(M91)=0,TRIM(M91)=""),"",IF(IFERROR(TRIM(INDEX(QryItemNamed,MATCH(TRIM(M91),ITEM,0),3)),"")="LS","",IFERROR(TRIM(INDEX(QryItemNamed,MATCH(TRIM(M91),ITEM,0),3)),"")))</f>
        <v/>
      </c>
      <c r="N108" s="15" t="str">
        <f t="shared" si="35"/>
        <v>SY</v>
      </c>
      <c r="O108" s="15"/>
      <c r="P108" s="15" t="str">
        <f t="shared" ref="P108" si="36">IF(OR(TRIM(P91)=0,TRIM(P91)=""),"",IF(IFERROR(TRIM(INDEX(QryItemNamed,MATCH(TRIM(P91),ITEM,0),3)),"")="LS","",IFERROR(TRIM(INDEX(QryItemNamed,MATCH(TRIM(P91),ITEM,0),3)),"")))</f>
        <v>SY</v>
      </c>
      <c r="Q108" s="15"/>
      <c r="R108" s="15" t="str">
        <f t="shared" ref="R108" si="37">IF(OR(TRIM(R91)=0,TRIM(R91)=""),"",IF(IFERROR(TRIM(INDEX(QryItemNamed,MATCH(TRIM(R91),ITEM,0),3)),"")="LS","",IFERROR(TRIM(INDEX(QryItemNamed,MATCH(TRIM(R91),ITEM,0),3)),"")))</f>
        <v>FT</v>
      </c>
      <c r="S108" s="15"/>
      <c r="T108" s="132"/>
      <c r="U108" s="15" t="str">
        <f t="shared" ref="U108" si="38">IF(OR(TRIM(U91)=0,TRIM(U91)=""),"",IF(IFERROR(TRIM(INDEX(QryItemNamed,MATCH(TRIM(U91),ITEM,0),3)),"")="LS","",IFERROR(TRIM(INDEX(QryItemNamed,MATCH(TRIM(U91),ITEM,0),3)),"")))</f>
        <v>SY</v>
      </c>
      <c r="V108" s="15"/>
      <c r="W108" s="15" t="str">
        <f t="shared" ref="W108:Y108" si="39">IF(OR(TRIM(W91)=0,TRIM(W91)=""),"",IF(IFERROR(TRIM(INDEX(QryItemNamed,MATCH(TRIM(W91),ITEM,0),3)),"")="LS","",IFERROR(TRIM(INDEX(QryItemNamed,MATCH(TRIM(W91),ITEM,0),3)),"")))</f>
        <v>CY</v>
      </c>
      <c r="X108" s="15" t="str">
        <f t="shared" si="39"/>
        <v/>
      </c>
      <c r="Y108" s="15" t="str">
        <f t="shared" si="39"/>
        <v>GAL</v>
      </c>
      <c r="Z108" s="15"/>
      <c r="AA108" s="15" t="str">
        <f t="shared" ref="AA108:AE108" si="40">IF(OR(TRIM(AA91)=0,TRIM(AA91)=""),"",IF(IFERROR(TRIM(INDEX(QryItemNamed,MATCH(TRIM(AA91),ITEM,0),3)),"")="LS","",IFERROR(TRIM(INDEX(QryItemNamed,MATCH(TRIM(AA91),ITEM,0),3)),"")))</f>
        <v>CY</v>
      </c>
      <c r="AB108" s="132"/>
      <c r="AC108" s="15" t="str">
        <f t="shared" si="40"/>
        <v>CY</v>
      </c>
      <c r="AD108" s="15" t="str">
        <f t="shared" si="40"/>
        <v/>
      </c>
      <c r="AE108" s="15" t="str">
        <f t="shared" si="40"/>
        <v/>
      </c>
    </row>
    <row r="109" spans="2:33" ht="12.75" customHeight="1" x14ac:dyDescent="0.2">
      <c r="B109" s="50"/>
      <c r="D109" s="51"/>
      <c r="E109" s="42"/>
      <c r="F109" s="43"/>
      <c r="G109" s="52"/>
      <c r="H109" s="5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138"/>
      <c r="U109" s="54"/>
      <c r="V109" s="54"/>
      <c r="W109" s="54"/>
      <c r="X109" s="54"/>
      <c r="Y109" s="54"/>
      <c r="Z109" s="54"/>
      <c r="AA109" s="54"/>
      <c r="AB109" s="138"/>
      <c r="AC109" s="54"/>
      <c r="AD109" s="54"/>
      <c r="AE109" s="54"/>
      <c r="AG109" s="1">
        <v>1</v>
      </c>
    </row>
    <row r="110" spans="2:33" ht="12.75" customHeight="1" x14ac:dyDescent="0.2">
      <c r="B110" s="40"/>
      <c r="D110" s="106" t="s">
        <v>31</v>
      </c>
      <c r="E110" s="106"/>
      <c r="F110" s="106"/>
      <c r="G110" s="24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134"/>
      <c r="U110" s="21"/>
      <c r="V110" s="21"/>
      <c r="W110" s="21"/>
      <c r="X110" s="21"/>
      <c r="Y110" s="21"/>
      <c r="Z110" s="21"/>
      <c r="AA110" s="21"/>
      <c r="AB110" s="134"/>
      <c r="AC110" s="21"/>
      <c r="AD110" s="21"/>
      <c r="AE110" s="21"/>
      <c r="AG110" s="1">
        <v>2</v>
      </c>
    </row>
    <row r="111" spans="2:33" ht="12.75" customHeight="1" x14ac:dyDescent="0.2">
      <c r="B111" s="40"/>
      <c r="D111" s="22">
        <v>4414.5600000000004</v>
      </c>
      <c r="E111" s="23" t="s">
        <v>1</v>
      </c>
      <c r="F111" s="22">
        <v>4416.67</v>
      </c>
      <c r="G111" s="24" t="s">
        <v>29</v>
      </c>
      <c r="H111" s="25" t="s">
        <v>35</v>
      </c>
      <c r="I111" s="21">
        <f t="shared" ref="I111:I113" si="41">IF(D111&lt;&gt;"",F111-D111,"")</f>
        <v>2.1099999999996726</v>
      </c>
      <c r="J111" s="21">
        <v>32.229999999999997</v>
      </c>
      <c r="K111" s="21">
        <f>(I111*J111)/9</f>
        <v>7.5561444444432722</v>
      </c>
      <c r="L111" s="21"/>
      <c r="M111" s="21"/>
      <c r="N111" s="21">
        <f>IF(L111&gt;0,L111,K111)</f>
        <v>7.5561444444432722</v>
      </c>
      <c r="O111" s="21"/>
      <c r="P111" s="21"/>
      <c r="Q111" s="21"/>
      <c r="R111" s="21">
        <v>34.35</v>
      </c>
      <c r="S111" s="21"/>
      <c r="T111" s="134">
        <f>IF(G111="PAV",9,5)</f>
        <v>9</v>
      </c>
      <c r="U111" s="21">
        <f>IF(L111&gt;0,T111/36*L111,T111/36*K111)</f>
        <v>1.889036111110818</v>
      </c>
      <c r="V111" s="21"/>
      <c r="W111" s="21">
        <f>IF(L111&gt;0,$W$94/36*L111,$W$94/36*$K111)</f>
        <v>1.259357407407212</v>
      </c>
      <c r="X111" s="21"/>
      <c r="Y111" s="21">
        <f>IF(L111&gt;0,$Y$94*L111,$Y$94*$K111)</f>
        <v>0.45336866666659631</v>
      </c>
      <c r="Z111" s="21"/>
      <c r="AA111" s="21">
        <f>IF(L111&gt;0,$AA$94/36*L111,$AA$94/36*$K111)</f>
        <v>0.26236612654316921</v>
      </c>
      <c r="AB111" s="134">
        <v>1.75</v>
      </c>
      <c r="AC111" s="21">
        <f>IF(L111&gt;0,AB111/36*L111,AB111/36*$K111)</f>
        <v>0.36731257716043686</v>
      </c>
      <c r="AD111" s="21"/>
      <c r="AE111" s="21"/>
      <c r="AG111" s="1">
        <v>3</v>
      </c>
    </row>
    <row r="112" spans="2:33" ht="12.75" customHeight="1" x14ac:dyDescent="0.2">
      <c r="B112" s="39"/>
      <c r="D112" s="22">
        <v>4416.67</v>
      </c>
      <c r="E112" s="17" t="s">
        <v>1</v>
      </c>
      <c r="F112" s="16">
        <v>4421.05</v>
      </c>
      <c r="G112" s="18" t="s">
        <v>29</v>
      </c>
      <c r="H112" s="19" t="s">
        <v>35</v>
      </c>
      <c r="I112" s="20">
        <f t="shared" si="41"/>
        <v>4.3800000000001091</v>
      </c>
      <c r="J112" s="20"/>
      <c r="K112" s="21"/>
      <c r="L112" s="20">
        <f>96.9963/9</f>
        <v>10.777366666666667</v>
      </c>
      <c r="M112" s="20"/>
      <c r="N112" s="21">
        <f t="shared" ref="N112:N113" si="42">IF(L112&gt;0,L112,K112)</f>
        <v>10.777366666666667</v>
      </c>
      <c r="O112" s="20"/>
      <c r="P112" s="20"/>
      <c r="Q112" s="20"/>
      <c r="R112" s="20"/>
      <c r="S112" s="20"/>
      <c r="T112" s="134">
        <f>IF(G112="PAV",9,5)</f>
        <v>9</v>
      </c>
      <c r="U112" s="21">
        <f>IF(L112&gt;0,T112/36*L112,T112/36*K112)</f>
        <v>2.6943416666666669</v>
      </c>
      <c r="V112" s="20"/>
      <c r="W112" s="21">
        <f>IF(L112&gt;0,$W$94/36*L112,$W$94/36*$K112)</f>
        <v>1.7962277777777778</v>
      </c>
      <c r="X112" s="20"/>
      <c r="Y112" s="21">
        <f>IF(L112&gt;0,$Y$94*L112,$Y$94*$K112)</f>
        <v>0.64664200000000005</v>
      </c>
      <c r="Z112" s="20"/>
      <c r="AA112" s="21">
        <f>IF(L112&gt;0,$AA$94/36*L112,$AA$94/36*$K112)</f>
        <v>0.37421412037037044</v>
      </c>
      <c r="AB112" s="134">
        <v>1.75</v>
      </c>
      <c r="AC112" s="21">
        <f>IF(L112&gt;0,AB112/36*L112,AB112/36*$K112)</f>
        <v>0.5238997685185186</v>
      </c>
      <c r="AD112" s="20"/>
      <c r="AE112" s="21"/>
      <c r="AG112" s="1">
        <v>4</v>
      </c>
    </row>
    <row r="113" spans="2:33" ht="12.75" customHeight="1" x14ac:dyDescent="0.2">
      <c r="B113" s="39"/>
      <c r="D113" s="16">
        <v>4416.5600000000004</v>
      </c>
      <c r="E113" s="17" t="s">
        <v>1</v>
      </c>
      <c r="F113" s="16">
        <v>4421.05</v>
      </c>
      <c r="G113" s="18" t="s">
        <v>36</v>
      </c>
      <c r="H113" s="19" t="s">
        <v>35</v>
      </c>
      <c r="I113" s="20">
        <f t="shared" si="41"/>
        <v>4.4899999999997817</v>
      </c>
      <c r="J113" s="20">
        <v>1</v>
      </c>
      <c r="K113" s="21">
        <f>(I113*J113)/9</f>
        <v>0.49888888888886462</v>
      </c>
      <c r="L113" s="20"/>
      <c r="M113" s="20"/>
      <c r="N113" s="21">
        <f t="shared" si="42"/>
        <v>0.49888888888886462</v>
      </c>
      <c r="O113" s="20"/>
      <c r="P113" s="20"/>
      <c r="Q113" s="20"/>
      <c r="R113" s="20"/>
      <c r="S113" s="20"/>
      <c r="T113" s="139"/>
      <c r="U113" s="20"/>
      <c r="V113" s="20"/>
      <c r="W113" s="21">
        <f>IF(L113&gt;0,$W$94/36*L113,$W$94/36*$K113)</f>
        <v>8.3148148148144099E-2</v>
      </c>
      <c r="X113" s="20"/>
      <c r="Y113" s="20"/>
      <c r="Z113" s="20"/>
      <c r="AA113" s="20"/>
      <c r="AB113" s="139"/>
      <c r="AC113" s="20"/>
      <c r="AD113" s="20"/>
      <c r="AE113" s="21"/>
      <c r="AG113" s="1">
        <v>5</v>
      </c>
    </row>
    <row r="114" spans="2:33" ht="12.75" customHeight="1" x14ac:dyDescent="0.2">
      <c r="B114" s="39"/>
      <c r="D114" s="16"/>
      <c r="E114" s="17"/>
      <c r="F114" s="16"/>
      <c r="G114" s="18"/>
      <c r="H114" s="19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139"/>
      <c r="U114" s="20"/>
      <c r="V114" s="20"/>
      <c r="W114" s="20"/>
      <c r="X114" s="20"/>
      <c r="Y114" s="20"/>
      <c r="Z114" s="20"/>
      <c r="AA114" s="20"/>
      <c r="AB114" s="139"/>
      <c r="AC114" s="20"/>
      <c r="AD114" s="20"/>
      <c r="AE114" s="21"/>
      <c r="AG114" s="1">
        <v>6</v>
      </c>
    </row>
    <row r="115" spans="2:33" ht="12.75" customHeight="1" x14ac:dyDescent="0.2">
      <c r="B115" s="39"/>
      <c r="D115" s="16">
        <v>4414.5600000000004</v>
      </c>
      <c r="E115" s="17" t="s">
        <v>1</v>
      </c>
      <c r="F115" s="16">
        <v>4417.13</v>
      </c>
      <c r="G115" s="18" t="s">
        <v>29</v>
      </c>
      <c r="H115" s="19" t="s">
        <v>38</v>
      </c>
      <c r="I115" s="20">
        <f t="shared" ref="I115:I117" si="43">IF(D115&lt;&gt;"",F115-D115,"")</f>
        <v>2.569999999999709</v>
      </c>
      <c r="J115" s="20">
        <v>42.77</v>
      </c>
      <c r="K115" s="21">
        <f>(I115*J115)/9</f>
        <v>12.213211111109729</v>
      </c>
      <c r="L115" s="20"/>
      <c r="M115" s="20"/>
      <c r="N115" s="21">
        <f>IF(L115&gt;0,L115,K115)</f>
        <v>12.213211111109729</v>
      </c>
      <c r="O115" s="20"/>
      <c r="P115" s="20"/>
      <c r="Q115" s="20"/>
      <c r="R115" s="20">
        <v>45.35</v>
      </c>
      <c r="S115" s="20"/>
      <c r="T115" s="134">
        <f>IF(G115="PAV",9,5)</f>
        <v>9</v>
      </c>
      <c r="U115" s="21">
        <f>IF(L115&gt;0,T115/36*L115,T115/36*K115)</f>
        <v>3.0533027777774322</v>
      </c>
      <c r="V115" s="20"/>
      <c r="W115" s="21">
        <f>IF(L115&gt;0,$W$94/36*L115,$W$94/36*$K115)</f>
        <v>2.0355351851849548</v>
      </c>
      <c r="X115" s="20"/>
      <c r="Y115" s="21">
        <f>IF(L115&gt;0,$Y$94*L115,$Y$94*$K115)</f>
        <v>0.73279266666658371</v>
      </c>
      <c r="Z115" s="20"/>
      <c r="AA115" s="21">
        <f>IF(L115&gt;0,$AA$94/36*L115,$AA$94/36*$K115)</f>
        <v>0.42406983024686562</v>
      </c>
      <c r="AB115" s="134">
        <v>1.75</v>
      </c>
      <c r="AC115" s="21">
        <f>IF(L115&gt;0,AB115/36*L115,AB115/36*$K115)</f>
        <v>0.59369776234561178</v>
      </c>
      <c r="AD115" s="20"/>
      <c r="AE115" s="21"/>
      <c r="AG115" s="1">
        <v>7</v>
      </c>
    </row>
    <row r="116" spans="2:33" ht="12.75" customHeight="1" x14ac:dyDescent="0.2">
      <c r="B116" s="39"/>
      <c r="D116" s="16">
        <v>4417.13</v>
      </c>
      <c r="E116" s="17" t="s">
        <v>1</v>
      </c>
      <c r="F116" s="16">
        <v>4421.05</v>
      </c>
      <c r="G116" s="18" t="s">
        <v>29</v>
      </c>
      <c r="H116" s="19" t="s">
        <v>38</v>
      </c>
      <c r="I116" s="20">
        <f t="shared" si="43"/>
        <v>3.9200000000000728</v>
      </c>
      <c r="J116" s="20"/>
      <c r="K116" s="21"/>
      <c r="L116" s="20">
        <f>132.8299/9</f>
        <v>14.758877777777778</v>
      </c>
      <c r="M116" s="20"/>
      <c r="N116" s="21">
        <f t="shared" ref="N116:N117" si="44">IF(L116&gt;0,L116,K116)</f>
        <v>14.758877777777778</v>
      </c>
      <c r="O116" s="20"/>
      <c r="P116" s="20"/>
      <c r="Q116" s="20"/>
      <c r="R116" s="20"/>
      <c r="S116" s="20"/>
      <c r="T116" s="134">
        <f>IF(G116="PAV",9,5)</f>
        <v>9</v>
      </c>
      <c r="U116" s="21">
        <f>IF(L116&gt;0,T116/36*L116,T116/36*K116)</f>
        <v>3.6897194444444446</v>
      </c>
      <c r="V116" s="20"/>
      <c r="W116" s="21">
        <f>IF(L116&gt;0,$W$94/36*L116,$W$94/36*$K116)</f>
        <v>2.459812962962963</v>
      </c>
      <c r="X116" s="20"/>
      <c r="Y116" s="21">
        <f>IF(L116&gt;0,$Y$94*L116,$Y$94*$K116)</f>
        <v>0.88553266666666663</v>
      </c>
      <c r="Z116" s="20"/>
      <c r="AA116" s="21">
        <f>IF(L116&gt;0,$AA$94/36*L116,$AA$94/36*$K116)</f>
        <v>0.51246103395061737</v>
      </c>
      <c r="AB116" s="134">
        <v>1.75</v>
      </c>
      <c r="AC116" s="21">
        <f>IF(L116&gt;0,AB116/36*L116,AB116/36*$K116)</f>
        <v>0.71744544753086426</v>
      </c>
      <c r="AD116" s="20"/>
      <c r="AE116" s="21"/>
      <c r="AG116" s="1">
        <v>8</v>
      </c>
    </row>
    <row r="117" spans="2:33" ht="12.75" customHeight="1" x14ac:dyDescent="0.2">
      <c r="B117" s="39"/>
      <c r="D117" s="16">
        <v>4417.13</v>
      </c>
      <c r="E117" s="17" t="s">
        <v>1</v>
      </c>
      <c r="F117" s="16">
        <v>4421.05</v>
      </c>
      <c r="G117" s="18" t="s">
        <v>36</v>
      </c>
      <c r="H117" s="19" t="s">
        <v>38</v>
      </c>
      <c r="I117" s="20">
        <f t="shared" si="43"/>
        <v>3.9200000000000728</v>
      </c>
      <c r="J117" s="20">
        <v>1</v>
      </c>
      <c r="K117" s="21">
        <f>(I117*J117)/9</f>
        <v>0.43555555555556363</v>
      </c>
      <c r="L117" s="20"/>
      <c r="M117" s="20"/>
      <c r="N117" s="21">
        <f t="shared" si="44"/>
        <v>0.43555555555556363</v>
      </c>
      <c r="O117" s="20"/>
      <c r="P117" s="20"/>
      <c r="Q117" s="20"/>
      <c r="R117" s="20"/>
      <c r="S117" s="20"/>
      <c r="T117" s="139"/>
      <c r="U117" s="20"/>
      <c r="V117" s="20"/>
      <c r="W117" s="21">
        <f>IF(L117&gt;0,$W$94/36*L117,$W$94/36*$K117)</f>
        <v>7.259259259259393E-2</v>
      </c>
      <c r="X117" s="20"/>
      <c r="Y117" s="20"/>
      <c r="Z117" s="20"/>
      <c r="AA117" s="20"/>
      <c r="AB117" s="139"/>
      <c r="AC117" s="20"/>
      <c r="AD117" s="20"/>
      <c r="AE117" s="21"/>
      <c r="AG117" s="1">
        <v>9</v>
      </c>
    </row>
    <row r="118" spans="2:33" ht="12.75" customHeight="1" x14ac:dyDescent="0.2">
      <c r="B118" s="39"/>
      <c r="D118" s="16"/>
      <c r="E118" s="17"/>
      <c r="F118" s="16"/>
      <c r="G118" s="18"/>
      <c r="H118" s="19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139"/>
      <c r="U118" s="20"/>
      <c r="V118" s="20"/>
      <c r="W118" s="20"/>
      <c r="X118" s="20"/>
      <c r="Y118" s="20"/>
      <c r="Z118" s="20"/>
      <c r="AA118" s="20"/>
      <c r="AB118" s="139"/>
      <c r="AC118" s="20"/>
      <c r="AD118" s="20"/>
      <c r="AE118" s="21"/>
      <c r="AG118" s="1">
        <v>10</v>
      </c>
    </row>
    <row r="119" spans="2:33" ht="12.75" customHeight="1" x14ac:dyDescent="0.2">
      <c r="B119" s="39"/>
      <c r="D119" s="16">
        <v>4421.05</v>
      </c>
      <c r="E119" s="17" t="s">
        <v>1</v>
      </c>
      <c r="F119" s="16">
        <v>4431.54</v>
      </c>
      <c r="G119" s="18" t="s">
        <v>29</v>
      </c>
      <c r="H119" s="19" t="s">
        <v>35</v>
      </c>
      <c r="I119" s="20">
        <f t="shared" ref="I119:I122" si="45">IF(D119&lt;&gt;"",F119-D119,"")</f>
        <v>10.489999999999782</v>
      </c>
      <c r="J119" s="21"/>
      <c r="K119" s="21"/>
      <c r="L119" s="21">
        <f>160.85/9</f>
        <v>17.87222222222222</v>
      </c>
      <c r="M119" s="20"/>
      <c r="N119" s="21">
        <f>IF(L119&gt;0,L119,K119)</f>
        <v>17.87222222222222</v>
      </c>
      <c r="O119" s="20"/>
      <c r="P119" s="20"/>
      <c r="Q119" s="20"/>
      <c r="R119" s="20"/>
      <c r="S119" s="20"/>
      <c r="T119" s="134">
        <f>IF(G119="PAV",9,5)</f>
        <v>9</v>
      </c>
      <c r="U119" s="21">
        <f>IF(L119&gt;0,T119/36*L119,T119/36*K119)</f>
        <v>4.468055555555555</v>
      </c>
      <c r="V119" s="20"/>
      <c r="W119" s="21">
        <f>IF(L119&gt;0,$W$94/36*L119,$W$94/36*$K119)</f>
        <v>2.9787037037037032</v>
      </c>
      <c r="X119" s="20"/>
      <c r="Y119" s="21">
        <f>IF(L119&gt;0,$Y$94*L119,$Y$94*$K119)</f>
        <v>1.0723333333333331</v>
      </c>
      <c r="Z119" s="20"/>
      <c r="AA119" s="21">
        <f>IF(L119&gt;0,$AA$94/36*L119,$AA$94/36*$K119)</f>
        <v>0.62056327160493818</v>
      </c>
      <c r="AB119" s="134">
        <v>3.08</v>
      </c>
      <c r="AC119" s="21">
        <f>IF(L119&gt;0,AB119/36*L119,AB119/36*$K119)</f>
        <v>1.5290679012345676</v>
      </c>
      <c r="AD119" s="47"/>
      <c r="AE119" s="21"/>
      <c r="AG119" s="1">
        <v>11</v>
      </c>
    </row>
    <row r="120" spans="2:33" ht="12.75" customHeight="1" x14ac:dyDescent="0.2">
      <c r="B120" s="39"/>
      <c r="D120" s="16">
        <v>4431.54</v>
      </c>
      <c r="E120" s="17" t="s">
        <v>1</v>
      </c>
      <c r="F120" s="16">
        <v>4440.8</v>
      </c>
      <c r="G120" s="18" t="s">
        <v>29</v>
      </c>
      <c r="H120" s="19" t="s">
        <v>35</v>
      </c>
      <c r="I120" s="20">
        <f t="shared" si="45"/>
        <v>9.2600000000002183</v>
      </c>
      <c r="J120" s="21">
        <v>14</v>
      </c>
      <c r="K120" s="21">
        <f>(I120*J120)/9</f>
        <v>14.404444444444785</v>
      </c>
      <c r="L120" s="20"/>
      <c r="M120" s="20"/>
      <c r="N120" s="21">
        <f t="shared" ref="N120:N121" si="46">IF(L120&gt;0,L120,K120)</f>
        <v>14.404444444444785</v>
      </c>
      <c r="O120" s="20"/>
      <c r="P120" s="20"/>
      <c r="Q120" s="20"/>
      <c r="R120" s="20"/>
      <c r="S120" s="20"/>
      <c r="T120" s="134">
        <f>IF(G120="PAV",9,5)</f>
        <v>9</v>
      </c>
      <c r="U120" s="21">
        <f>IF(L120&gt;0,T120/36*L120,T120/36*K120)</f>
        <v>3.6011111111111962</v>
      </c>
      <c r="V120" s="20"/>
      <c r="W120" s="21">
        <f>IF(L120&gt;0,$W$94/36*L120,$W$94/36*$K120)</f>
        <v>2.4007407407407975</v>
      </c>
      <c r="X120" s="20"/>
      <c r="Y120" s="21">
        <f>IF(L120&gt;0,$Y$94*L120,$Y$94*$K120)</f>
        <v>0.86426666666668706</v>
      </c>
      <c r="Z120" s="20"/>
      <c r="AA120" s="21">
        <f>IF(L120&gt;0,$AA$94/36*L120,$AA$94/36*$K120)</f>
        <v>0.50015432098766621</v>
      </c>
      <c r="AB120" s="134">
        <v>5.58</v>
      </c>
      <c r="AC120" s="21">
        <f>IF(L120&gt;0,AB120/36*L120,AB120/36*$K120)</f>
        <v>2.2326888888889416</v>
      </c>
      <c r="AD120" s="47"/>
      <c r="AE120" s="21"/>
      <c r="AG120" s="1">
        <v>12</v>
      </c>
    </row>
    <row r="121" spans="2:33" ht="12.75" customHeight="1" x14ac:dyDescent="0.2">
      <c r="B121" s="39"/>
      <c r="D121" s="16">
        <v>4421.05</v>
      </c>
      <c r="E121" s="17" t="s">
        <v>1</v>
      </c>
      <c r="F121" s="16">
        <v>4440.8</v>
      </c>
      <c r="G121" s="24" t="s">
        <v>36</v>
      </c>
      <c r="H121" s="19" t="s">
        <v>35</v>
      </c>
      <c r="I121" s="20">
        <f t="shared" si="45"/>
        <v>19.75</v>
      </c>
      <c r="J121" s="21">
        <f>10/12</f>
        <v>0.83333333333333337</v>
      </c>
      <c r="K121" s="21">
        <f>(I121*J121)/9</f>
        <v>1.8287037037037039</v>
      </c>
      <c r="L121" s="21"/>
      <c r="M121" s="20"/>
      <c r="N121" s="21">
        <f t="shared" si="46"/>
        <v>1.8287037037037039</v>
      </c>
      <c r="O121" s="20"/>
      <c r="P121" s="20"/>
      <c r="Q121" s="20"/>
      <c r="R121" s="20"/>
      <c r="S121" s="20"/>
      <c r="T121" s="134">
        <f>IF(G121="PAV",9,5)</f>
        <v>5</v>
      </c>
      <c r="U121" s="21">
        <f>IF(L121&gt;0,T121/36*L121,T121/36*K121)</f>
        <v>0.25398662551440332</v>
      </c>
      <c r="V121" s="20"/>
      <c r="W121" s="21">
        <f>IF(L121&gt;0,$W$94/36*L121,$W$94/36*$K121)</f>
        <v>0.30478395061728397</v>
      </c>
      <c r="X121" s="20"/>
      <c r="Y121" s="20"/>
      <c r="Z121" s="20"/>
      <c r="AA121" s="20"/>
      <c r="AB121" s="139"/>
      <c r="AC121" s="20"/>
      <c r="AD121" s="20"/>
      <c r="AE121" s="21"/>
      <c r="AG121" s="1">
        <v>13</v>
      </c>
    </row>
    <row r="122" spans="2:33" ht="12.75" customHeight="1" x14ac:dyDescent="0.2">
      <c r="B122" s="39"/>
      <c r="D122" s="16">
        <v>4421.05</v>
      </c>
      <c r="E122" s="17" t="s">
        <v>1</v>
      </c>
      <c r="F122" s="16">
        <v>4440.8</v>
      </c>
      <c r="G122" s="24" t="s">
        <v>36</v>
      </c>
      <c r="H122" s="19" t="s">
        <v>35</v>
      </c>
      <c r="I122" s="20">
        <f t="shared" si="45"/>
        <v>19.75</v>
      </c>
      <c r="J122" s="38">
        <v>0.75</v>
      </c>
      <c r="K122" s="21">
        <f>(I122*J122)/9</f>
        <v>1.6458333333333333</v>
      </c>
      <c r="L122" s="21"/>
      <c r="M122" s="20"/>
      <c r="N122" s="21">
        <f>IF(L122&gt;0,L122,K122)</f>
        <v>1.6458333333333333</v>
      </c>
      <c r="O122" s="20"/>
      <c r="P122" s="20"/>
      <c r="Q122" s="20"/>
      <c r="R122" s="20"/>
      <c r="S122" s="20"/>
      <c r="T122" s="139"/>
      <c r="U122" s="20"/>
      <c r="V122" s="20"/>
      <c r="W122" s="21">
        <f>IF(L122&gt;0,$W$94/36*L122,$W$94/36*$K122)</f>
        <v>0.27430555555555552</v>
      </c>
      <c r="X122" s="20"/>
      <c r="Y122" s="20"/>
      <c r="Z122" s="20"/>
      <c r="AA122" s="20"/>
      <c r="AB122" s="139"/>
      <c r="AC122" s="20"/>
      <c r="AD122" s="20"/>
      <c r="AE122" s="21"/>
      <c r="AG122" s="1">
        <v>14</v>
      </c>
    </row>
    <row r="123" spans="2:33" ht="12.75" customHeight="1" x14ac:dyDescent="0.2">
      <c r="B123" s="39"/>
      <c r="D123" s="16"/>
      <c r="E123" s="17"/>
      <c r="F123" s="16"/>
      <c r="G123" s="18"/>
      <c r="H123" s="19"/>
      <c r="I123" s="21"/>
      <c r="J123" s="21"/>
      <c r="K123" s="21"/>
      <c r="L123" s="21"/>
      <c r="M123" s="20"/>
      <c r="N123" s="20"/>
      <c r="O123" s="20"/>
      <c r="P123" s="20"/>
      <c r="Q123" s="20"/>
      <c r="R123" s="20"/>
      <c r="S123" s="20"/>
      <c r="T123" s="139"/>
      <c r="U123" s="21"/>
      <c r="V123" s="20"/>
      <c r="W123" s="20"/>
      <c r="X123" s="20"/>
      <c r="Y123" s="20"/>
      <c r="Z123" s="20"/>
      <c r="AA123" s="20"/>
      <c r="AB123" s="139"/>
      <c r="AC123" s="20"/>
      <c r="AD123" s="21"/>
      <c r="AE123" s="21"/>
      <c r="AG123" s="1">
        <v>15</v>
      </c>
    </row>
    <row r="124" spans="2:33" ht="12.75" customHeight="1" x14ac:dyDescent="0.2">
      <c r="B124" s="39"/>
      <c r="D124" s="16">
        <v>4421.05</v>
      </c>
      <c r="E124" s="17" t="s">
        <v>1</v>
      </c>
      <c r="F124" s="16">
        <v>4440.8</v>
      </c>
      <c r="G124" s="18" t="s">
        <v>29</v>
      </c>
      <c r="H124" s="19" t="s">
        <v>38</v>
      </c>
      <c r="I124" s="20">
        <f t="shared" ref="I124:I126" si="47">IF(D124&lt;&gt;"",F124-D124,"")</f>
        <v>19.75</v>
      </c>
      <c r="J124" s="21"/>
      <c r="K124" s="21"/>
      <c r="L124" s="21">
        <f>427.3158/9</f>
        <v>47.479533333333336</v>
      </c>
      <c r="M124" s="20"/>
      <c r="N124" s="21">
        <f>IF(L124&gt;0,L124,K124)</f>
        <v>47.479533333333336</v>
      </c>
      <c r="O124" s="20"/>
      <c r="P124" s="20"/>
      <c r="Q124" s="20"/>
      <c r="R124" s="20"/>
      <c r="S124" s="20"/>
      <c r="T124" s="134">
        <f>IF(G124="PAV",9,5)</f>
        <v>9</v>
      </c>
      <c r="U124" s="21">
        <f>IF(L124&gt;0,T124/36*L124,T124/36*K124)</f>
        <v>11.869883333333334</v>
      </c>
      <c r="V124" s="20"/>
      <c r="W124" s="21">
        <f>IF(L124&gt;0,$W$94/36*L124,$W$94/36*$K124)</f>
        <v>7.9132555555555557</v>
      </c>
      <c r="X124" s="20"/>
      <c r="Y124" s="21">
        <f>IF(L124&gt;0,$Y$94*L124,$Y$94*$K124)</f>
        <v>2.8487719999999999</v>
      </c>
      <c r="Z124" s="20"/>
      <c r="AA124" s="21">
        <f>IF(L124&gt;0,$AA$94/36*L124,$AA$94/36*$K124)</f>
        <v>1.6485949074074076</v>
      </c>
      <c r="AB124" s="134">
        <v>4.25</v>
      </c>
      <c r="AC124" s="21">
        <f>IF(L124&gt;0,AB124/36*L124,AB124/36*$K124)</f>
        <v>5.6052226851851854</v>
      </c>
      <c r="AD124" s="21"/>
      <c r="AE124" s="21"/>
      <c r="AG124" s="1">
        <v>16</v>
      </c>
    </row>
    <row r="125" spans="2:33" ht="12.75" customHeight="1" x14ac:dyDescent="0.2">
      <c r="B125" s="39"/>
      <c r="D125" s="16">
        <v>4421.05</v>
      </c>
      <c r="E125" s="17" t="s">
        <v>1</v>
      </c>
      <c r="F125" s="16">
        <v>4440.8</v>
      </c>
      <c r="G125" s="24" t="s">
        <v>36</v>
      </c>
      <c r="H125" s="19" t="s">
        <v>38</v>
      </c>
      <c r="I125" s="20">
        <f t="shared" si="47"/>
        <v>19.75</v>
      </c>
      <c r="J125" s="21">
        <f>10/12</f>
        <v>0.83333333333333337</v>
      </c>
      <c r="K125" s="21">
        <f t="shared" ref="K125:K126" si="48">(I125*J125)/9</f>
        <v>1.8287037037037039</v>
      </c>
      <c r="L125" s="21"/>
      <c r="M125" s="20"/>
      <c r="N125" s="21">
        <f t="shared" ref="N125:N126" si="49">IF(L125&gt;0,L125,K125)</f>
        <v>1.8287037037037039</v>
      </c>
      <c r="O125" s="20"/>
      <c r="P125" s="20"/>
      <c r="Q125" s="20"/>
      <c r="R125" s="20"/>
      <c r="S125" s="20"/>
      <c r="T125" s="134">
        <f>IF(G125="PAV",9,5)</f>
        <v>5</v>
      </c>
      <c r="U125" s="21">
        <f>IF(L125&gt;0,T125/36*L125,T125/36*K125)</f>
        <v>0.25398662551440332</v>
      </c>
      <c r="V125" s="20"/>
      <c r="W125" s="21">
        <f>IF(L125&gt;0,$W$94/36*L125,$W$94/36*$K125)</f>
        <v>0.30478395061728397</v>
      </c>
      <c r="X125" s="20"/>
      <c r="Y125" s="20"/>
      <c r="Z125" s="20"/>
      <c r="AA125" s="20"/>
      <c r="AB125" s="139"/>
      <c r="AC125" s="20"/>
      <c r="AD125" s="21"/>
      <c r="AE125" s="21"/>
      <c r="AG125" s="1">
        <v>17</v>
      </c>
    </row>
    <row r="126" spans="2:33" ht="12.75" customHeight="1" x14ac:dyDescent="0.2">
      <c r="B126" s="39"/>
      <c r="D126" s="16">
        <v>4421.05</v>
      </c>
      <c r="E126" s="17" t="s">
        <v>1</v>
      </c>
      <c r="F126" s="16">
        <v>4440.8</v>
      </c>
      <c r="G126" s="24" t="s">
        <v>36</v>
      </c>
      <c r="H126" s="19" t="s">
        <v>38</v>
      </c>
      <c r="I126" s="20">
        <f t="shared" si="47"/>
        <v>19.75</v>
      </c>
      <c r="J126" s="38">
        <v>0.75</v>
      </c>
      <c r="K126" s="21">
        <f t="shared" si="48"/>
        <v>1.6458333333333333</v>
      </c>
      <c r="L126" s="21"/>
      <c r="M126" s="20"/>
      <c r="N126" s="21">
        <f t="shared" si="49"/>
        <v>1.6458333333333333</v>
      </c>
      <c r="O126" s="20"/>
      <c r="P126" s="20"/>
      <c r="Q126" s="20"/>
      <c r="R126" s="20"/>
      <c r="S126" s="20"/>
      <c r="T126" s="139"/>
      <c r="U126" s="21"/>
      <c r="V126" s="20"/>
      <c r="W126" s="21">
        <f>IF(L126&gt;0,$W$94/36*L126,$W$94/36*$K126)</f>
        <v>0.27430555555555552</v>
      </c>
      <c r="X126" s="20"/>
      <c r="Y126" s="20"/>
      <c r="Z126" s="20"/>
      <c r="AA126" s="20"/>
      <c r="AB126" s="139"/>
      <c r="AC126" s="20"/>
      <c r="AD126" s="21"/>
      <c r="AE126" s="21"/>
      <c r="AG126" s="1">
        <v>18</v>
      </c>
    </row>
    <row r="127" spans="2:33" ht="12.75" customHeight="1" x14ac:dyDescent="0.2">
      <c r="B127" s="39"/>
      <c r="D127" s="16"/>
      <c r="E127" s="17"/>
      <c r="F127" s="16"/>
      <c r="G127" s="24"/>
      <c r="H127" s="19"/>
      <c r="I127" s="20"/>
      <c r="J127" s="38"/>
      <c r="K127" s="21"/>
      <c r="L127" s="21"/>
      <c r="M127" s="20"/>
      <c r="N127" s="20"/>
      <c r="O127" s="20"/>
      <c r="P127" s="20"/>
      <c r="Q127" s="20"/>
      <c r="R127" s="20"/>
      <c r="S127" s="20"/>
      <c r="T127" s="139"/>
      <c r="U127" s="21"/>
      <c r="V127" s="20"/>
      <c r="W127" s="20"/>
      <c r="X127" s="20"/>
      <c r="Y127" s="20"/>
      <c r="Z127" s="20"/>
      <c r="AA127" s="20"/>
      <c r="AB127" s="139"/>
      <c r="AC127" s="20"/>
      <c r="AD127" s="21"/>
      <c r="AE127" s="21"/>
      <c r="AG127" s="1">
        <v>19</v>
      </c>
    </row>
    <row r="128" spans="2:33" ht="12.75" customHeight="1" x14ac:dyDescent="0.2">
      <c r="B128" s="39"/>
      <c r="D128" s="16">
        <v>4440.8</v>
      </c>
      <c r="E128" s="17" t="s">
        <v>1</v>
      </c>
      <c r="F128" s="22">
        <v>4446.05</v>
      </c>
      <c r="G128" s="18" t="s">
        <v>29</v>
      </c>
      <c r="H128" s="19" t="s">
        <v>35</v>
      </c>
      <c r="I128" s="20">
        <f t="shared" ref="I128:I130" si="50">IF(D128&lt;&gt;"",F128-D128,"")</f>
        <v>5.25</v>
      </c>
      <c r="J128" s="21"/>
      <c r="K128" s="21"/>
      <c r="L128" s="21">
        <f>78.6332/9</f>
        <v>8.7370222222222225</v>
      </c>
      <c r="M128" s="20"/>
      <c r="N128" s="21">
        <f>IF(L128&gt;0,L128,K128)</f>
        <v>8.7370222222222225</v>
      </c>
      <c r="O128" s="20"/>
      <c r="P128" s="20"/>
      <c r="Q128" s="20"/>
      <c r="R128" s="20"/>
      <c r="S128" s="20"/>
      <c r="T128" s="134">
        <f>IF(G128="PAV",9,5)</f>
        <v>9</v>
      </c>
      <c r="U128" s="21">
        <f>IF(L128&gt;0,T128/36*L128,T128/36*K128)</f>
        <v>2.1842555555555556</v>
      </c>
      <c r="V128" s="20"/>
      <c r="W128" s="21">
        <f>IF(L128&gt;0,$W$94/36*L128,$W$94/36*$K128)</f>
        <v>1.4561703703703703</v>
      </c>
      <c r="X128" s="20"/>
      <c r="Y128" s="21">
        <f>IF(L128&gt;0,$Y$94*L128,$Y$94*$K128)</f>
        <v>0.52422133333333332</v>
      </c>
      <c r="Z128" s="20"/>
      <c r="AA128" s="21">
        <f>IF(L128&gt;0,$AA$94/36*L128,$AA$94/36*$K128)</f>
        <v>0.30336882716049385</v>
      </c>
      <c r="AB128" s="134">
        <v>6.75</v>
      </c>
      <c r="AC128" s="21">
        <f>IF(L128&gt;0,AB128/36*L128,AB128/36*$K128)</f>
        <v>1.6381916666666667</v>
      </c>
      <c r="AD128" s="21"/>
      <c r="AE128" s="21"/>
      <c r="AG128" s="1">
        <v>20</v>
      </c>
    </row>
    <row r="129" spans="2:33" ht="12.75" customHeight="1" x14ac:dyDescent="0.2">
      <c r="B129" s="39"/>
      <c r="D129" s="16">
        <v>4440.8</v>
      </c>
      <c r="E129" s="17" t="s">
        <v>1</v>
      </c>
      <c r="F129" s="22">
        <v>4446.05</v>
      </c>
      <c r="G129" s="24" t="s">
        <v>36</v>
      </c>
      <c r="H129" s="19" t="s">
        <v>35</v>
      </c>
      <c r="I129" s="20">
        <f t="shared" si="50"/>
        <v>5.25</v>
      </c>
      <c r="J129" s="21">
        <f>10/12</f>
        <v>0.83333333333333337</v>
      </c>
      <c r="K129" s="21">
        <f t="shared" ref="K129:K130" si="51">(I129*J129)/9</f>
        <v>0.4861111111111111</v>
      </c>
      <c r="L129" s="21"/>
      <c r="M129" s="20"/>
      <c r="N129" s="21">
        <f t="shared" ref="N129:N130" si="52">IF(L129&gt;0,L129,K129)</f>
        <v>0.4861111111111111</v>
      </c>
      <c r="O129" s="20"/>
      <c r="P129" s="20"/>
      <c r="Q129" s="20"/>
      <c r="R129" s="20"/>
      <c r="S129" s="20"/>
      <c r="T129" s="134">
        <f>IF(G129="PAV",9,5)</f>
        <v>5</v>
      </c>
      <c r="U129" s="21">
        <f>IF(L129&gt;0,T129/36*L129,T129/36*K129)</f>
        <v>6.751543209876544E-2</v>
      </c>
      <c r="V129" s="20"/>
      <c r="W129" s="21">
        <f>IF(L129&gt;0,$W$94/36*L129,$W$94/36*$K129)</f>
        <v>8.1018518518518517E-2</v>
      </c>
      <c r="X129" s="20"/>
      <c r="Y129" s="20"/>
      <c r="Z129" s="20"/>
      <c r="AA129" s="20"/>
      <c r="AB129" s="139"/>
      <c r="AC129" s="20"/>
      <c r="AD129" s="21"/>
      <c r="AE129" s="21"/>
      <c r="AG129" s="1">
        <v>21</v>
      </c>
    </row>
    <row r="130" spans="2:33" ht="12.75" customHeight="1" x14ac:dyDescent="0.2">
      <c r="B130" s="39"/>
      <c r="D130" s="16">
        <v>4440.8</v>
      </c>
      <c r="E130" s="17" t="s">
        <v>1</v>
      </c>
      <c r="F130" s="22">
        <v>4446.05</v>
      </c>
      <c r="G130" s="24" t="s">
        <v>36</v>
      </c>
      <c r="H130" s="19" t="s">
        <v>35</v>
      </c>
      <c r="I130" s="20">
        <f t="shared" si="50"/>
        <v>5.25</v>
      </c>
      <c r="J130" s="38">
        <v>0.75</v>
      </c>
      <c r="K130" s="21">
        <f t="shared" si="51"/>
        <v>0.4375</v>
      </c>
      <c r="L130" s="21"/>
      <c r="M130" s="20"/>
      <c r="N130" s="21">
        <f t="shared" si="52"/>
        <v>0.4375</v>
      </c>
      <c r="O130" s="20"/>
      <c r="P130" s="20"/>
      <c r="Q130" s="20"/>
      <c r="R130" s="20"/>
      <c r="S130" s="20"/>
      <c r="T130" s="139"/>
      <c r="U130" s="21"/>
      <c r="V130" s="20"/>
      <c r="W130" s="21">
        <f>IF(L130&gt;0,$W$94/36*L130,$W$94/36*$K130)</f>
        <v>7.2916666666666657E-2</v>
      </c>
      <c r="X130" s="20"/>
      <c r="Y130" s="20"/>
      <c r="Z130" s="20"/>
      <c r="AA130" s="20"/>
      <c r="AB130" s="139"/>
      <c r="AC130" s="20"/>
      <c r="AD130" s="21"/>
      <c r="AE130" s="21"/>
      <c r="AG130" s="1">
        <v>22</v>
      </c>
    </row>
    <row r="131" spans="2:33" ht="12.75" customHeight="1" x14ac:dyDescent="0.2">
      <c r="B131" s="39"/>
      <c r="D131" s="16"/>
      <c r="E131" s="17"/>
      <c r="F131" s="16"/>
      <c r="G131" s="24"/>
      <c r="H131" s="19"/>
      <c r="I131" s="20"/>
      <c r="J131" s="38"/>
      <c r="K131" s="21"/>
      <c r="L131" s="21"/>
      <c r="M131" s="20"/>
      <c r="N131" s="20"/>
      <c r="O131" s="20"/>
      <c r="P131" s="20"/>
      <c r="Q131" s="20"/>
      <c r="R131" s="20"/>
      <c r="S131" s="20"/>
      <c r="T131" s="139"/>
      <c r="U131" s="21"/>
      <c r="V131" s="20"/>
      <c r="W131" s="20"/>
      <c r="X131" s="20"/>
      <c r="Y131" s="20"/>
      <c r="Z131" s="20"/>
      <c r="AA131" s="20"/>
      <c r="AB131" s="139"/>
      <c r="AC131" s="20"/>
      <c r="AD131" s="21"/>
      <c r="AE131" s="21"/>
      <c r="AG131" s="1">
        <v>23</v>
      </c>
    </row>
    <row r="132" spans="2:33" ht="12.75" customHeight="1" x14ac:dyDescent="0.2">
      <c r="B132" s="39"/>
      <c r="D132" s="16">
        <v>4440.8</v>
      </c>
      <c r="E132" s="17" t="s">
        <v>1</v>
      </c>
      <c r="F132" s="22">
        <v>4442.13</v>
      </c>
      <c r="G132" s="18" t="s">
        <v>29</v>
      </c>
      <c r="H132" s="19" t="s">
        <v>38</v>
      </c>
      <c r="I132" s="20">
        <f t="shared" ref="I132:I135" si="53">IF(D132&lt;&gt;"",F132-D132,"")</f>
        <v>1.3299999999999272</v>
      </c>
      <c r="J132" s="21"/>
      <c r="K132" s="21"/>
      <c r="L132" s="21">
        <f>23.9491/9</f>
        <v>2.6610111111111112</v>
      </c>
      <c r="M132" s="20"/>
      <c r="N132" s="21">
        <f>IF(L132&gt;0,L132,K132)</f>
        <v>2.6610111111111112</v>
      </c>
      <c r="O132" s="20"/>
      <c r="P132" s="20"/>
      <c r="Q132" s="20"/>
      <c r="R132" s="20"/>
      <c r="S132" s="20"/>
      <c r="T132" s="134">
        <f>IF(G132="PAV",9,5)</f>
        <v>9</v>
      </c>
      <c r="U132" s="21">
        <f>IF(L132&gt;0,T132/36*L132,T132/36*K132)</f>
        <v>0.6652527777777778</v>
      </c>
      <c r="V132" s="20"/>
      <c r="W132" s="21">
        <f>IF(L132&gt;0,$W$94/36*L132,$W$94/36*$K132)</f>
        <v>0.44350185185185187</v>
      </c>
      <c r="X132" s="20"/>
      <c r="Y132" s="21">
        <f>IF(L132&gt;0,$Y$94*L132,$Y$94*$K132)</f>
        <v>0.15966066666666667</v>
      </c>
      <c r="Z132" s="20"/>
      <c r="AA132" s="21">
        <f>IF(L132&gt;0,$AA$94/36*L132,$AA$94/36*$K132)</f>
        <v>9.2396219135802482E-2</v>
      </c>
      <c r="AB132" s="134">
        <v>6.75</v>
      </c>
      <c r="AC132" s="21">
        <f>IF(L132&gt;0,AB132/36*L132,AB132/36*$K132)</f>
        <v>0.49893958333333333</v>
      </c>
      <c r="AD132" s="21"/>
      <c r="AE132" s="21"/>
      <c r="AG132" s="1">
        <v>24</v>
      </c>
    </row>
    <row r="133" spans="2:33" ht="12.75" customHeight="1" x14ac:dyDescent="0.2">
      <c r="B133" s="39"/>
      <c r="D133" s="22">
        <v>4442.13</v>
      </c>
      <c r="E133" s="17" t="s">
        <v>1</v>
      </c>
      <c r="F133" s="22">
        <v>4446.05</v>
      </c>
      <c r="G133" s="18" t="s">
        <v>29</v>
      </c>
      <c r="H133" s="19" t="s">
        <v>38</v>
      </c>
      <c r="I133" s="20">
        <f t="shared" si="53"/>
        <v>3.9200000000000728</v>
      </c>
      <c r="J133" s="21"/>
      <c r="K133" s="21"/>
      <c r="L133" s="21">
        <f>61.9445/9</f>
        <v>6.8827222222222222</v>
      </c>
      <c r="M133" s="20"/>
      <c r="N133" s="21">
        <f t="shared" ref="N133" si="54">IF(L133&gt;0,L133,K133)</f>
        <v>6.8827222222222222</v>
      </c>
      <c r="O133" s="20"/>
      <c r="P133" s="20"/>
      <c r="Q133" s="20"/>
      <c r="R133" s="20"/>
      <c r="S133" s="20"/>
      <c r="T133" s="134">
        <f>IF(G133="PAV",9,5)</f>
        <v>9</v>
      </c>
      <c r="U133" s="21">
        <f>IF(L133&gt;0,T133/36*L133,T133/36*K133)</f>
        <v>1.7206805555555555</v>
      </c>
      <c r="V133" s="20"/>
      <c r="W133" s="21">
        <f>IF(L133&gt;0,$W$94/36*L133,$W$94/36*$K133)</f>
        <v>1.1471203703703703</v>
      </c>
      <c r="X133" s="20"/>
      <c r="Y133" s="21">
        <f>IF(L133&gt;0,$Y$94*L133,$Y$94*$K133)</f>
        <v>0.41296333333333329</v>
      </c>
      <c r="Z133" s="20"/>
      <c r="AA133" s="21">
        <f>IF(L133&gt;0,$AA$94/36*L133,$AA$94/36*$K133)</f>
        <v>0.23898341049382718</v>
      </c>
      <c r="AB133" s="134">
        <v>6.75</v>
      </c>
      <c r="AC133" s="21">
        <f>IF(L133&gt;0,AB133/36*L133,AB133/36*$K133)</f>
        <v>1.2905104166666668</v>
      </c>
      <c r="AD133" s="21"/>
      <c r="AE133" s="21"/>
      <c r="AG133" s="1">
        <v>25</v>
      </c>
    </row>
    <row r="134" spans="2:33" ht="12.75" customHeight="1" x14ac:dyDescent="0.2">
      <c r="B134" s="39"/>
      <c r="D134" s="16">
        <v>4440.8</v>
      </c>
      <c r="E134" s="17" t="s">
        <v>1</v>
      </c>
      <c r="F134" s="22">
        <v>4446.05</v>
      </c>
      <c r="G134" s="24" t="s">
        <v>36</v>
      </c>
      <c r="H134" s="19" t="s">
        <v>38</v>
      </c>
      <c r="I134" s="20">
        <f t="shared" si="53"/>
        <v>5.25</v>
      </c>
      <c r="J134" s="21">
        <f>10/12</f>
        <v>0.83333333333333337</v>
      </c>
      <c r="K134" s="21">
        <f t="shared" ref="K134:K135" si="55">(I134*J134)/9</f>
        <v>0.4861111111111111</v>
      </c>
      <c r="L134" s="21"/>
      <c r="M134" s="20"/>
      <c r="N134" s="20"/>
      <c r="O134" s="20"/>
      <c r="P134" s="20"/>
      <c r="Q134" s="20"/>
      <c r="R134" s="20"/>
      <c r="S134" s="20"/>
      <c r="T134" s="134">
        <f>IF(G134="PAV",9,5)</f>
        <v>5</v>
      </c>
      <c r="U134" s="21">
        <f>IF(L134&gt;0,T134/36*L134,T134/36*K134)</f>
        <v>6.751543209876544E-2</v>
      </c>
      <c r="V134" s="20"/>
      <c r="W134" s="21">
        <f>IF(L134&gt;0,$W$94/36*L134,$W$94/36*$K134)</f>
        <v>8.1018518518518517E-2</v>
      </c>
      <c r="X134" s="20"/>
      <c r="Y134" s="20"/>
      <c r="Z134" s="20"/>
      <c r="AA134" s="20"/>
      <c r="AB134" s="139"/>
      <c r="AC134" s="20"/>
      <c r="AD134" s="21"/>
      <c r="AE134" s="21"/>
      <c r="AG134" s="1">
        <v>26</v>
      </c>
    </row>
    <row r="135" spans="2:33" ht="12.75" customHeight="1" x14ac:dyDescent="0.2">
      <c r="B135" s="39"/>
      <c r="D135" s="16">
        <v>4440.8</v>
      </c>
      <c r="E135" s="17" t="s">
        <v>1</v>
      </c>
      <c r="F135" s="22">
        <v>4446.05</v>
      </c>
      <c r="G135" s="24" t="s">
        <v>36</v>
      </c>
      <c r="H135" s="19" t="s">
        <v>38</v>
      </c>
      <c r="I135" s="20">
        <f t="shared" si="53"/>
        <v>5.25</v>
      </c>
      <c r="J135" s="38">
        <v>0.75</v>
      </c>
      <c r="K135" s="21">
        <f t="shared" si="55"/>
        <v>0.4375</v>
      </c>
      <c r="L135" s="21"/>
      <c r="M135" s="20"/>
      <c r="N135" s="20"/>
      <c r="O135" s="20"/>
      <c r="P135" s="20"/>
      <c r="Q135" s="20"/>
      <c r="R135" s="20"/>
      <c r="S135" s="20"/>
      <c r="T135" s="139"/>
      <c r="U135" s="21"/>
      <c r="V135" s="20"/>
      <c r="W135" s="21">
        <f>IF(L135&gt;0,$W$94/36*L135,$W$94/36*$K135)</f>
        <v>7.2916666666666657E-2</v>
      </c>
      <c r="X135" s="20"/>
      <c r="Y135" s="20"/>
      <c r="Z135" s="20"/>
      <c r="AA135" s="20"/>
      <c r="AB135" s="139"/>
      <c r="AC135" s="20"/>
      <c r="AD135" s="21"/>
      <c r="AE135" s="21"/>
      <c r="AG135" s="1">
        <v>27</v>
      </c>
    </row>
    <row r="136" spans="2:33" ht="12.75" customHeight="1" x14ac:dyDescent="0.2">
      <c r="B136" s="39"/>
      <c r="D136" s="103" t="s">
        <v>39</v>
      </c>
      <c r="E136" s="104"/>
      <c r="F136" s="105"/>
      <c r="G136" s="24"/>
      <c r="H136" s="25"/>
      <c r="I136" s="21"/>
      <c r="J136" s="21"/>
      <c r="K136" s="21"/>
      <c r="L136" s="21"/>
      <c r="M136" s="20"/>
      <c r="N136" s="20"/>
      <c r="O136" s="20"/>
      <c r="P136" s="20"/>
      <c r="Q136" s="20"/>
      <c r="R136" s="20"/>
      <c r="S136" s="20"/>
      <c r="T136" s="139"/>
      <c r="U136" s="21"/>
      <c r="V136" s="20"/>
      <c r="W136" s="20"/>
      <c r="X136" s="20"/>
      <c r="Y136" s="20"/>
      <c r="Z136" s="20"/>
      <c r="AA136" s="20"/>
      <c r="AB136" s="139"/>
      <c r="AC136" s="20"/>
      <c r="AD136" s="21"/>
      <c r="AE136" s="21"/>
      <c r="AG136" s="1">
        <v>28</v>
      </c>
    </row>
    <row r="137" spans="2:33" ht="12.75" customHeight="1" x14ac:dyDescent="0.2">
      <c r="B137" s="39"/>
      <c r="D137" s="22">
        <v>4692.05</v>
      </c>
      <c r="E137" s="17" t="s">
        <v>1</v>
      </c>
      <c r="F137" s="22">
        <v>4697.3</v>
      </c>
      <c r="G137" s="18" t="s">
        <v>29</v>
      </c>
      <c r="H137" s="19" t="s">
        <v>35</v>
      </c>
      <c r="I137" s="20">
        <f t="shared" ref="I137:I139" si="56">IF(D137&lt;&gt;"",F137-D137,"")</f>
        <v>5.25</v>
      </c>
      <c r="J137" s="21"/>
      <c r="K137" s="21"/>
      <c r="L137" s="21">
        <f>68.068/9</f>
        <v>7.5631111111111107</v>
      </c>
      <c r="M137" s="20"/>
      <c r="N137" s="21">
        <f>IF(L137&gt;0,L137,K137)</f>
        <v>7.5631111111111107</v>
      </c>
      <c r="O137" s="20"/>
      <c r="P137" s="20"/>
      <c r="Q137" s="20"/>
      <c r="R137" s="20"/>
      <c r="S137" s="20"/>
      <c r="T137" s="134">
        <f>IF(G137="PAV",9,5)</f>
        <v>9</v>
      </c>
      <c r="U137" s="21">
        <f>IF(L137&gt;0,T137/36*L137,T137/36*K137)</f>
        <v>1.8907777777777777</v>
      </c>
      <c r="V137" s="20"/>
      <c r="W137" s="21">
        <f>IF(L137&gt;0,$W$94/36*L137,$W$94/36*$K137)</f>
        <v>1.2605185185185184</v>
      </c>
      <c r="X137" s="20"/>
      <c r="Y137" s="21">
        <f>IF(L137&gt;0,$Y$94*L137,$Y$94*$K137)</f>
        <v>0.45378666666666662</v>
      </c>
      <c r="Z137" s="20"/>
      <c r="AA137" s="21">
        <f>IF(L137&gt;0,$AA$94/36*L137,$AA$94/36*$K137)</f>
        <v>0.26260802469135802</v>
      </c>
      <c r="AB137" s="134">
        <v>6.75</v>
      </c>
      <c r="AC137" s="21">
        <f>IF(L137&gt;0,AB137/36*L137,AB137/36*$K137)</f>
        <v>1.4180833333333331</v>
      </c>
      <c r="AD137" s="21"/>
      <c r="AE137" s="21"/>
      <c r="AG137" s="1">
        <v>29</v>
      </c>
    </row>
    <row r="138" spans="2:33" ht="12.75" customHeight="1" x14ac:dyDescent="0.2">
      <c r="B138" s="39"/>
      <c r="D138" s="22">
        <v>4692.05</v>
      </c>
      <c r="E138" s="17" t="s">
        <v>1</v>
      </c>
      <c r="F138" s="22">
        <v>4697.3</v>
      </c>
      <c r="G138" s="24" t="s">
        <v>36</v>
      </c>
      <c r="H138" s="19" t="s">
        <v>35</v>
      </c>
      <c r="I138" s="20">
        <f t="shared" si="56"/>
        <v>5.25</v>
      </c>
      <c r="J138" s="21">
        <f>10/12</f>
        <v>0.83333333333333337</v>
      </c>
      <c r="K138" s="21">
        <f t="shared" ref="K138:K139" si="57">(I138*J138)/9</f>
        <v>0.4861111111111111</v>
      </c>
      <c r="L138" s="21"/>
      <c r="M138" s="20"/>
      <c r="N138" s="21">
        <f t="shared" ref="N138:N139" si="58">IF(L138&gt;0,L138,K138)</f>
        <v>0.4861111111111111</v>
      </c>
      <c r="O138" s="20"/>
      <c r="P138" s="20"/>
      <c r="Q138" s="20"/>
      <c r="R138" s="20"/>
      <c r="S138" s="20"/>
      <c r="T138" s="134">
        <f>IF(G138="PAV",9,5)</f>
        <v>5</v>
      </c>
      <c r="U138" s="21">
        <f>IF(L138&gt;0,T138/36*L138,T138/36*K138)</f>
        <v>6.751543209876544E-2</v>
      </c>
      <c r="V138" s="20"/>
      <c r="W138" s="21">
        <f>IF(L138&gt;0,$W$94/36*L138,$W$94/36*$K138)</f>
        <v>8.1018518518518517E-2</v>
      </c>
      <c r="X138" s="20"/>
      <c r="Y138" s="20"/>
      <c r="Z138" s="20"/>
      <c r="AA138" s="20"/>
      <c r="AB138" s="139"/>
      <c r="AC138" s="20"/>
      <c r="AD138" s="21"/>
      <c r="AE138" s="21"/>
      <c r="AG138" s="1">
        <v>30</v>
      </c>
    </row>
    <row r="139" spans="2:33" ht="12.75" customHeight="1" x14ac:dyDescent="0.2">
      <c r="B139" s="39"/>
      <c r="D139" s="22">
        <v>4692.05</v>
      </c>
      <c r="E139" s="17" t="s">
        <v>1</v>
      </c>
      <c r="F139" s="22">
        <v>4697.3</v>
      </c>
      <c r="G139" s="24" t="s">
        <v>36</v>
      </c>
      <c r="H139" s="19" t="s">
        <v>35</v>
      </c>
      <c r="I139" s="20">
        <f t="shared" si="56"/>
        <v>5.25</v>
      </c>
      <c r="J139" s="38">
        <v>0.75</v>
      </c>
      <c r="K139" s="21">
        <f t="shared" si="57"/>
        <v>0.4375</v>
      </c>
      <c r="L139" s="21"/>
      <c r="M139" s="20"/>
      <c r="N139" s="21">
        <f t="shared" si="58"/>
        <v>0.4375</v>
      </c>
      <c r="O139" s="20"/>
      <c r="P139" s="20"/>
      <c r="Q139" s="20"/>
      <c r="R139" s="20"/>
      <c r="S139" s="20"/>
      <c r="T139" s="139"/>
      <c r="U139" s="20"/>
      <c r="V139" s="20"/>
      <c r="W139" s="21">
        <f>IF(L139&gt;0,$W$94/36*L139,$W$94/36*$K139)</f>
        <v>7.2916666666666657E-2</v>
      </c>
      <c r="X139" s="20"/>
      <c r="Y139" s="20"/>
      <c r="Z139" s="20"/>
      <c r="AA139" s="20"/>
      <c r="AB139" s="139"/>
      <c r="AC139" s="20"/>
      <c r="AD139" s="21"/>
      <c r="AE139" s="21"/>
      <c r="AG139" s="1">
        <v>31</v>
      </c>
    </row>
    <row r="140" spans="2:33" ht="12.75" customHeight="1" x14ac:dyDescent="0.2">
      <c r="B140" s="50"/>
      <c r="D140" s="41"/>
      <c r="E140" s="41"/>
      <c r="F140" s="41"/>
      <c r="G140" s="55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140"/>
      <c r="U140" s="56"/>
      <c r="V140" s="56"/>
      <c r="W140" s="56"/>
      <c r="X140" s="56"/>
      <c r="Y140" s="56"/>
      <c r="Z140" s="56"/>
      <c r="AA140" s="56"/>
      <c r="AB140" s="140"/>
      <c r="AC140" s="56"/>
      <c r="AD140" s="56"/>
      <c r="AE140" s="56"/>
      <c r="AG140" s="1">
        <v>32</v>
      </c>
    </row>
    <row r="141" spans="2:33" ht="12.75" customHeight="1" x14ac:dyDescent="0.2">
      <c r="B141" s="39"/>
      <c r="D141" s="22">
        <v>4692.05</v>
      </c>
      <c r="E141" s="23" t="s">
        <v>1</v>
      </c>
      <c r="F141" s="22">
        <v>4697.3</v>
      </c>
      <c r="G141" s="24" t="s">
        <v>29</v>
      </c>
      <c r="H141" s="25" t="s">
        <v>38</v>
      </c>
      <c r="I141" s="21">
        <f t="shared" ref="I141:I143" si="59">IF(D141&lt;&gt;"",F141-D141,"")</f>
        <v>5.25</v>
      </c>
      <c r="J141" s="21"/>
      <c r="K141" s="21"/>
      <c r="L141" s="21">
        <f>104.4665/9</f>
        <v>11.607388888888888</v>
      </c>
      <c r="M141" s="21"/>
      <c r="N141" s="21">
        <f>IF(L141&gt;0,L141,K141)</f>
        <v>11.607388888888888</v>
      </c>
      <c r="O141" s="21"/>
      <c r="P141" s="21"/>
      <c r="Q141" s="21"/>
      <c r="R141" s="21"/>
      <c r="S141" s="21"/>
      <c r="T141" s="134">
        <f>IF(G141="PAV",9,5)</f>
        <v>9</v>
      </c>
      <c r="U141" s="21">
        <f>IF(L141&gt;0,T141/36*L141,T141/36*K141)</f>
        <v>2.901847222222222</v>
      </c>
      <c r="V141" s="21"/>
      <c r="W141" s="21">
        <f>IF(L141&gt;0,$W$94/36*L141,$W$94/36*$K141)</f>
        <v>1.9345648148148147</v>
      </c>
      <c r="X141" s="21"/>
      <c r="Y141" s="21">
        <f>IF(L141&gt;0,$Y$94*L141,$Y$94*$K141)</f>
        <v>0.6964433333333333</v>
      </c>
      <c r="Z141" s="21"/>
      <c r="AA141" s="21">
        <f>IF(L141&gt;0,$AA$94/36*L141,$AA$94/36*$K141)</f>
        <v>0.40303433641975306</v>
      </c>
      <c r="AB141" s="134">
        <v>6.75</v>
      </c>
      <c r="AC141" s="21">
        <f>IF(L141&gt;0,AB141/36*L141,AB141/36*$K141)</f>
        <v>2.1763854166666663</v>
      </c>
      <c r="AD141" s="21"/>
      <c r="AE141" s="21"/>
      <c r="AG141" s="1">
        <v>33</v>
      </c>
    </row>
    <row r="142" spans="2:33" ht="12.75" customHeight="1" x14ac:dyDescent="0.2">
      <c r="B142" s="39"/>
      <c r="D142" s="22">
        <v>4692.05</v>
      </c>
      <c r="E142" s="17" t="s">
        <v>1</v>
      </c>
      <c r="F142" s="22">
        <v>4697.3</v>
      </c>
      <c r="G142" s="24" t="s">
        <v>36</v>
      </c>
      <c r="H142" s="19" t="s">
        <v>38</v>
      </c>
      <c r="I142" s="20">
        <f t="shared" si="59"/>
        <v>5.25</v>
      </c>
      <c r="J142" s="21">
        <f>10/12</f>
        <v>0.83333333333333337</v>
      </c>
      <c r="K142" s="21">
        <f t="shared" ref="K142:K143" si="60">(I142*J142)/9</f>
        <v>0.4861111111111111</v>
      </c>
      <c r="L142" s="21"/>
      <c r="M142" s="20"/>
      <c r="N142" s="21">
        <f t="shared" ref="N142:N143" si="61">IF(L142&gt;0,L142,K142)</f>
        <v>0.4861111111111111</v>
      </c>
      <c r="O142" s="20"/>
      <c r="P142" s="20"/>
      <c r="Q142" s="20"/>
      <c r="R142" s="20"/>
      <c r="S142" s="20"/>
      <c r="T142" s="134">
        <f>IF(G142="PAV",9,5)</f>
        <v>5</v>
      </c>
      <c r="U142" s="21">
        <f>IF(L142&gt;0,T142/36*L142,T142/36*K142)</f>
        <v>6.751543209876544E-2</v>
      </c>
      <c r="V142" s="20"/>
      <c r="W142" s="21">
        <f>IF(L142&gt;0,$W$94/36*L142,$W$94/36*$K142)</f>
        <v>8.1018518518518517E-2</v>
      </c>
      <c r="X142" s="20"/>
      <c r="Y142" s="20"/>
      <c r="Z142" s="20"/>
      <c r="AA142" s="20"/>
      <c r="AB142" s="139"/>
      <c r="AC142" s="20"/>
      <c r="AD142" s="21"/>
      <c r="AE142" s="21"/>
      <c r="AG142" s="1">
        <v>34</v>
      </c>
    </row>
    <row r="143" spans="2:33" ht="12.75" customHeight="1" x14ac:dyDescent="0.2">
      <c r="B143" s="39"/>
      <c r="D143" s="22">
        <v>4692.05</v>
      </c>
      <c r="E143" s="17" t="s">
        <v>1</v>
      </c>
      <c r="F143" s="22">
        <v>4697.3</v>
      </c>
      <c r="G143" s="24" t="s">
        <v>36</v>
      </c>
      <c r="H143" s="19" t="s">
        <v>38</v>
      </c>
      <c r="I143" s="20">
        <f t="shared" si="59"/>
        <v>5.25</v>
      </c>
      <c r="J143" s="38">
        <v>0.75</v>
      </c>
      <c r="K143" s="21">
        <f t="shared" si="60"/>
        <v>0.4375</v>
      </c>
      <c r="L143" s="21"/>
      <c r="M143" s="20"/>
      <c r="N143" s="21">
        <f t="shared" si="61"/>
        <v>0.4375</v>
      </c>
      <c r="O143" s="20"/>
      <c r="P143" s="20"/>
      <c r="Q143" s="20"/>
      <c r="R143" s="20"/>
      <c r="S143" s="20"/>
      <c r="T143" s="139"/>
      <c r="U143" s="21"/>
      <c r="V143" s="20"/>
      <c r="W143" s="21">
        <f>IF(L143&gt;0,$W$94/36*L143,$W$94/36*$K143)</f>
        <v>7.2916666666666657E-2</v>
      </c>
      <c r="X143" s="20"/>
      <c r="Y143" s="20"/>
      <c r="Z143" s="20"/>
      <c r="AA143" s="20"/>
      <c r="AB143" s="139"/>
      <c r="AC143" s="20"/>
      <c r="AD143" s="21"/>
      <c r="AE143" s="21"/>
      <c r="AG143" s="1">
        <v>35</v>
      </c>
    </row>
    <row r="144" spans="2:33" ht="12.75" customHeight="1" x14ac:dyDescent="0.2">
      <c r="B144" s="39"/>
      <c r="D144" s="22"/>
      <c r="E144" s="17"/>
      <c r="F144" s="22"/>
      <c r="G144" s="24"/>
      <c r="H144" s="25"/>
      <c r="I144" s="21"/>
      <c r="J144" s="21"/>
      <c r="K144" s="21"/>
      <c r="L144" s="21"/>
      <c r="M144" s="20"/>
      <c r="N144" s="20"/>
      <c r="O144" s="20"/>
      <c r="P144" s="20"/>
      <c r="Q144" s="20"/>
      <c r="R144" s="20"/>
      <c r="S144" s="20"/>
      <c r="T144" s="139"/>
      <c r="U144" s="20"/>
      <c r="V144" s="20"/>
      <c r="W144" s="20"/>
      <c r="X144" s="20"/>
      <c r="Y144" s="20"/>
      <c r="Z144" s="20"/>
      <c r="AA144" s="20"/>
      <c r="AB144" s="139"/>
      <c r="AC144" s="20"/>
      <c r="AD144" s="21"/>
      <c r="AE144" s="21"/>
      <c r="AG144" s="1">
        <v>36</v>
      </c>
    </row>
    <row r="145" spans="2:33" ht="12.75" customHeight="1" x14ac:dyDescent="0.2">
      <c r="B145" s="39"/>
      <c r="D145" s="22">
        <v>4697.3</v>
      </c>
      <c r="E145" s="17" t="s">
        <v>1</v>
      </c>
      <c r="F145" s="22">
        <v>4706.5</v>
      </c>
      <c r="G145" s="18" t="s">
        <v>29</v>
      </c>
      <c r="H145" s="19" t="s">
        <v>35</v>
      </c>
      <c r="I145" s="20">
        <f t="shared" ref="I145:I148" si="62">IF(D145&lt;&gt;"",F145-D145,"")</f>
        <v>9.1999999999998181</v>
      </c>
      <c r="J145" s="21">
        <v>14</v>
      </c>
      <c r="K145" s="21">
        <f t="shared" ref="K145:K148" si="63">(I145*J145)/9</f>
        <v>14.311111111110828</v>
      </c>
      <c r="L145" s="21"/>
      <c r="M145" s="20"/>
      <c r="N145" s="21">
        <f>IF(L145&gt;0,L145,K145)</f>
        <v>14.311111111110828</v>
      </c>
      <c r="O145" s="20"/>
      <c r="P145" s="20"/>
      <c r="Q145" s="20"/>
      <c r="R145" s="20"/>
      <c r="S145" s="20"/>
      <c r="T145" s="134">
        <f>IF(G145="PAV",9,5)</f>
        <v>9</v>
      </c>
      <c r="U145" s="21">
        <f>IF(L145&gt;0,T145/36*L145,T145/36*K145)</f>
        <v>3.5777777777777069</v>
      </c>
      <c r="V145" s="20"/>
      <c r="W145" s="21">
        <f>IF(L145&gt;0,$W$94/36*L145,$W$94/36*$K145)</f>
        <v>2.3851851851851378</v>
      </c>
      <c r="X145" s="20"/>
      <c r="Y145" s="21">
        <f>IF(L145&gt;0,$Y$94*L145,$Y$94*$K145)</f>
        <v>0.85866666666664959</v>
      </c>
      <c r="Z145" s="20"/>
      <c r="AA145" s="21">
        <f>IF(L145&gt;0,$AA$94/36*L145,$AA$94/36*$K145)</f>
        <v>0.49691358024690374</v>
      </c>
      <c r="AB145" s="134">
        <v>5.59</v>
      </c>
      <c r="AC145" s="21">
        <f>IF(L145&gt;0,AB145/36*L145,AB145/36*$K145)</f>
        <v>2.2221975308641535</v>
      </c>
      <c r="AD145" s="20"/>
      <c r="AE145" s="21"/>
      <c r="AG145" s="1">
        <v>37</v>
      </c>
    </row>
    <row r="146" spans="2:33" ht="12.75" customHeight="1" x14ac:dyDescent="0.2">
      <c r="B146" s="39"/>
      <c r="D146" s="22">
        <v>4706.5</v>
      </c>
      <c r="E146" s="17" t="s">
        <v>1</v>
      </c>
      <c r="F146" s="22">
        <v>4717.05</v>
      </c>
      <c r="G146" s="18" t="s">
        <v>29</v>
      </c>
      <c r="H146" s="19" t="s">
        <v>35</v>
      </c>
      <c r="I146" s="20">
        <f t="shared" si="62"/>
        <v>10.550000000000182</v>
      </c>
      <c r="J146" s="21"/>
      <c r="K146" s="21"/>
      <c r="L146" s="21">
        <f>157.4099/9</f>
        <v>17.489988888888888</v>
      </c>
      <c r="M146" s="20"/>
      <c r="N146" s="21">
        <f t="shared" ref="N146:N147" si="64">IF(L146&gt;0,L146,K146)</f>
        <v>17.489988888888888</v>
      </c>
      <c r="O146" s="20"/>
      <c r="P146" s="20"/>
      <c r="Q146" s="20"/>
      <c r="R146" s="20"/>
      <c r="S146" s="20"/>
      <c r="T146" s="134">
        <f>IF(G146="PAV",9,5)</f>
        <v>9</v>
      </c>
      <c r="U146" s="21">
        <f>IF(L146&gt;0,T146/36*L146,T146/36*K146)</f>
        <v>4.372497222222222</v>
      </c>
      <c r="V146" s="20"/>
      <c r="W146" s="21">
        <f>IF(L146&gt;0,$W$94/36*L146,$W$94/36*$K146)</f>
        <v>2.9149981481481477</v>
      </c>
      <c r="X146" s="20"/>
      <c r="Y146" s="21">
        <f>IF(L146&gt;0,$Y$94*L146,$Y$94*$K146)</f>
        <v>1.0493993333333334</v>
      </c>
      <c r="Z146" s="20"/>
      <c r="AA146" s="21">
        <f>IF(L146&gt;0,$AA$94/36*L146,$AA$94/36*$K146)</f>
        <v>0.60729128086419748</v>
      </c>
      <c r="AB146" s="134">
        <v>3.09</v>
      </c>
      <c r="AC146" s="21">
        <f>IF(L146&gt;0,AB146/36*L146,AB146/36*$K146)</f>
        <v>1.5012240462962962</v>
      </c>
      <c r="AD146" s="20"/>
      <c r="AE146" s="21"/>
      <c r="AG146" s="1">
        <v>38</v>
      </c>
    </row>
    <row r="147" spans="2:33" ht="12.75" customHeight="1" x14ac:dyDescent="0.2">
      <c r="B147" s="39"/>
      <c r="D147" s="22">
        <v>4697.3</v>
      </c>
      <c r="E147" s="17" t="s">
        <v>1</v>
      </c>
      <c r="F147" s="22">
        <v>4717.05</v>
      </c>
      <c r="G147" s="24" t="s">
        <v>36</v>
      </c>
      <c r="H147" s="19" t="s">
        <v>35</v>
      </c>
      <c r="I147" s="20">
        <f t="shared" si="62"/>
        <v>19.75</v>
      </c>
      <c r="J147" s="21">
        <f>10/12</f>
        <v>0.83333333333333337</v>
      </c>
      <c r="K147" s="21">
        <f t="shared" si="63"/>
        <v>1.8287037037037039</v>
      </c>
      <c r="L147" s="21"/>
      <c r="M147" s="20"/>
      <c r="N147" s="21">
        <f t="shared" si="64"/>
        <v>1.8287037037037039</v>
      </c>
      <c r="O147" s="20"/>
      <c r="P147" s="20"/>
      <c r="Q147" s="20"/>
      <c r="R147" s="20"/>
      <c r="S147" s="20"/>
      <c r="T147" s="134">
        <f>IF(G147="PAV",9,5)</f>
        <v>5</v>
      </c>
      <c r="U147" s="21">
        <f>IF(L147&gt;0,T147/36*L147,T147/36*K147)</f>
        <v>0.25398662551440332</v>
      </c>
      <c r="V147" s="20"/>
      <c r="W147" s="21">
        <f>IF(L147&gt;0,$W$94/36*L147,$W$94/36*$K147)</f>
        <v>0.30478395061728397</v>
      </c>
      <c r="X147" s="20"/>
      <c r="Y147" s="20"/>
      <c r="Z147" s="20"/>
      <c r="AA147" s="20"/>
      <c r="AB147" s="139"/>
      <c r="AC147" s="20"/>
      <c r="AD147" s="20"/>
      <c r="AE147" s="21"/>
      <c r="AG147" s="1">
        <v>39</v>
      </c>
    </row>
    <row r="148" spans="2:33" ht="12.75" customHeight="1" x14ac:dyDescent="0.2">
      <c r="B148" s="39"/>
      <c r="D148" s="22">
        <v>4697.3</v>
      </c>
      <c r="E148" s="17" t="s">
        <v>1</v>
      </c>
      <c r="F148" s="22">
        <v>4717.05</v>
      </c>
      <c r="G148" s="24" t="s">
        <v>36</v>
      </c>
      <c r="H148" s="19" t="s">
        <v>35</v>
      </c>
      <c r="I148" s="20">
        <f t="shared" si="62"/>
        <v>19.75</v>
      </c>
      <c r="J148" s="38">
        <v>0.75</v>
      </c>
      <c r="K148" s="21">
        <f t="shared" si="63"/>
        <v>1.6458333333333333</v>
      </c>
      <c r="L148" s="21"/>
      <c r="M148" s="20"/>
      <c r="N148" s="21">
        <f>IF(L148&gt;0,L148,K148)</f>
        <v>1.6458333333333333</v>
      </c>
      <c r="O148" s="20"/>
      <c r="P148" s="20"/>
      <c r="Q148" s="20"/>
      <c r="R148" s="20"/>
      <c r="S148" s="20"/>
      <c r="T148" s="139"/>
      <c r="U148" s="21"/>
      <c r="V148" s="20"/>
      <c r="W148" s="21">
        <f>IF(L148&gt;0,$W$94/36*L148,$W$94/36*$K148)</f>
        <v>0.27430555555555552</v>
      </c>
      <c r="X148" s="20"/>
      <c r="Y148" s="20"/>
      <c r="Z148" s="20"/>
      <c r="AA148" s="20"/>
      <c r="AB148" s="139"/>
      <c r="AC148" s="20"/>
      <c r="AD148" s="20"/>
      <c r="AE148" s="21"/>
      <c r="AG148" s="1">
        <v>40</v>
      </c>
    </row>
    <row r="149" spans="2:33" ht="12.75" customHeight="1" x14ac:dyDescent="0.2">
      <c r="B149" s="39"/>
      <c r="D149" s="22"/>
      <c r="E149" s="17"/>
      <c r="F149" s="22"/>
      <c r="G149" s="24"/>
      <c r="H149" s="25"/>
      <c r="I149" s="21"/>
      <c r="J149" s="21"/>
      <c r="K149" s="21"/>
      <c r="L149" s="21"/>
      <c r="M149" s="20"/>
      <c r="N149" s="20"/>
      <c r="O149" s="20"/>
      <c r="P149" s="20"/>
      <c r="Q149" s="20"/>
      <c r="R149" s="20"/>
      <c r="S149" s="20"/>
      <c r="T149" s="139"/>
      <c r="U149" s="21"/>
      <c r="V149" s="20"/>
      <c r="W149" s="20"/>
      <c r="X149" s="20"/>
      <c r="Y149" s="20"/>
      <c r="Z149" s="20"/>
      <c r="AA149" s="20"/>
      <c r="AB149" s="139"/>
      <c r="AC149" s="20"/>
      <c r="AD149" s="20"/>
      <c r="AE149" s="21"/>
      <c r="AG149" s="1">
        <v>41</v>
      </c>
    </row>
    <row r="150" spans="2:33" ht="12.75" customHeight="1" x14ac:dyDescent="0.2">
      <c r="B150" s="39"/>
      <c r="D150" s="22">
        <v>4697.3</v>
      </c>
      <c r="E150" s="17" t="s">
        <v>1</v>
      </c>
      <c r="F150" s="22">
        <v>4715.3599999999997</v>
      </c>
      <c r="G150" s="18" t="s">
        <v>29</v>
      </c>
      <c r="H150" s="19" t="s">
        <v>38</v>
      </c>
      <c r="I150" s="20">
        <f t="shared" ref="I150:I152" si="65">IF(D150&lt;&gt;"",F150-D150,"")</f>
        <v>18.059999999999491</v>
      </c>
      <c r="J150" s="21"/>
      <c r="K150" s="21"/>
      <c r="L150" s="21">
        <f>447.5192/9</f>
        <v>49.724355555555555</v>
      </c>
      <c r="M150" s="20"/>
      <c r="N150" s="21">
        <f>IF(L150&gt;0,L150,K150)</f>
        <v>49.724355555555555</v>
      </c>
      <c r="O150" s="20"/>
      <c r="P150" s="20"/>
      <c r="Q150" s="20"/>
      <c r="R150" s="20"/>
      <c r="S150" s="20"/>
      <c r="T150" s="134">
        <f>IF(G150="PAV",9,5)</f>
        <v>9</v>
      </c>
      <c r="U150" s="21">
        <f>IF(L150&gt;0,T150/36*L150,T150/36*K150)</f>
        <v>12.431088888888889</v>
      </c>
      <c r="V150" s="20"/>
      <c r="W150" s="21">
        <f>IF(L150&gt;0,$W$94/36*L150,$W$94/36*$K150)</f>
        <v>8.2873925925925924</v>
      </c>
      <c r="X150" s="20"/>
      <c r="Y150" s="21">
        <f>IF(L150&gt;0,$Y$94*L150,$Y$94*$K150)</f>
        <v>2.9834613333333331</v>
      </c>
      <c r="Z150" s="20"/>
      <c r="AA150" s="21">
        <f>IF(L150&gt;0,$AA$94/36*L150,$AA$94/36*$K150)</f>
        <v>1.7265401234567901</v>
      </c>
      <c r="AB150" s="134">
        <v>4.46</v>
      </c>
      <c r="AC150" s="21">
        <f>IF(L150&gt;0,AB150/36*L150,AB150/36*$K150)</f>
        <v>6.1602951604938267</v>
      </c>
      <c r="AD150" s="20"/>
      <c r="AE150" s="21"/>
      <c r="AG150" s="1">
        <v>42</v>
      </c>
    </row>
    <row r="151" spans="2:33" ht="12.75" customHeight="1" x14ac:dyDescent="0.2">
      <c r="B151" s="39"/>
      <c r="D151" s="22">
        <v>4697.3</v>
      </c>
      <c r="E151" s="17" t="s">
        <v>1</v>
      </c>
      <c r="F151" s="22">
        <v>4715.3599999999997</v>
      </c>
      <c r="G151" s="24" t="s">
        <v>36</v>
      </c>
      <c r="H151" s="19" t="s">
        <v>38</v>
      </c>
      <c r="I151" s="20">
        <f t="shared" si="65"/>
        <v>18.059999999999491</v>
      </c>
      <c r="J151" s="21">
        <f>10/12</f>
        <v>0.83333333333333337</v>
      </c>
      <c r="K151" s="21">
        <f t="shared" ref="K151:K152" si="66">(I151*J151)/9</f>
        <v>1.6722222222221752</v>
      </c>
      <c r="L151" s="21"/>
      <c r="M151" s="20"/>
      <c r="N151" s="21">
        <f t="shared" ref="N151:N152" si="67">IF(L151&gt;0,L151,K151)</f>
        <v>1.6722222222221752</v>
      </c>
      <c r="O151" s="20"/>
      <c r="P151" s="20"/>
      <c r="Q151" s="20"/>
      <c r="R151" s="20"/>
      <c r="S151" s="20"/>
      <c r="T151" s="134">
        <f>IF(G151="PAV",9,5)</f>
        <v>5</v>
      </c>
      <c r="U151" s="21">
        <f>IF(L151&gt;0,T151/36*L151,T151/36*K151)</f>
        <v>0.23225308641974657</v>
      </c>
      <c r="V151" s="20"/>
      <c r="W151" s="21">
        <f>IF(L151&gt;0,$W$94/36*L151,$W$94/36*$K151)</f>
        <v>0.27870370370369585</v>
      </c>
      <c r="X151" s="20"/>
      <c r="Y151" s="20"/>
      <c r="Z151" s="20"/>
      <c r="AA151" s="20"/>
      <c r="AB151" s="139"/>
      <c r="AC151" s="20"/>
      <c r="AD151" s="20"/>
      <c r="AE151" s="21"/>
      <c r="AG151" s="1">
        <v>43</v>
      </c>
    </row>
    <row r="152" spans="2:33" ht="12.75" customHeight="1" x14ac:dyDescent="0.2">
      <c r="B152" s="39"/>
      <c r="D152" s="22">
        <v>4697.3</v>
      </c>
      <c r="E152" s="17" t="s">
        <v>1</v>
      </c>
      <c r="F152" s="22">
        <v>4715.3599999999997</v>
      </c>
      <c r="G152" s="24" t="s">
        <v>36</v>
      </c>
      <c r="H152" s="19" t="s">
        <v>38</v>
      </c>
      <c r="I152" s="20">
        <f t="shared" si="65"/>
        <v>18.059999999999491</v>
      </c>
      <c r="J152" s="38">
        <v>0.75</v>
      </c>
      <c r="K152" s="21">
        <f t="shared" si="66"/>
        <v>1.5049999999999575</v>
      </c>
      <c r="L152" s="21"/>
      <c r="M152" s="20"/>
      <c r="N152" s="21">
        <f t="shared" si="67"/>
        <v>1.5049999999999575</v>
      </c>
      <c r="O152" s="20"/>
      <c r="P152" s="20"/>
      <c r="Q152" s="20"/>
      <c r="R152" s="20"/>
      <c r="S152" s="20"/>
      <c r="T152" s="139"/>
      <c r="U152" s="20"/>
      <c r="V152" s="20"/>
      <c r="W152" s="21">
        <f>IF(L152&gt;0,$W$94/36*L152,$W$94/36*$K152)</f>
        <v>0.25083333333332625</v>
      </c>
      <c r="X152" s="20"/>
      <c r="Y152" s="20"/>
      <c r="Z152" s="20"/>
      <c r="AA152" s="20"/>
      <c r="AB152" s="139"/>
      <c r="AC152" s="20"/>
      <c r="AD152" s="20"/>
      <c r="AE152" s="21"/>
      <c r="AG152" s="1">
        <v>44</v>
      </c>
    </row>
    <row r="153" spans="2:33" ht="12.75" customHeight="1" x14ac:dyDescent="0.2">
      <c r="B153" s="39"/>
      <c r="D153" s="22"/>
      <c r="E153" s="17"/>
      <c r="F153" s="22"/>
      <c r="G153" s="24"/>
      <c r="H153" s="24"/>
      <c r="I153" s="20"/>
      <c r="J153" s="38"/>
      <c r="K153" s="21"/>
      <c r="L153" s="21"/>
      <c r="M153" s="20"/>
      <c r="N153" s="20"/>
      <c r="O153" s="20"/>
      <c r="P153" s="20"/>
      <c r="Q153" s="20"/>
      <c r="R153" s="20"/>
      <c r="S153" s="20"/>
      <c r="T153" s="139"/>
      <c r="U153" s="20"/>
      <c r="V153" s="20"/>
      <c r="W153" s="20"/>
      <c r="X153" s="20"/>
      <c r="Y153" s="20"/>
      <c r="Z153" s="20"/>
      <c r="AA153" s="20"/>
      <c r="AB153" s="139"/>
      <c r="AC153" s="20"/>
      <c r="AD153" s="20"/>
      <c r="AE153" s="21"/>
      <c r="AG153" s="1">
        <v>45</v>
      </c>
    </row>
    <row r="154" spans="2:33" ht="12.75" customHeight="1" x14ac:dyDescent="0.2">
      <c r="B154" s="39"/>
      <c r="D154" s="22">
        <v>4715.3599999999997</v>
      </c>
      <c r="E154" s="17" t="s">
        <v>1</v>
      </c>
      <c r="F154" s="22">
        <v>4717.05</v>
      </c>
      <c r="G154" s="18" t="s">
        <v>29</v>
      </c>
      <c r="H154" s="19" t="s">
        <v>38</v>
      </c>
      <c r="I154" s="20">
        <f t="shared" ref="I154" si="68">IF(D154&lt;&gt;"",F154-D154,"")</f>
        <v>1.6900000000005093</v>
      </c>
      <c r="J154" s="38">
        <v>43.54</v>
      </c>
      <c r="K154" s="21">
        <f t="shared" ref="K154" si="69">(I154*J154)/9</f>
        <v>8.1758444444469074</v>
      </c>
      <c r="L154" s="21"/>
      <c r="M154" s="20"/>
      <c r="N154" s="21">
        <f>IF(L154&gt;0,L154,K154)</f>
        <v>8.1758444444469074</v>
      </c>
      <c r="O154" s="20"/>
      <c r="P154" s="20"/>
      <c r="Q154" s="20"/>
      <c r="R154" s="20"/>
      <c r="S154" s="20"/>
      <c r="T154" s="134">
        <f>IF(G154="PAV",9,5)</f>
        <v>9</v>
      </c>
      <c r="U154" s="21">
        <f>IF(L154&gt;0,T154/36*L154,T154/36*K154)</f>
        <v>2.0439611111117268</v>
      </c>
      <c r="V154" s="20"/>
      <c r="W154" s="21">
        <f>IF(L154&gt;0,$W$94/36*L154,$W$94/36*$K154)</f>
        <v>1.3626407407411512</v>
      </c>
      <c r="X154" s="20"/>
      <c r="Y154" s="21">
        <f>IF(L154&gt;0,$Y$94*L154,$Y$94*$K154)</f>
        <v>0.49055066666681441</v>
      </c>
      <c r="Z154" s="20"/>
      <c r="AA154" s="21">
        <f>IF(L154&gt;0,$AA$94/36*L154,$AA$94/36*$K154)</f>
        <v>0.28388348765440652</v>
      </c>
      <c r="AB154" s="134">
        <v>1.96</v>
      </c>
      <c r="AC154" s="21">
        <f>IF(L154&gt;0,AB154/36*L154,AB154/36*$K154)</f>
        <v>0.44512930864210937</v>
      </c>
      <c r="AD154" s="20"/>
      <c r="AE154" s="21"/>
      <c r="AG154" s="1">
        <v>46</v>
      </c>
    </row>
    <row r="155" spans="2:33" ht="12.75" customHeight="1" x14ac:dyDescent="0.2">
      <c r="B155" s="39"/>
      <c r="D155" s="22"/>
      <c r="E155" s="17"/>
      <c r="F155" s="22"/>
      <c r="G155" s="24"/>
      <c r="H155" s="26"/>
      <c r="I155" s="21"/>
      <c r="J155" s="21"/>
      <c r="K155" s="21"/>
      <c r="L155" s="21"/>
      <c r="M155" s="20"/>
      <c r="N155" s="20"/>
      <c r="O155" s="20"/>
      <c r="P155" s="20"/>
      <c r="Q155" s="20"/>
      <c r="R155" s="20"/>
      <c r="S155" s="20"/>
      <c r="T155" s="139"/>
      <c r="U155" s="21"/>
      <c r="V155" s="20"/>
      <c r="W155" s="20"/>
      <c r="X155" s="20"/>
      <c r="Y155" s="20"/>
      <c r="Z155" s="20"/>
      <c r="AA155" s="20"/>
      <c r="AB155" s="139"/>
      <c r="AC155" s="20"/>
      <c r="AD155" s="20"/>
      <c r="AE155" s="21"/>
      <c r="AG155" s="1">
        <v>47</v>
      </c>
    </row>
    <row r="156" spans="2:33" ht="12.75" customHeight="1" x14ac:dyDescent="0.2">
      <c r="B156" s="39"/>
      <c r="D156" s="22">
        <v>4717.05</v>
      </c>
      <c r="E156" s="17" t="s">
        <v>1</v>
      </c>
      <c r="F156" s="22">
        <v>4727.28</v>
      </c>
      <c r="G156" s="18" t="s">
        <v>29</v>
      </c>
      <c r="H156" s="25" t="s">
        <v>35</v>
      </c>
      <c r="I156" s="20">
        <f t="shared" ref="I156:I158" si="70">IF(D156&lt;&gt;"",F156-D156,"")</f>
        <v>10.229999999999563</v>
      </c>
      <c r="J156" s="21"/>
      <c r="K156" s="21"/>
      <c r="L156" s="21">
        <f>223.978/9</f>
        <v>24.886444444444447</v>
      </c>
      <c r="M156" s="21"/>
      <c r="N156" s="21">
        <f>IF(L156&gt;0,L156,K156)</f>
        <v>24.886444444444447</v>
      </c>
      <c r="O156" s="20"/>
      <c r="P156" s="20"/>
      <c r="Q156" s="20"/>
      <c r="R156" s="20"/>
      <c r="S156" s="20"/>
      <c r="T156" s="134">
        <f>IF(G156="PAV",9,5)</f>
        <v>9</v>
      </c>
      <c r="U156" s="21">
        <f>IF(L156&gt;0,T156/36*L156,T156/36*K156)</f>
        <v>6.2216111111111116</v>
      </c>
      <c r="V156" s="20"/>
      <c r="W156" s="21">
        <f>IF(L156&gt;0,$W$94/36*L156,$W$94/36*$K156)</f>
        <v>4.1477407407407405</v>
      </c>
      <c r="X156" s="20"/>
      <c r="Y156" s="21">
        <f>IF(L156&gt;0,$Y$94*L156,$Y$94*$K156)</f>
        <v>1.4931866666666667</v>
      </c>
      <c r="Z156" s="20"/>
      <c r="AA156" s="21">
        <f>IF(L156&gt;0,$AA$94/36*L156,$AA$94/36*$K156)</f>
        <v>0.86411265432098772</v>
      </c>
      <c r="AB156" s="134">
        <v>1.75</v>
      </c>
      <c r="AC156" s="21">
        <f>IF(L156&gt;0,AB156/36*L156,AB156/36*$K156)</f>
        <v>1.2097577160493829</v>
      </c>
      <c r="AD156" s="20"/>
      <c r="AE156" s="21"/>
      <c r="AG156" s="1">
        <v>48</v>
      </c>
    </row>
    <row r="157" spans="2:33" ht="12.75" customHeight="1" x14ac:dyDescent="0.2">
      <c r="B157" s="39"/>
      <c r="D157" s="22">
        <v>4717.05</v>
      </c>
      <c r="E157" s="17" t="s">
        <v>1</v>
      </c>
      <c r="F157" s="22">
        <v>4727.28</v>
      </c>
      <c r="G157" s="24" t="s">
        <v>36</v>
      </c>
      <c r="H157" s="19" t="s">
        <v>35</v>
      </c>
      <c r="I157" s="20">
        <f t="shared" si="70"/>
        <v>10.229999999999563</v>
      </c>
      <c r="J157" s="21">
        <f>10/12</f>
        <v>0.83333333333333337</v>
      </c>
      <c r="K157" s="21">
        <f t="shared" ref="K157:K158" si="71">(I157*J157)/9</f>
        <v>0.94722222222218178</v>
      </c>
      <c r="L157" s="21"/>
      <c r="M157" s="21"/>
      <c r="N157" s="21">
        <f t="shared" ref="N157:N158" si="72">IF(L157&gt;0,L157,K157)</f>
        <v>0.94722222222218178</v>
      </c>
      <c r="O157" s="21"/>
      <c r="P157" s="21"/>
      <c r="Q157" s="21"/>
      <c r="R157" s="21"/>
      <c r="S157" s="21"/>
      <c r="T157" s="134"/>
      <c r="U157" s="21"/>
      <c r="V157" s="21"/>
      <c r="W157" s="21">
        <f>IF(L157&gt;0,$W$94/36*L157,$W$94/36*$K157)</f>
        <v>0.15787037037036361</v>
      </c>
      <c r="X157" s="21"/>
      <c r="Y157" s="21"/>
      <c r="Z157" s="21"/>
      <c r="AA157" s="21"/>
      <c r="AB157" s="134"/>
      <c r="AC157" s="21"/>
      <c r="AD157" s="20"/>
      <c r="AE157" s="21"/>
      <c r="AG157" s="1">
        <v>49</v>
      </c>
    </row>
    <row r="158" spans="2:33" ht="12.75" customHeight="1" x14ac:dyDescent="0.2">
      <c r="B158" s="39"/>
      <c r="D158" s="22">
        <v>4717.05</v>
      </c>
      <c r="E158" s="17" t="s">
        <v>1</v>
      </c>
      <c r="F158" s="22">
        <v>4727.28</v>
      </c>
      <c r="G158" s="24" t="s">
        <v>36</v>
      </c>
      <c r="H158" s="19" t="s">
        <v>35</v>
      </c>
      <c r="I158" s="20">
        <f t="shared" si="70"/>
        <v>10.229999999999563</v>
      </c>
      <c r="J158" s="38">
        <v>0.75</v>
      </c>
      <c r="K158" s="21">
        <f t="shared" si="71"/>
        <v>0.85249999999996362</v>
      </c>
      <c r="L158" s="21"/>
      <c r="M158" s="21"/>
      <c r="N158" s="21">
        <f t="shared" si="72"/>
        <v>0.85249999999996362</v>
      </c>
      <c r="O158" s="21"/>
      <c r="P158" s="21"/>
      <c r="Q158" s="21"/>
      <c r="R158" s="21"/>
      <c r="S158" s="21"/>
      <c r="T158" s="134"/>
      <c r="U158" s="21"/>
      <c r="V158" s="21"/>
      <c r="W158" s="21">
        <f>IF(L158&gt;0,$W$94/36*L158,$W$94/36*$K158)</f>
        <v>0.14208333333332726</v>
      </c>
      <c r="X158" s="21"/>
      <c r="Y158" s="21"/>
      <c r="Z158" s="21"/>
      <c r="AA158" s="21"/>
      <c r="AB158" s="134"/>
      <c r="AC158" s="21"/>
      <c r="AD158" s="20"/>
      <c r="AE158" s="21"/>
      <c r="AG158" s="1">
        <v>50</v>
      </c>
    </row>
    <row r="159" spans="2:33" ht="12.75" customHeight="1" x14ac:dyDescent="0.2">
      <c r="B159" s="39"/>
      <c r="D159" s="22"/>
      <c r="E159" s="23"/>
      <c r="F159" s="22"/>
      <c r="G159" s="24"/>
      <c r="H159" s="25"/>
      <c r="I159" s="21"/>
      <c r="J159" s="21"/>
      <c r="K159" s="21"/>
      <c r="L159" s="21"/>
      <c r="M159" s="20"/>
      <c r="N159" s="20"/>
      <c r="O159" s="20"/>
      <c r="P159" s="20"/>
      <c r="Q159" s="20"/>
      <c r="R159" s="20"/>
      <c r="S159" s="20"/>
      <c r="T159" s="139"/>
      <c r="U159" s="21"/>
      <c r="V159" s="20"/>
      <c r="W159" s="20"/>
      <c r="X159" s="20"/>
      <c r="Y159" s="20"/>
      <c r="Z159" s="20"/>
      <c r="AA159" s="20"/>
      <c r="AB159" s="139"/>
      <c r="AC159" s="20"/>
      <c r="AD159" s="21"/>
      <c r="AE159" s="21"/>
      <c r="AG159" s="1">
        <v>51</v>
      </c>
    </row>
    <row r="160" spans="2:33" ht="12.75" customHeight="1" x14ac:dyDescent="0.2">
      <c r="B160" s="39"/>
      <c r="D160" s="22">
        <v>4727.28</v>
      </c>
      <c r="E160" s="17" t="s">
        <v>1</v>
      </c>
      <c r="F160" s="22">
        <v>4729.5</v>
      </c>
      <c r="G160" s="18" t="s">
        <v>29</v>
      </c>
      <c r="H160" s="19" t="s">
        <v>35</v>
      </c>
      <c r="I160" s="20">
        <f t="shared" ref="I160:I161" si="73">IF(D160&lt;&gt;"",F160-D160,"")</f>
        <v>2.2200000000002547</v>
      </c>
      <c r="J160" s="21">
        <v>31.98</v>
      </c>
      <c r="K160" s="21">
        <f t="shared" ref="K160:K161" si="74">(I160*J160)/9</f>
        <v>7.888400000000904</v>
      </c>
      <c r="L160" s="21"/>
      <c r="M160" s="20"/>
      <c r="N160" s="21">
        <f>IF(L160&gt;0,L160,K160)</f>
        <v>7.888400000000904</v>
      </c>
      <c r="O160" s="20"/>
      <c r="P160" s="20"/>
      <c r="Q160" s="20"/>
      <c r="R160" s="20"/>
      <c r="S160" s="20"/>
      <c r="T160" s="134">
        <f>IF(G160="PAV",9,5)</f>
        <v>9</v>
      </c>
      <c r="U160" s="21">
        <f>IF(L160&gt;0,T160/36*L160,T160/36*K160)</f>
        <v>1.972100000000226</v>
      </c>
      <c r="V160" s="20"/>
      <c r="W160" s="21">
        <f>IF(L160&gt;0,$W$94/36*L160,$W$94/36*$K160)</f>
        <v>1.3147333333334839</v>
      </c>
      <c r="X160" s="20"/>
      <c r="Y160" s="21">
        <f>IF(L160&gt;0,$Y$94*L160,$Y$94*$K160)</f>
        <v>0.47330400000005424</v>
      </c>
      <c r="Z160" s="20"/>
      <c r="AA160" s="21">
        <f>IF(L160&gt;0,$AA$94/36*L160,$AA$94/36*$K160)</f>
        <v>0.27390277777780919</v>
      </c>
      <c r="AB160" s="134">
        <v>1.75</v>
      </c>
      <c r="AC160" s="21">
        <f>IF(L160&gt;0,AB160/36*L160,AB160/36*$K160)</f>
        <v>0.38346388888893285</v>
      </c>
      <c r="AD160" s="21"/>
      <c r="AE160" s="21"/>
      <c r="AG160" s="1">
        <v>52</v>
      </c>
    </row>
    <row r="161" spans="2:39" ht="12.75" customHeight="1" x14ac:dyDescent="0.2">
      <c r="B161" s="39"/>
      <c r="D161" s="22">
        <v>4729.5</v>
      </c>
      <c r="E161" s="17" t="s">
        <v>1</v>
      </c>
      <c r="F161" s="22">
        <v>4737.12</v>
      </c>
      <c r="G161" s="18" t="s">
        <v>29</v>
      </c>
      <c r="H161" s="19" t="s">
        <v>35</v>
      </c>
      <c r="I161" s="20">
        <f t="shared" si="73"/>
        <v>7.6199999999998909</v>
      </c>
      <c r="J161" s="21">
        <v>18.32</v>
      </c>
      <c r="K161" s="21">
        <f t="shared" si="74"/>
        <v>15.510933333333112</v>
      </c>
      <c r="L161" s="21"/>
      <c r="M161" s="20"/>
      <c r="N161" s="21">
        <f t="shared" ref="N161" si="75">IF(L161&gt;0,L161,K161)</f>
        <v>15.510933333333112</v>
      </c>
      <c r="O161" s="20"/>
      <c r="P161" s="20"/>
      <c r="Q161" s="20"/>
      <c r="R161" s="20">
        <v>39.61</v>
      </c>
      <c r="S161" s="20"/>
      <c r="T161" s="134">
        <f>IF(G161="PAV",9,5)</f>
        <v>9</v>
      </c>
      <c r="U161" s="21">
        <f>IF(L161&gt;0,T161/36*L161,T161/36*K161)</f>
        <v>3.877733333333278</v>
      </c>
      <c r="V161" s="20"/>
      <c r="W161" s="21">
        <f>IF(L161&gt;0,$W$94/36*L161,$W$94/36*$K161)</f>
        <v>2.5851555555555183</v>
      </c>
      <c r="X161" s="20"/>
      <c r="Y161" s="21">
        <f>IF(L161&gt;0,$Y$94*L161,$Y$94*$K161)</f>
        <v>0.93065599999998672</v>
      </c>
      <c r="Z161" s="20"/>
      <c r="AA161" s="21">
        <f>IF(L161&gt;0,$AA$94/36*L161,$AA$94/36*$K161)</f>
        <v>0.53857407407406643</v>
      </c>
      <c r="AB161" s="134">
        <v>1.75</v>
      </c>
      <c r="AC161" s="21">
        <f>IF(L161&gt;0,AB161/36*L161,AB161/36*$K161)</f>
        <v>0.75400370370369296</v>
      </c>
      <c r="AD161" s="21"/>
      <c r="AE161" s="21"/>
      <c r="AG161" s="1">
        <v>53</v>
      </c>
    </row>
    <row r="162" spans="2:39" ht="12.75" customHeight="1" x14ac:dyDescent="0.2">
      <c r="B162" s="40"/>
      <c r="D162" s="48"/>
      <c r="E162" s="17"/>
      <c r="F162" s="16"/>
      <c r="G162" s="18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39"/>
      <c r="U162" s="20"/>
      <c r="V162" s="20"/>
      <c r="W162" s="20"/>
      <c r="X162" s="20"/>
      <c r="Y162" s="20"/>
      <c r="Z162" s="20"/>
      <c r="AA162" s="20"/>
      <c r="AB162" s="139"/>
      <c r="AC162" s="20"/>
      <c r="AD162" s="20"/>
      <c r="AE162" s="20"/>
      <c r="AG162" s="1">
        <v>54</v>
      </c>
    </row>
    <row r="163" spans="2:39" ht="12.75" customHeight="1" x14ac:dyDescent="0.2">
      <c r="B163" s="39"/>
      <c r="D163" s="22">
        <v>4717.05</v>
      </c>
      <c r="E163" s="17" t="s">
        <v>1</v>
      </c>
      <c r="F163" s="22">
        <v>4720.66</v>
      </c>
      <c r="G163" s="18" t="s">
        <v>29</v>
      </c>
      <c r="H163" s="19" t="s">
        <v>38</v>
      </c>
      <c r="I163" s="20">
        <f t="shared" ref="I163:I166" si="76">IF(D163&lt;&gt;"",F163-D163,"")</f>
        <v>3.6099999999996726</v>
      </c>
      <c r="J163" s="38">
        <v>43.54</v>
      </c>
      <c r="K163" s="21">
        <f t="shared" ref="K163" si="77">(I163*J163)/9</f>
        <v>17.464377777776193</v>
      </c>
      <c r="L163" s="20"/>
      <c r="M163" s="20"/>
      <c r="N163" s="21">
        <f>IF(L163&gt;0,L163,K163)</f>
        <v>17.464377777776193</v>
      </c>
      <c r="O163" s="20"/>
      <c r="P163" s="20"/>
      <c r="Q163" s="20"/>
      <c r="R163" s="20"/>
      <c r="S163" s="20"/>
      <c r="T163" s="134">
        <f>IF(G163="PAV",9,5)</f>
        <v>9</v>
      </c>
      <c r="U163" s="21">
        <f>IF(L163&gt;0,T163/36*L163,T163/36*K163)</f>
        <v>4.3660944444440482</v>
      </c>
      <c r="V163" s="20"/>
      <c r="W163" s="21">
        <f>IF(L163&gt;0,$W$94/36*L163,$W$94/36*$K163)</f>
        <v>2.9107296296293654</v>
      </c>
      <c r="X163" s="20"/>
      <c r="Y163" s="21">
        <f>IF(L163&gt;0,$Y$94*L163,$Y$94*$K163)</f>
        <v>1.0478626666665716</v>
      </c>
      <c r="Z163" s="20"/>
      <c r="AA163" s="21">
        <f>IF(L163&gt;0,$AA$94/36*L163,$AA$94/36*$K163)</f>
        <v>0.6064020061727845</v>
      </c>
      <c r="AB163" s="134">
        <v>1.75</v>
      </c>
      <c r="AC163" s="21">
        <f>IF(L163&gt;0,AB163/36*L163,AB163/36*$K163)</f>
        <v>0.84896280864189821</v>
      </c>
      <c r="AD163" s="20"/>
      <c r="AE163" s="21"/>
      <c r="AG163" s="1">
        <v>55</v>
      </c>
    </row>
    <row r="164" spans="2:39" ht="12.75" customHeight="1" x14ac:dyDescent="0.2">
      <c r="B164" s="39"/>
      <c r="D164" s="22">
        <v>4720.66</v>
      </c>
      <c r="E164" s="17" t="s">
        <v>1</v>
      </c>
      <c r="F164" s="22">
        <v>4737.12</v>
      </c>
      <c r="G164" s="18" t="s">
        <v>29</v>
      </c>
      <c r="H164" s="19" t="s">
        <v>38</v>
      </c>
      <c r="I164" s="20">
        <f t="shared" si="76"/>
        <v>16.460000000000036</v>
      </c>
      <c r="J164" s="21">
        <v>10.62</v>
      </c>
      <c r="K164" s="21"/>
      <c r="L164" s="21">
        <f>267.72/9</f>
        <v>29.74666666666667</v>
      </c>
      <c r="M164" s="20"/>
      <c r="N164" s="21">
        <f t="shared" ref="N164" si="78">IF(L164&gt;0,L164,K164)</f>
        <v>29.74666666666667</v>
      </c>
      <c r="O164" s="20"/>
      <c r="P164" s="20"/>
      <c r="Q164" s="20"/>
      <c r="R164" s="20">
        <v>53.17</v>
      </c>
      <c r="S164" s="20"/>
      <c r="T164" s="134">
        <f>IF(G164="PAV",9,5)</f>
        <v>9</v>
      </c>
      <c r="U164" s="21">
        <f>IF(L164&gt;0,T164/36*L164,T164/36*K164)</f>
        <v>7.4366666666666674</v>
      </c>
      <c r="V164" s="20"/>
      <c r="W164" s="21">
        <f>IF(L164&gt;0,$W$94/36*L164,$W$94/36*$K164)</f>
        <v>4.9577777777777783</v>
      </c>
      <c r="X164" s="20"/>
      <c r="Y164" s="21">
        <f>IF(L164&gt;0,$Y$94*L164,$Y$94*$K164)</f>
        <v>1.7848000000000002</v>
      </c>
      <c r="Z164" s="20"/>
      <c r="AA164" s="21">
        <f>IF(L164&gt;0,$AA$94/36*L164,$AA$94/36*$K164)</f>
        <v>1.0328703703703705</v>
      </c>
      <c r="AB164" s="134">
        <v>1.75</v>
      </c>
      <c r="AC164" s="21">
        <f>IF(L164&gt;0,AB164/36*L164,AB164/36*$K164)</f>
        <v>1.4460185185185186</v>
      </c>
      <c r="AD164" s="20"/>
      <c r="AE164" s="21"/>
      <c r="AG164" s="1">
        <v>56</v>
      </c>
    </row>
    <row r="165" spans="2:39" ht="12.75" customHeight="1" x14ac:dyDescent="0.2">
      <c r="B165" s="39"/>
      <c r="D165" s="22"/>
      <c r="E165" s="17"/>
      <c r="F165" s="22"/>
      <c r="G165" s="18"/>
      <c r="H165" s="19"/>
      <c r="I165" s="20"/>
      <c r="J165" s="21"/>
      <c r="K165" s="21"/>
      <c r="L165" s="21"/>
      <c r="M165" s="20"/>
      <c r="N165" s="20"/>
      <c r="O165" s="20"/>
      <c r="P165" s="20"/>
      <c r="Q165" s="20"/>
      <c r="R165" s="20"/>
      <c r="S165" s="20"/>
      <c r="T165" s="139"/>
      <c r="U165" s="20"/>
      <c r="V165" s="20"/>
      <c r="W165" s="20"/>
      <c r="X165" s="20"/>
      <c r="Y165" s="20"/>
      <c r="Z165" s="20"/>
      <c r="AA165" s="20"/>
      <c r="AB165" s="139"/>
      <c r="AC165" s="20"/>
      <c r="AD165" s="20"/>
      <c r="AE165" s="21"/>
      <c r="AG165" s="1">
        <v>57</v>
      </c>
    </row>
    <row r="166" spans="2:39" ht="12.75" customHeight="1" x14ac:dyDescent="0.2">
      <c r="B166" s="39"/>
      <c r="D166" s="22">
        <v>4737.12</v>
      </c>
      <c r="E166" s="17" t="s">
        <v>1</v>
      </c>
      <c r="F166" s="22">
        <v>4781.0200000000004</v>
      </c>
      <c r="G166" s="24" t="s">
        <v>57</v>
      </c>
      <c r="H166" s="25" t="s">
        <v>42</v>
      </c>
      <c r="I166" s="20">
        <f t="shared" si="76"/>
        <v>43.900000000000546</v>
      </c>
      <c r="J166" s="21"/>
      <c r="K166" s="21"/>
      <c r="L166" s="21">
        <f>3270.07/9</f>
        <v>363.3411111111111</v>
      </c>
      <c r="M166" s="21"/>
      <c r="N166" s="21"/>
      <c r="O166" s="21"/>
      <c r="P166" s="21">
        <f>L166</f>
        <v>363.3411111111111</v>
      </c>
      <c r="Q166" s="21"/>
      <c r="R166" s="21"/>
      <c r="S166" s="21"/>
      <c r="T166" s="134"/>
      <c r="U166" s="21"/>
      <c r="V166" s="21"/>
      <c r="W166" s="21"/>
      <c r="X166" s="21"/>
      <c r="Y166" s="21">
        <f>IF(L166&gt;0,0.09*L166,0.09*$K166)</f>
        <v>32.700699999999998</v>
      </c>
      <c r="Z166" s="21"/>
      <c r="AA166" s="21">
        <f>IF(L166&gt;0,$AA$94/36*L166,$AA$94/36*$K166)</f>
        <v>12.616010802469136</v>
      </c>
      <c r="AB166" s="134"/>
      <c r="AC166" s="21"/>
      <c r="AD166" s="21"/>
      <c r="AE166" s="21"/>
      <c r="AG166" s="1">
        <v>58</v>
      </c>
    </row>
    <row r="167" spans="2:39" ht="12.75" customHeight="1" thickBot="1" x14ac:dyDescent="0.25">
      <c r="B167" s="39"/>
      <c r="D167" s="22"/>
      <c r="E167" s="23"/>
      <c r="F167" s="22"/>
      <c r="G167" s="24"/>
      <c r="H167" s="25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134"/>
      <c r="U167" s="21"/>
      <c r="V167" s="21"/>
      <c r="W167" s="21"/>
      <c r="X167" s="21"/>
      <c r="Y167" s="21"/>
      <c r="Z167" s="21"/>
      <c r="AA167" s="21"/>
      <c r="AB167" s="134"/>
      <c r="AC167" s="21"/>
      <c r="AD167" s="21"/>
      <c r="AE167" s="21"/>
      <c r="AG167" s="1">
        <v>59</v>
      </c>
    </row>
    <row r="168" spans="2:39" ht="12.75" customHeight="1" thickBot="1" x14ac:dyDescent="0.25">
      <c r="B168" s="39"/>
      <c r="D168" s="108" t="s">
        <v>47</v>
      </c>
      <c r="E168" s="108"/>
      <c r="F168" s="108"/>
      <c r="G168" s="108"/>
      <c r="H168" s="108"/>
      <c r="I168" s="108"/>
      <c r="J168" s="108"/>
      <c r="K168" s="108"/>
      <c r="L168" s="108"/>
      <c r="M168" s="57" t="str">
        <f t="shared" ref="M168:AE168" si="79">IF(M$10&gt;0,SUM(M110:M167),"")</f>
        <v/>
      </c>
      <c r="N168" s="57">
        <f t="shared" si="79"/>
        <v>366.81701111111005</v>
      </c>
      <c r="O168" s="57" t="str">
        <f t="shared" si="79"/>
        <v/>
      </c>
      <c r="P168" s="57">
        <f t="shared" ref="P168" si="80">IF(P$10&gt;0,SUM(P110:P167),"")</f>
        <v>363.3411111111111</v>
      </c>
      <c r="Q168" s="57"/>
      <c r="R168" s="57">
        <f t="shared" si="79"/>
        <v>172.48000000000002</v>
      </c>
      <c r="S168" s="57"/>
      <c r="T168" s="136" t="str">
        <f t="shared" si="79"/>
        <v/>
      </c>
      <c r="U168" s="57">
        <f t="shared" si="79"/>
        <v>88.192069135802228</v>
      </c>
      <c r="V168" s="57" t="str">
        <f t="shared" si="79"/>
        <v/>
      </c>
      <c r="W168" s="57">
        <f t="shared" si="79"/>
        <v>61.290103703703529</v>
      </c>
      <c r="X168" s="57" t="str">
        <f t="shared" si="79"/>
        <v/>
      </c>
      <c r="Y168" s="57">
        <f t="shared" si="79"/>
        <v>53.563370666666614</v>
      </c>
      <c r="Z168" s="57" t="str">
        <f t="shared" si="79"/>
        <v/>
      </c>
      <c r="AA168" s="57">
        <f t="shared" si="79"/>
        <v>24.689315586419724</v>
      </c>
      <c r="AB168" s="136"/>
      <c r="AC168" s="57">
        <f t="shared" si="79"/>
        <v>33.562498129629603</v>
      </c>
      <c r="AD168" s="57" t="str">
        <f t="shared" si="79"/>
        <v/>
      </c>
      <c r="AE168" s="57" t="str">
        <f t="shared" si="79"/>
        <v/>
      </c>
      <c r="AG168" s="1">
        <v>60</v>
      </c>
    </row>
    <row r="169" spans="2:39" ht="12.75" customHeight="1" x14ac:dyDescent="0.2">
      <c r="B169" s="40"/>
      <c r="D169" s="109" t="s">
        <v>49</v>
      </c>
      <c r="E169" s="109"/>
      <c r="F169" s="109"/>
      <c r="G169" s="109"/>
      <c r="H169" s="109"/>
      <c r="I169" s="109"/>
      <c r="J169" s="109"/>
      <c r="K169" s="109"/>
      <c r="L169" s="109"/>
      <c r="M169" s="31"/>
      <c r="N169" s="31">
        <f>IF(N168&gt;0,ROUNDUP(N168,0),"")</f>
        <v>367</v>
      </c>
      <c r="O169" s="31"/>
      <c r="P169" s="31">
        <f>IF(P168&gt;0,ROUNDUP(P168,0),"")</f>
        <v>364</v>
      </c>
      <c r="Q169" s="31"/>
      <c r="R169" s="31">
        <f t="shared" ref="R169:AC169" si="81">IF(R168&gt;0,ROUNDUP(R168,0),"")</f>
        <v>173</v>
      </c>
      <c r="S169" s="31" t="str">
        <f t="shared" si="81"/>
        <v/>
      </c>
      <c r="T169" s="31"/>
      <c r="U169" s="31">
        <f t="shared" si="81"/>
        <v>89</v>
      </c>
      <c r="V169" s="31"/>
      <c r="W169" s="31">
        <f t="shared" si="81"/>
        <v>62</v>
      </c>
      <c r="X169" s="31"/>
      <c r="Y169" s="31">
        <f t="shared" si="81"/>
        <v>54</v>
      </c>
      <c r="Z169" s="31"/>
      <c r="AA169" s="31">
        <f t="shared" si="81"/>
        <v>25</v>
      </c>
      <c r="AB169" s="31" t="str">
        <f t="shared" si="81"/>
        <v/>
      </c>
      <c r="AC169" s="31">
        <f t="shared" si="81"/>
        <v>34</v>
      </c>
      <c r="AD169" s="31" t="str">
        <f t="shared" ref="AD169:AE169" si="82">IF(AD168&gt;0,AD168,"")</f>
        <v/>
      </c>
      <c r="AE169" s="31" t="str">
        <f t="shared" si="82"/>
        <v/>
      </c>
      <c r="AG169" s="1">
        <v>61</v>
      </c>
    </row>
    <row r="170" spans="2:39" ht="12.75" customHeight="1" thickBot="1" x14ac:dyDescent="0.25"/>
    <row r="171" spans="2:39" ht="12.75" customHeight="1" thickBot="1" x14ac:dyDescent="0.25">
      <c r="B171" s="36" t="s">
        <v>16</v>
      </c>
      <c r="D171" s="84">
        <f>D90+1</f>
        <v>3</v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G171" s="33">
        <v>3</v>
      </c>
      <c r="AH171" s="34" t="s">
        <v>12</v>
      </c>
      <c r="AI171" s="9"/>
      <c r="AJ171" s="9"/>
      <c r="AK171" s="9"/>
      <c r="AL171" s="9"/>
      <c r="AM171" s="9"/>
    </row>
    <row r="172" spans="2:39" ht="12.75" customHeight="1" thickBot="1" x14ac:dyDescent="0.25">
      <c r="B172" s="37"/>
      <c r="D172" s="4"/>
      <c r="E172" s="4"/>
      <c r="F172" s="4"/>
      <c r="G172" s="4"/>
      <c r="H172" s="4"/>
      <c r="I172" s="5"/>
      <c r="J172" s="5"/>
      <c r="K172" s="5"/>
      <c r="L172" s="6" t="s">
        <v>14</v>
      </c>
      <c r="M172" s="35"/>
      <c r="N172" s="35" t="s">
        <v>27</v>
      </c>
      <c r="O172" s="35"/>
      <c r="P172" s="35" t="s">
        <v>58</v>
      </c>
      <c r="Q172" s="35"/>
      <c r="R172" s="35" t="s">
        <v>33</v>
      </c>
      <c r="S172" s="35"/>
      <c r="T172" s="127"/>
      <c r="U172" s="35" t="s">
        <v>54</v>
      </c>
      <c r="V172" s="35"/>
      <c r="W172" s="35" t="s">
        <v>28</v>
      </c>
      <c r="X172" s="35"/>
      <c r="Y172" s="35" t="s">
        <v>32</v>
      </c>
      <c r="Z172" s="35"/>
      <c r="AA172" s="35" t="s">
        <v>52</v>
      </c>
      <c r="AB172" s="127"/>
      <c r="AC172" s="35" t="s">
        <v>34</v>
      </c>
      <c r="AD172" s="35"/>
      <c r="AE172" s="35"/>
    </row>
    <row r="173" spans="2:39" ht="12.75" customHeight="1" x14ac:dyDescent="0.2">
      <c r="D173" s="4"/>
      <c r="E173" s="4"/>
      <c r="F173" s="4"/>
      <c r="G173" s="4"/>
      <c r="H173" s="4"/>
      <c r="I173" s="5"/>
      <c r="J173" s="5"/>
      <c r="K173" s="5"/>
      <c r="L173" s="6" t="s">
        <v>15</v>
      </c>
      <c r="M173" s="8"/>
      <c r="N173" s="8"/>
      <c r="O173" s="8"/>
      <c r="P173" s="8"/>
      <c r="Q173" s="8"/>
      <c r="R173" s="8"/>
      <c r="S173" s="8"/>
      <c r="T173" s="128"/>
      <c r="U173" s="8"/>
      <c r="V173" s="8"/>
      <c r="W173" s="8"/>
      <c r="X173" s="8"/>
      <c r="Y173" s="8"/>
      <c r="Z173" s="8"/>
      <c r="AA173" s="8" t="s">
        <v>53</v>
      </c>
      <c r="AB173" s="128"/>
      <c r="AC173" s="8"/>
      <c r="AD173" s="8"/>
      <c r="AE173" s="8"/>
    </row>
    <row r="174" spans="2:39" ht="12.75" customHeight="1" x14ac:dyDescent="0.2">
      <c r="D174" s="9"/>
      <c r="E174" s="9"/>
      <c r="F174" s="9"/>
      <c r="G174" s="10"/>
      <c r="H174" s="5"/>
      <c r="I174" s="4"/>
      <c r="J174" s="5"/>
      <c r="K174" s="5"/>
      <c r="L174" s="6" t="s">
        <v>5</v>
      </c>
      <c r="M174" s="7"/>
      <c r="N174" s="7">
        <v>9</v>
      </c>
      <c r="O174" s="7"/>
      <c r="P174" s="7"/>
      <c r="Q174" s="7"/>
      <c r="R174" s="7"/>
      <c r="S174" s="7"/>
      <c r="T174" s="129"/>
      <c r="U174" s="7">
        <v>7</v>
      </c>
      <c r="V174" s="7"/>
      <c r="W174" s="7">
        <v>8</v>
      </c>
      <c r="X174" s="7"/>
      <c r="Y174" s="7">
        <v>2</v>
      </c>
      <c r="Z174" s="7"/>
      <c r="AA174" s="7">
        <v>1</v>
      </c>
      <c r="AB174" s="129"/>
      <c r="AC174" s="7">
        <v>3</v>
      </c>
      <c r="AD174" s="7"/>
      <c r="AE174" s="7"/>
    </row>
    <row r="175" spans="2:39" ht="12.75" customHeight="1" thickBot="1" x14ac:dyDescent="0.25">
      <c r="D175" s="9"/>
      <c r="E175" s="9"/>
      <c r="F175" s="9"/>
      <c r="G175" s="10"/>
      <c r="H175" s="5"/>
      <c r="I175" s="4"/>
      <c r="J175" s="5"/>
      <c r="K175" s="5"/>
      <c r="L175" s="6" t="s">
        <v>6</v>
      </c>
      <c r="M175" s="11"/>
      <c r="N175" s="11"/>
      <c r="O175" s="11"/>
      <c r="P175" s="11"/>
      <c r="Q175" s="11"/>
      <c r="R175" s="11"/>
      <c r="S175" s="11"/>
      <c r="T175" s="130"/>
      <c r="U175" s="11">
        <v>9</v>
      </c>
      <c r="V175" s="11"/>
      <c r="W175" s="11">
        <v>6</v>
      </c>
      <c r="X175" s="11"/>
      <c r="Y175" s="11">
        <v>0.06</v>
      </c>
      <c r="Z175" s="11"/>
      <c r="AA175" s="11">
        <v>1.25</v>
      </c>
      <c r="AB175" s="130"/>
      <c r="AC175" s="11" t="s">
        <v>37</v>
      </c>
      <c r="AD175" s="11"/>
      <c r="AE175" s="11"/>
    </row>
    <row r="176" spans="2:39" ht="12.75" customHeight="1" x14ac:dyDescent="0.2">
      <c r="B176" s="95" t="s">
        <v>17</v>
      </c>
      <c r="D176" s="87" t="s">
        <v>2</v>
      </c>
      <c r="E176" s="88"/>
      <c r="F176" s="89"/>
      <c r="G176" s="93" t="s">
        <v>7</v>
      </c>
      <c r="H176" s="85" t="s">
        <v>0</v>
      </c>
      <c r="I176" s="114" t="s">
        <v>8</v>
      </c>
      <c r="J176" s="114" t="s">
        <v>9</v>
      </c>
      <c r="K176" s="114" t="s">
        <v>13</v>
      </c>
      <c r="L176" s="114" t="s">
        <v>3</v>
      </c>
      <c r="M176" s="12" t="str">
        <f t="shared" ref="M176:N176" si="83">IF(OR(TRIM(M172)=0,TRIM(M172)=""),"",IF(IFERROR(TRIM(INDEX(QryItemNamed,MATCH(TRIM(M172),ITEM,0),2)),"")="Y","SPECIAL",LEFT(IFERROR(TRIM(INDEX(ITEM,MATCH(TRIM(M172),ITEM,0))),""),3)))</f>
        <v/>
      </c>
      <c r="N176" s="12" t="str">
        <f t="shared" si="83"/>
        <v>204</v>
      </c>
      <c r="O176" s="12"/>
      <c r="P176" s="12" t="str">
        <f t="shared" ref="P176" si="84">IF(OR(TRIM(P172)=0,TRIM(P172)=""),"",IF(IFERROR(TRIM(INDEX(QryItemNamed,MATCH(TRIM(P172),ITEM,0),2)),"")="Y","SPECIAL",LEFT(IFERROR(TRIM(INDEX(ITEM,MATCH(TRIM(P172),ITEM,0))),""),3)))</f>
        <v>254</v>
      </c>
      <c r="Q176" s="12"/>
      <c r="R176" s="12" t="str">
        <f t="shared" ref="R176" si="85">IF(OR(TRIM(R172)=0,TRIM(R172)=""),"",IF(IFERROR(TRIM(INDEX(QryItemNamed,MATCH(TRIM(R172),ITEM,0),2)),"")="Y","SPECIAL",LEFT(IFERROR(TRIM(INDEX(ITEM,MATCH(TRIM(R172),ITEM,0))),""),3)))</f>
        <v>255</v>
      </c>
      <c r="S176" s="12"/>
      <c r="T176" s="131"/>
      <c r="U176" s="12" t="str">
        <f t="shared" ref="U176" si="86">IF(OR(TRIM(U172)=0,TRIM(U172)=""),"",IF(IFERROR(TRIM(INDEX(QryItemNamed,MATCH(TRIM(U172),ITEM,0),2)),"")="Y","SPECIAL",LEFT(IFERROR(TRIM(INDEX(ITEM,MATCH(TRIM(U172),ITEM,0))),""),3)))</f>
        <v>305</v>
      </c>
      <c r="V176" s="12"/>
      <c r="W176" s="12" t="str">
        <f t="shared" ref="W176:Y176" si="87">IF(OR(TRIM(W172)=0,TRIM(W172)=""),"",IF(IFERROR(TRIM(INDEX(QryItemNamed,MATCH(TRIM(W172),ITEM,0),2)),"")="Y","SPECIAL",LEFT(IFERROR(TRIM(INDEX(ITEM,MATCH(TRIM(W172),ITEM,0))),""),3)))</f>
        <v>304</v>
      </c>
      <c r="X176" s="12" t="str">
        <f t="shared" si="87"/>
        <v/>
      </c>
      <c r="Y176" s="12" t="str">
        <f t="shared" si="87"/>
        <v>407</v>
      </c>
      <c r="Z176" s="12"/>
      <c r="AA176" s="12" t="str">
        <f t="shared" ref="AA176:AE176" si="88">IF(OR(TRIM(AA172)=0,TRIM(AA172)=""),"",IF(IFERROR(TRIM(INDEX(QryItemNamed,MATCH(TRIM(AA172),ITEM,0),2)),"")="Y","SPECIAL",LEFT(IFERROR(TRIM(INDEX(ITEM,MATCH(TRIM(AA172),ITEM,0))),""),3)))</f>
        <v>441</v>
      </c>
      <c r="AB176" s="131"/>
      <c r="AC176" s="12" t="str">
        <f t="shared" si="88"/>
        <v>441</v>
      </c>
      <c r="AD176" s="12" t="str">
        <f t="shared" si="88"/>
        <v/>
      </c>
      <c r="AE176" s="12" t="str">
        <f t="shared" si="88"/>
        <v/>
      </c>
    </row>
    <row r="177" spans="2:33" ht="12.75" customHeight="1" x14ac:dyDescent="0.2">
      <c r="B177" s="96"/>
      <c r="D177" s="90"/>
      <c r="E177" s="91"/>
      <c r="F177" s="92"/>
      <c r="G177" s="94"/>
      <c r="H177" s="86"/>
      <c r="I177" s="114"/>
      <c r="J177" s="114"/>
      <c r="K177" s="114"/>
      <c r="L177" s="114"/>
      <c r="M177" s="83" t="str">
        <f t="shared" ref="M177:N177" si="89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83" t="str">
        <f t="shared" si="89"/>
        <v>SUBGRADE COMPACTION</v>
      </c>
      <c r="O177" s="83" t="str">
        <f t="shared" ref="O177:P177" si="90">IF(OR(TRIM(O172)=0,TRIM(O172)=""),IF(O173="","",O173),IF(IFERROR(TRIM(INDEX(QryItemNamed,MATCH(TRIM(O172),ITEM,0),2)),"")="Y",TRIM(RIGHT(IFERROR(TRIM(INDEX(QryItemNamed,MATCH(TRIM(O172),ITEM,0),4)),"123456789012"),LEN(IFERROR(TRIM(INDEX(QryItemNamed,MATCH(TRIM(O172),ITEM,0),4)),"123456789012"))-9))&amp;O173,IFERROR(TRIM(INDEX(QryItemNamed,MATCH(TRIM(O172),ITEM,0),4))&amp;O173,"ITEM CODE DOES NOT EXIST IN ITEM MASTER")))</f>
        <v/>
      </c>
      <c r="P177" s="80" t="str">
        <f t="shared" si="90"/>
        <v>PAVEMENT PLANING, ASPHALT CONCRETE</v>
      </c>
      <c r="Q177" s="77"/>
      <c r="R177" s="83" t="str">
        <f t="shared" ref="R177" si="91">IF(OR(TRIM(R172)=0,TRIM(R172)=""),IF(R173="","",R173),IF(IFERROR(TRIM(INDEX(QryItemNamed,MATCH(TRIM(R172),ITEM,0),2)),"")="Y",TRIM(RIGHT(IFERROR(TRIM(INDEX(QryItemNamed,MATCH(TRIM(R172),ITEM,0),4)),"123456789012"),LEN(IFERROR(TRIM(INDEX(QryItemNamed,MATCH(TRIM(R172),ITEM,0),4)),"123456789012"))-9))&amp;R173,IFERROR(TRIM(INDEX(QryItemNamed,MATCH(TRIM(R172),ITEM,0),4))&amp;R173,"ITEM CODE DOES NOT EXIST IN ITEM MASTER")))</f>
        <v>FULL DEPTH PAVEMENT SAWING</v>
      </c>
      <c r="S177" s="77"/>
      <c r="T177" s="118" t="s">
        <v>56</v>
      </c>
      <c r="U177" s="83" t="str">
        <f t="shared" ref="U177:V177" si="92">IF(OR(TRIM(U172)=0,TRIM(U172)=""),IF(U173="","",U173),IF(IFERROR(TRIM(INDEX(QryItemNamed,MATCH(TRIM(U172),ITEM,0),2)),"")="Y",TRIM(RIGHT(IFERROR(TRIM(INDEX(QryItemNamed,MATCH(TRIM(U172),ITEM,0),4)),"123456789012"),LEN(IFERROR(TRIM(INDEX(QryItemNamed,MATCH(TRIM(U172),ITEM,0),4)),"123456789012"))-9))&amp;U173,IFERROR(TRIM(INDEX(QryItemNamed,MATCH(TRIM(U172),ITEM,0),4))&amp;U173,"ITEM CODE DOES NOT EXIST IN ITEM MASTER")))</f>
        <v>9" CONCRETE BASE, CLASS QC1, AS PER PLAN</v>
      </c>
      <c r="V177" s="83" t="str">
        <f t="shared" si="92"/>
        <v/>
      </c>
      <c r="W177" s="83" t="str">
        <f t="shared" ref="W177:Z177" si="93">IF(OR(TRIM(W172)=0,TRIM(W172)=""),IF(W173="","",W173),IF(IFERROR(TRIM(INDEX(QryItemNamed,MATCH(TRIM(W172),ITEM,0),2)),"")="Y",TRIM(RIGHT(IFERROR(TRIM(INDEX(QryItemNamed,MATCH(TRIM(W172),ITEM,0),4)),"123456789012"),LEN(IFERROR(TRIM(INDEX(QryItemNamed,MATCH(TRIM(W172),ITEM,0),4)),"123456789012"))-9))&amp;W173,IFERROR(TRIM(INDEX(QryItemNamed,MATCH(TRIM(W172),ITEM,0),4))&amp;W173,"ITEM CODE DOES NOT EXIST IN ITEM MASTER")))</f>
        <v>AGGREGATE BASE</v>
      </c>
      <c r="X177" s="80" t="str">
        <f t="shared" si="93"/>
        <v/>
      </c>
      <c r="Y177" s="83" t="str">
        <f t="shared" si="93"/>
        <v>TACK COAT</v>
      </c>
      <c r="Z177" s="83" t="str">
        <f t="shared" si="93"/>
        <v/>
      </c>
      <c r="AA177" s="83" t="str">
        <f t="shared" ref="AA177:AE177" si="94">IF(OR(TRIM(AA172)=0,TRIM(AA172)=""),IF(AA173="","",AA173),IF(IFERROR(TRIM(INDEX(QryItemNamed,MATCH(TRIM(AA172),ITEM,0),2)),"")="Y",TRIM(RIGHT(IFERROR(TRIM(INDEX(QryItemNamed,MATCH(TRIM(AA172),ITEM,0),4)),"123456789012"),LEN(IFERROR(TRIM(INDEX(QryItemNamed,MATCH(TRIM(AA172),ITEM,0),4)),"123456789012"))-9))&amp;AA173,IFERROR(TRIM(INDEX(QryItemNamed,MATCH(TRIM(AA172),ITEM,0),4))&amp;AA173,"ITEM CODE DOES NOT EXIST IN ITEM MASTER")))</f>
        <v>ASPHALT CONCRETE SURFACE COURSE, TYPE 1, (448), AS PER PLAN, PG64-22</v>
      </c>
      <c r="AB177" s="118" t="s">
        <v>55</v>
      </c>
      <c r="AC177" s="83" t="str">
        <f t="shared" si="94"/>
        <v>ASPHALT CONCRETE INTERMEDIATE COURSE, TYPE 2, (448)</v>
      </c>
      <c r="AD177" s="83" t="str">
        <f t="shared" si="94"/>
        <v/>
      </c>
      <c r="AE177" s="83" t="str">
        <f t="shared" si="94"/>
        <v/>
      </c>
    </row>
    <row r="178" spans="2:33" ht="12.75" customHeight="1" x14ac:dyDescent="0.2">
      <c r="B178" s="96"/>
      <c r="D178" s="90"/>
      <c r="E178" s="91"/>
      <c r="F178" s="92"/>
      <c r="G178" s="94"/>
      <c r="H178" s="86"/>
      <c r="I178" s="114"/>
      <c r="J178" s="114"/>
      <c r="K178" s="114"/>
      <c r="L178" s="114"/>
      <c r="M178" s="83"/>
      <c r="N178" s="83"/>
      <c r="O178" s="83"/>
      <c r="P178" s="81"/>
      <c r="Q178" s="78"/>
      <c r="R178" s="83"/>
      <c r="S178" s="78"/>
      <c r="T178" s="119"/>
      <c r="U178" s="83"/>
      <c r="V178" s="83"/>
      <c r="W178" s="83"/>
      <c r="X178" s="81"/>
      <c r="Y178" s="83"/>
      <c r="Z178" s="83"/>
      <c r="AA178" s="83"/>
      <c r="AB178" s="119"/>
      <c r="AC178" s="83"/>
      <c r="AD178" s="83"/>
      <c r="AE178" s="83"/>
    </row>
    <row r="179" spans="2:33" ht="12.75" customHeight="1" x14ac:dyDescent="0.2">
      <c r="B179" s="96"/>
      <c r="D179" s="90"/>
      <c r="E179" s="91"/>
      <c r="F179" s="92"/>
      <c r="G179" s="94"/>
      <c r="H179" s="86"/>
      <c r="I179" s="114"/>
      <c r="J179" s="114"/>
      <c r="K179" s="114"/>
      <c r="L179" s="114"/>
      <c r="M179" s="83"/>
      <c r="N179" s="83"/>
      <c r="O179" s="83"/>
      <c r="P179" s="81"/>
      <c r="Q179" s="78"/>
      <c r="R179" s="83"/>
      <c r="S179" s="78"/>
      <c r="T179" s="119"/>
      <c r="U179" s="83"/>
      <c r="V179" s="83"/>
      <c r="W179" s="83"/>
      <c r="X179" s="81"/>
      <c r="Y179" s="83"/>
      <c r="Z179" s="83"/>
      <c r="AA179" s="83"/>
      <c r="AB179" s="119"/>
      <c r="AC179" s="83"/>
      <c r="AD179" s="83"/>
      <c r="AE179" s="83"/>
    </row>
    <row r="180" spans="2:33" ht="12.75" customHeight="1" x14ac:dyDescent="0.2">
      <c r="B180" s="96"/>
      <c r="D180" s="90"/>
      <c r="E180" s="91"/>
      <c r="F180" s="92"/>
      <c r="G180" s="94"/>
      <c r="H180" s="86"/>
      <c r="I180" s="114"/>
      <c r="J180" s="114"/>
      <c r="K180" s="114"/>
      <c r="L180" s="114"/>
      <c r="M180" s="83"/>
      <c r="N180" s="83"/>
      <c r="O180" s="83"/>
      <c r="P180" s="81"/>
      <c r="Q180" s="78"/>
      <c r="R180" s="83"/>
      <c r="S180" s="78"/>
      <c r="T180" s="119"/>
      <c r="U180" s="83"/>
      <c r="V180" s="83"/>
      <c r="W180" s="83"/>
      <c r="X180" s="81"/>
      <c r="Y180" s="83"/>
      <c r="Z180" s="83"/>
      <c r="AA180" s="83"/>
      <c r="AB180" s="119"/>
      <c r="AC180" s="83"/>
      <c r="AD180" s="83"/>
      <c r="AE180" s="83"/>
    </row>
    <row r="181" spans="2:33" ht="12.75" customHeight="1" x14ac:dyDescent="0.2">
      <c r="B181" s="96"/>
      <c r="D181" s="90"/>
      <c r="E181" s="91"/>
      <c r="F181" s="92"/>
      <c r="G181" s="94"/>
      <c r="H181" s="86"/>
      <c r="I181" s="114"/>
      <c r="J181" s="114"/>
      <c r="K181" s="114"/>
      <c r="L181" s="114"/>
      <c r="M181" s="83"/>
      <c r="N181" s="83"/>
      <c r="O181" s="83"/>
      <c r="P181" s="81"/>
      <c r="Q181" s="78"/>
      <c r="R181" s="83"/>
      <c r="S181" s="78"/>
      <c r="T181" s="119"/>
      <c r="U181" s="83"/>
      <c r="V181" s="83"/>
      <c r="W181" s="83"/>
      <c r="X181" s="81"/>
      <c r="Y181" s="83"/>
      <c r="Z181" s="83"/>
      <c r="AA181" s="83"/>
      <c r="AB181" s="119"/>
      <c r="AC181" s="83"/>
      <c r="AD181" s="83"/>
      <c r="AE181" s="83"/>
    </row>
    <row r="182" spans="2:33" ht="12.75" customHeight="1" x14ac:dyDescent="0.2">
      <c r="B182" s="96"/>
      <c r="D182" s="90"/>
      <c r="E182" s="91"/>
      <c r="F182" s="92"/>
      <c r="G182" s="94"/>
      <c r="H182" s="86"/>
      <c r="I182" s="114"/>
      <c r="J182" s="114"/>
      <c r="K182" s="114"/>
      <c r="L182" s="114"/>
      <c r="M182" s="83"/>
      <c r="N182" s="83"/>
      <c r="O182" s="83"/>
      <c r="P182" s="81"/>
      <c r="Q182" s="78"/>
      <c r="R182" s="83"/>
      <c r="S182" s="78"/>
      <c r="T182" s="119"/>
      <c r="U182" s="83"/>
      <c r="V182" s="83"/>
      <c r="W182" s="83"/>
      <c r="X182" s="81"/>
      <c r="Y182" s="83"/>
      <c r="Z182" s="83"/>
      <c r="AA182" s="83"/>
      <c r="AB182" s="119"/>
      <c r="AC182" s="83"/>
      <c r="AD182" s="83"/>
      <c r="AE182" s="83"/>
    </row>
    <row r="183" spans="2:33" ht="12.75" customHeight="1" x14ac:dyDescent="0.2">
      <c r="B183" s="96"/>
      <c r="D183" s="90"/>
      <c r="E183" s="91"/>
      <c r="F183" s="92"/>
      <c r="G183" s="94"/>
      <c r="H183" s="86"/>
      <c r="I183" s="114"/>
      <c r="J183" s="114"/>
      <c r="K183" s="114"/>
      <c r="L183" s="114"/>
      <c r="M183" s="83"/>
      <c r="N183" s="83"/>
      <c r="O183" s="83"/>
      <c r="P183" s="81"/>
      <c r="Q183" s="78"/>
      <c r="R183" s="83"/>
      <c r="S183" s="78"/>
      <c r="T183" s="119"/>
      <c r="U183" s="83"/>
      <c r="V183" s="83"/>
      <c r="W183" s="83"/>
      <c r="X183" s="81"/>
      <c r="Y183" s="83"/>
      <c r="Z183" s="83"/>
      <c r="AA183" s="83"/>
      <c r="AB183" s="119"/>
      <c r="AC183" s="83"/>
      <c r="AD183" s="83"/>
      <c r="AE183" s="83"/>
    </row>
    <row r="184" spans="2:33" ht="12.75" customHeight="1" x14ac:dyDescent="0.2">
      <c r="B184" s="96"/>
      <c r="D184" s="90"/>
      <c r="E184" s="91"/>
      <c r="F184" s="92"/>
      <c r="G184" s="94"/>
      <c r="H184" s="86"/>
      <c r="I184" s="114"/>
      <c r="J184" s="114"/>
      <c r="K184" s="114"/>
      <c r="L184" s="114"/>
      <c r="M184" s="83"/>
      <c r="N184" s="83"/>
      <c r="O184" s="83"/>
      <c r="P184" s="81"/>
      <c r="Q184" s="78"/>
      <c r="R184" s="83"/>
      <c r="S184" s="78"/>
      <c r="T184" s="119"/>
      <c r="U184" s="83"/>
      <c r="V184" s="83"/>
      <c r="W184" s="83"/>
      <c r="X184" s="81"/>
      <c r="Y184" s="83"/>
      <c r="Z184" s="83"/>
      <c r="AA184" s="83"/>
      <c r="AB184" s="119"/>
      <c r="AC184" s="83"/>
      <c r="AD184" s="83"/>
      <c r="AE184" s="83"/>
    </row>
    <row r="185" spans="2:33" ht="12.75" customHeight="1" x14ac:dyDescent="0.2">
      <c r="B185" s="96"/>
      <c r="D185" s="90"/>
      <c r="E185" s="91"/>
      <c r="F185" s="92"/>
      <c r="G185" s="94"/>
      <c r="H185" s="86"/>
      <c r="I185" s="114"/>
      <c r="J185" s="114"/>
      <c r="K185" s="114"/>
      <c r="L185" s="114"/>
      <c r="M185" s="83"/>
      <c r="N185" s="83"/>
      <c r="O185" s="83"/>
      <c r="P185" s="81"/>
      <c r="Q185" s="78"/>
      <c r="R185" s="83"/>
      <c r="S185" s="78"/>
      <c r="T185" s="119"/>
      <c r="U185" s="83"/>
      <c r="V185" s="83"/>
      <c r="W185" s="83"/>
      <c r="X185" s="81"/>
      <c r="Y185" s="83"/>
      <c r="Z185" s="83"/>
      <c r="AA185" s="83"/>
      <c r="AB185" s="119"/>
      <c r="AC185" s="83"/>
      <c r="AD185" s="83"/>
      <c r="AE185" s="83"/>
    </row>
    <row r="186" spans="2:33" ht="12.75" customHeight="1" x14ac:dyDescent="0.2">
      <c r="B186" s="96"/>
      <c r="D186" s="90"/>
      <c r="E186" s="91"/>
      <c r="F186" s="92"/>
      <c r="G186" s="94"/>
      <c r="H186" s="86"/>
      <c r="I186" s="114"/>
      <c r="J186" s="114"/>
      <c r="K186" s="114"/>
      <c r="L186" s="114"/>
      <c r="M186" s="83"/>
      <c r="N186" s="83"/>
      <c r="O186" s="83"/>
      <c r="P186" s="81"/>
      <c r="Q186" s="78"/>
      <c r="R186" s="83"/>
      <c r="S186" s="78"/>
      <c r="T186" s="119"/>
      <c r="U186" s="83"/>
      <c r="V186" s="83"/>
      <c r="W186" s="83"/>
      <c r="X186" s="81"/>
      <c r="Y186" s="83"/>
      <c r="Z186" s="83"/>
      <c r="AA186" s="83"/>
      <c r="AB186" s="119"/>
      <c r="AC186" s="83"/>
      <c r="AD186" s="83"/>
      <c r="AE186" s="83"/>
    </row>
    <row r="187" spans="2:33" ht="12.75" customHeight="1" x14ac:dyDescent="0.2">
      <c r="B187" s="96"/>
      <c r="D187" s="90"/>
      <c r="E187" s="91"/>
      <c r="F187" s="92"/>
      <c r="G187" s="94"/>
      <c r="H187" s="86"/>
      <c r="I187" s="114"/>
      <c r="J187" s="114"/>
      <c r="K187" s="114"/>
      <c r="L187" s="114"/>
      <c r="M187" s="83"/>
      <c r="N187" s="83"/>
      <c r="O187" s="83"/>
      <c r="P187" s="81"/>
      <c r="Q187" s="78"/>
      <c r="R187" s="83"/>
      <c r="S187" s="78"/>
      <c r="T187" s="119"/>
      <c r="U187" s="83"/>
      <c r="V187" s="83"/>
      <c r="W187" s="83"/>
      <c r="X187" s="81"/>
      <c r="Y187" s="83"/>
      <c r="Z187" s="83"/>
      <c r="AA187" s="83"/>
      <c r="AB187" s="119"/>
      <c r="AC187" s="83"/>
      <c r="AD187" s="83"/>
      <c r="AE187" s="83"/>
    </row>
    <row r="188" spans="2:33" ht="12.75" customHeight="1" x14ac:dyDescent="0.2">
      <c r="B188" s="96"/>
      <c r="D188" s="90"/>
      <c r="E188" s="91"/>
      <c r="F188" s="92"/>
      <c r="G188" s="94"/>
      <c r="H188" s="86"/>
      <c r="I188" s="114"/>
      <c r="J188" s="114"/>
      <c r="K188" s="114"/>
      <c r="L188" s="114"/>
      <c r="M188" s="83"/>
      <c r="N188" s="83"/>
      <c r="O188" s="83"/>
      <c r="P188" s="82"/>
      <c r="Q188" s="79"/>
      <c r="R188" s="83"/>
      <c r="S188" s="79"/>
      <c r="T188" s="120"/>
      <c r="U188" s="83"/>
      <c r="V188" s="83"/>
      <c r="W188" s="83"/>
      <c r="X188" s="82"/>
      <c r="Y188" s="83"/>
      <c r="Z188" s="83"/>
      <c r="AA188" s="83"/>
      <c r="AB188" s="120"/>
      <c r="AC188" s="83"/>
      <c r="AD188" s="83"/>
      <c r="AE188" s="83"/>
    </row>
    <row r="189" spans="2:33" ht="12.75" customHeight="1" thickBot="1" x14ac:dyDescent="0.25">
      <c r="B189" s="97"/>
      <c r="D189" s="98"/>
      <c r="E189" s="98"/>
      <c r="F189" s="98"/>
      <c r="G189" s="13"/>
      <c r="H189" s="14"/>
      <c r="I189" s="15" t="s">
        <v>4</v>
      </c>
      <c r="J189" s="15" t="s">
        <v>4</v>
      </c>
      <c r="K189" s="15" t="s">
        <v>26</v>
      </c>
      <c r="L189" s="15" t="s">
        <v>26</v>
      </c>
      <c r="M189" s="15" t="str">
        <f t="shared" ref="M189:N189" si="95">IF(OR(TRIM(M172)=0,TRIM(M172)=""),"",IF(IFERROR(TRIM(INDEX(QryItemNamed,MATCH(TRIM(M172),ITEM,0),3)),"")="LS","",IFERROR(TRIM(INDEX(QryItemNamed,MATCH(TRIM(M172),ITEM,0),3)),"")))</f>
        <v/>
      </c>
      <c r="N189" s="15" t="str">
        <f t="shared" si="95"/>
        <v>SY</v>
      </c>
      <c r="O189" s="15"/>
      <c r="P189" s="15" t="str">
        <f t="shared" ref="P189" si="96">IF(OR(TRIM(P172)=0,TRIM(P172)=""),"",IF(IFERROR(TRIM(INDEX(QryItemNamed,MATCH(TRIM(P172),ITEM,0),3)),"")="LS","",IFERROR(TRIM(INDEX(QryItemNamed,MATCH(TRIM(P172),ITEM,0),3)),"")))</f>
        <v>SY</v>
      </c>
      <c r="Q189" s="15"/>
      <c r="R189" s="15" t="str">
        <f t="shared" ref="R189" si="97">IF(OR(TRIM(R172)=0,TRIM(R172)=""),"",IF(IFERROR(TRIM(INDEX(QryItemNamed,MATCH(TRIM(R172),ITEM,0),3)),"")="LS","",IFERROR(TRIM(INDEX(QryItemNamed,MATCH(TRIM(R172),ITEM,0),3)),"")))</f>
        <v>FT</v>
      </c>
      <c r="S189" s="15"/>
      <c r="T189" s="132"/>
      <c r="U189" s="15" t="str">
        <f t="shared" ref="U189" si="98">IF(OR(TRIM(U172)=0,TRIM(U172)=""),"",IF(IFERROR(TRIM(INDEX(QryItemNamed,MATCH(TRIM(U172),ITEM,0),3)),"")="LS","",IFERROR(TRIM(INDEX(QryItemNamed,MATCH(TRIM(U172),ITEM,0),3)),"")))</f>
        <v>SY</v>
      </c>
      <c r="V189" s="15"/>
      <c r="W189" s="15" t="str">
        <f t="shared" ref="W189:Y189" si="99">IF(OR(TRIM(W172)=0,TRIM(W172)=""),"",IF(IFERROR(TRIM(INDEX(QryItemNamed,MATCH(TRIM(W172),ITEM,0),3)),"")="LS","",IFERROR(TRIM(INDEX(QryItemNamed,MATCH(TRIM(W172),ITEM,0),3)),"")))</f>
        <v>CY</v>
      </c>
      <c r="X189" s="15" t="str">
        <f t="shared" si="99"/>
        <v/>
      </c>
      <c r="Y189" s="15" t="str">
        <f t="shared" si="99"/>
        <v>GAL</v>
      </c>
      <c r="Z189" s="15"/>
      <c r="AA189" s="15" t="str">
        <f t="shared" ref="AA189:AE189" si="100">IF(OR(TRIM(AA172)=0,TRIM(AA172)=""),"",IF(IFERROR(TRIM(INDEX(QryItemNamed,MATCH(TRIM(AA172),ITEM,0),3)),"")="LS","",IFERROR(TRIM(INDEX(QryItemNamed,MATCH(TRIM(AA172),ITEM,0),3)),"")))</f>
        <v>CY</v>
      </c>
      <c r="AB189" s="132"/>
      <c r="AC189" s="15" t="str">
        <f t="shared" si="100"/>
        <v>CY</v>
      </c>
      <c r="AD189" s="15" t="str">
        <f t="shared" si="100"/>
        <v/>
      </c>
      <c r="AE189" s="15" t="str">
        <f t="shared" si="100"/>
        <v/>
      </c>
    </row>
    <row r="190" spans="2:33" ht="12.75" customHeight="1" x14ac:dyDescent="0.2">
      <c r="B190" s="59"/>
      <c r="D190" s="65"/>
      <c r="E190" s="65"/>
      <c r="F190" s="65"/>
      <c r="G190" s="6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133"/>
      <c r="U190" s="67"/>
      <c r="V190" s="67"/>
      <c r="W190" s="67"/>
      <c r="X190" s="67"/>
      <c r="Y190" s="67"/>
      <c r="Z190" s="67"/>
      <c r="AA190" s="67"/>
      <c r="AB190" s="133"/>
      <c r="AC190" s="67"/>
      <c r="AD190" s="67"/>
      <c r="AE190" s="67"/>
      <c r="AG190" s="1">
        <v>1</v>
      </c>
    </row>
    <row r="191" spans="2:33" ht="12.75" customHeight="1" x14ac:dyDescent="0.2">
      <c r="B191" s="39"/>
      <c r="D191" s="106" t="s">
        <v>44</v>
      </c>
      <c r="E191" s="106"/>
      <c r="F191" s="106"/>
      <c r="G191" s="24"/>
      <c r="H191" s="25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134"/>
      <c r="U191" s="21"/>
      <c r="V191" s="21"/>
      <c r="W191" s="21"/>
      <c r="X191" s="21"/>
      <c r="Y191" s="21"/>
      <c r="Z191" s="21"/>
      <c r="AA191" s="21"/>
      <c r="AB191" s="134"/>
      <c r="AC191" s="21"/>
      <c r="AD191" s="21"/>
      <c r="AE191" s="21"/>
      <c r="AG191" s="1">
        <v>2</v>
      </c>
    </row>
    <row r="192" spans="2:33" ht="12.75" customHeight="1" x14ac:dyDescent="0.2">
      <c r="B192" s="39"/>
      <c r="D192" s="22">
        <v>8177.58</v>
      </c>
      <c r="E192" s="17" t="s">
        <v>1</v>
      </c>
      <c r="F192" s="22">
        <v>8188.48</v>
      </c>
      <c r="G192" s="18" t="s">
        <v>29</v>
      </c>
      <c r="H192" s="25" t="s">
        <v>38</v>
      </c>
      <c r="I192" s="21">
        <f t="shared" ref="I192:I194" si="101">IF(D192&lt;&gt;"",F192-D192,"")</f>
        <v>10.899999999999636</v>
      </c>
      <c r="J192" s="21"/>
      <c r="K192" s="21"/>
      <c r="L192" s="21">
        <f>42.0588/9</f>
        <v>4.6731999999999996</v>
      </c>
      <c r="M192" s="21"/>
      <c r="N192" s="21">
        <f t="shared" ref="N192:N195" si="102">IF(L192&gt;0,L192,K192)</f>
        <v>4.6731999999999996</v>
      </c>
      <c r="O192" s="21"/>
      <c r="P192" s="21"/>
      <c r="Q192" s="21"/>
      <c r="R192" s="21">
        <v>15.78</v>
      </c>
      <c r="S192" s="21"/>
      <c r="T192" s="134">
        <f>IF(G192="PAV",9,5)</f>
        <v>9</v>
      </c>
      <c r="U192" s="21">
        <f>IF(L192&gt;0,T192/36*L192,T192/36*K192)</f>
        <v>1.1682999999999999</v>
      </c>
      <c r="V192" s="21"/>
      <c r="W192" s="21">
        <f>IF(L192&gt;0,$W$94/36*L192,$W$94/36*$K192)</f>
        <v>0.7788666666666666</v>
      </c>
      <c r="X192" s="21"/>
      <c r="Y192" s="21">
        <f>IF(L192&gt;0,$Y$94*L192*2,$Y$94*$K192*2)</f>
        <v>0.56078399999999995</v>
      </c>
      <c r="Z192" s="21"/>
      <c r="AA192" s="21">
        <f>IF(L192&gt;0,$AA$94/36*L192,$AA$94/36*$K192)</f>
        <v>0.16226388888888887</v>
      </c>
      <c r="AB192" s="134">
        <v>1.75</v>
      </c>
      <c r="AC192" s="21">
        <f>IF(L192&gt;0,AB192/36*L192,AB192/36*$K192)</f>
        <v>0.22716944444444442</v>
      </c>
      <c r="AD192" s="21"/>
      <c r="AE192" s="21"/>
      <c r="AG192" s="1">
        <v>3</v>
      </c>
    </row>
    <row r="193" spans="2:33" ht="12.75" customHeight="1" x14ac:dyDescent="0.2">
      <c r="B193" s="39"/>
      <c r="D193" s="22">
        <v>8188.48</v>
      </c>
      <c r="E193" s="17" t="s">
        <v>1</v>
      </c>
      <c r="F193" s="22">
        <v>8191.48</v>
      </c>
      <c r="G193" s="18" t="s">
        <v>29</v>
      </c>
      <c r="H193" s="25" t="s">
        <v>38</v>
      </c>
      <c r="I193" s="21">
        <f t="shared" si="101"/>
        <v>3</v>
      </c>
      <c r="J193" s="21">
        <v>3</v>
      </c>
      <c r="K193" s="21">
        <f t="shared" ref="K193:K195" si="103">(I193*J193)/9</f>
        <v>1</v>
      </c>
      <c r="L193" s="21"/>
      <c r="M193" s="21"/>
      <c r="N193" s="21">
        <f t="shared" si="102"/>
        <v>1</v>
      </c>
      <c r="O193" s="21"/>
      <c r="P193" s="21"/>
      <c r="Q193" s="21"/>
      <c r="R193" s="21">
        <v>3</v>
      </c>
      <c r="S193" s="21"/>
      <c r="T193" s="134">
        <f>IF(G193="PAV",9,5)</f>
        <v>9</v>
      </c>
      <c r="U193" s="21">
        <f>IF(L193&gt;0,T193/36*L193,T193/36*K193)</f>
        <v>0.25</v>
      </c>
      <c r="V193" s="21"/>
      <c r="W193" s="21">
        <f>IF(L193&gt;0,$W$94/36*L193,$W$94/36*$K193)</f>
        <v>0.16666666666666666</v>
      </c>
      <c r="X193" s="21"/>
      <c r="Y193" s="21">
        <f>IF(L193&gt;0,$Y$94*L193*2,$Y$94*$K193*2)</f>
        <v>0.12</v>
      </c>
      <c r="Z193" s="21"/>
      <c r="AA193" s="21">
        <f>IF(L193&gt;0,$AA$94/36*L193,$AA$94/36*$K193)</f>
        <v>3.4722222222222224E-2</v>
      </c>
      <c r="AB193" s="134">
        <v>1.75</v>
      </c>
      <c r="AC193" s="21">
        <f>IF(L193&gt;0,AB193/36*L193,AB193/36*$K193)</f>
        <v>4.8611111111111112E-2</v>
      </c>
      <c r="AD193" s="21"/>
      <c r="AE193" s="21"/>
      <c r="AG193" s="1">
        <v>4</v>
      </c>
    </row>
    <row r="194" spans="2:33" ht="12.75" customHeight="1" x14ac:dyDescent="0.2">
      <c r="B194" s="39"/>
      <c r="D194" s="22">
        <v>8191.48</v>
      </c>
      <c r="E194" s="17" t="s">
        <v>1</v>
      </c>
      <c r="F194" s="22">
        <v>8194.5</v>
      </c>
      <c r="G194" s="18" t="s">
        <v>29</v>
      </c>
      <c r="H194" s="25" t="s">
        <v>38</v>
      </c>
      <c r="I194" s="21">
        <f t="shared" si="101"/>
        <v>3.0200000000004366</v>
      </c>
      <c r="J194" s="21">
        <f>9.2887/I194</f>
        <v>3.0757284768207476</v>
      </c>
      <c r="K194" s="21">
        <f t="shared" si="103"/>
        <v>1.0320777777777779</v>
      </c>
      <c r="L194" s="21">
        <f>9.2887/9</f>
        <v>1.0320777777777779</v>
      </c>
      <c r="M194" s="21"/>
      <c r="N194" s="21">
        <f t="shared" si="102"/>
        <v>1.0320777777777779</v>
      </c>
      <c r="O194" s="21"/>
      <c r="P194" s="21"/>
      <c r="Q194" s="21"/>
      <c r="R194" s="21">
        <v>3.02</v>
      </c>
      <c r="S194" s="21"/>
      <c r="T194" s="134">
        <f>IF(G194="PAV",9,5)</f>
        <v>9</v>
      </c>
      <c r="U194" s="21">
        <f>IF(L194&gt;0,T194/36*L194,T194/36*K194)</f>
        <v>0.25801944444444447</v>
      </c>
      <c r="V194" s="21"/>
      <c r="W194" s="21">
        <f>IF(L194&gt;0,$W$94/36*L194,$W$94/36*$K194)</f>
        <v>0.17201296296296298</v>
      </c>
      <c r="X194" s="21"/>
      <c r="Y194" s="21">
        <f>IF(L194&gt;0,$Y$94*L194*2,$Y$94*$K194*2)</f>
        <v>0.12384933333333334</v>
      </c>
      <c r="Z194" s="21"/>
      <c r="AA194" s="21">
        <f>IF(L194&gt;0,$AA$94/36*L194,$AA$94/36*$K194)</f>
        <v>3.583603395061729E-2</v>
      </c>
      <c r="AB194" s="134">
        <v>1.75</v>
      </c>
      <c r="AC194" s="21">
        <f>IF(L194&gt;0,AB194/36*L194,AB194/36*$K194)</f>
        <v>5.01704475308642E-2</v>
      </c>
      <c r="AD194" s="21"/>
      <c r="AE194" s="21"/>
      <c r="AG194" s="1">
        <v>5</v>
      </c>
    </row>
    <row r="195" spans="2:33" ht="12.75" customHeight="1" x14ac:dyDescent="0.2">
      <c r="B195" s="39"/>
      <c r="D195" s="22">
        <v>8177.58</v>
      </c>
      <c r="E195" s="17" t="s">
        <v>1</v>
      </c>
      <c r="F195" s="22">
        <v>8194.5</v>
      </c>
      <c r="G195" s="24" t="s">
        <v>36</v>
      </c>
      <c r="H195" s="25" t="s">
        <v>38</v>
      </c>
      <c r="I195" s="21">
        <f>SUM(I192:I194)</f>
        <v>16.920000000000073</v>
      </c>
      <c r="J195" s="21">
        <v>0.5</v>
      </c>
      <c r="K195" s="21">
        <f t="shared" si="103"/>
        <v>0.94000000000000405</v>
      </c>
      <c r="L195" s="21"/>
      <c r="M195" s="21"/>
      <c r="N195" s="21">
        <f t="shared" si="102"/>
        <v>0.94000000000000405</v>
      </c>
      <c r="O195" s="21"/>
      <c r="P195" s="21"/>
      <c r="Q195" s="21"/>
      <c r="R195" s="21"/>
      <c r="S195" s="21"/>
      <c r="T195" s="134"/>
      <c r="U195" s="21"/>
      <c r="V195" s="21"/>
      <c r="W195" s="21">
        <f>IF(L195&gt;0,$W$94/36*L195,$W$94/36*$K195)</f>
        <v>0.15666666666666734</v>
      </c>
      <c r="X195" s="21"/>
      <c r="Y195" s="21"/>
      <c r="Z195" s="21"/>
      <c r="AA195" s="21"/>
      <c r="AB195" s="134"/>
      <c r="AC195" s="21"/>
      <c r="AD195" s="21"/>
      <c r="AE195" s="21"/>
      <c r="AG195" s="1">
        <v>6</v>
      </c>
    </row>
    <row r="196" spans="2:33" ht="12.75" customHeight="1" x14ac:dyDescent="0.2">
      <c r="B196" s="39"/>
      <c r="D196" s="22"/>
      <c r="E196" s="23"/>
      <c r="F196" s="22"/>
      <c r="G196" s="24"/>
      <c r="H196" s="25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134"/>
      <c r="U196" s="21"/>
      <c r="V196" s="21"/>
      <c r="W196" s="21"/>
      <c r="X196" s="21"/>
      <c r="Y196" s="21"/>
      <c r="Z196" s="21"/>
      <c r="AA196" s="21"/>
      <c r="AB196" s="134"/>
      <c r="AC196" s="21"/>
      <c r="AD196" s="21"/>
      <c r="AE196" s="21"/>
      <c r="AG196" s="1">
        <v>7</v>
      </c>
    </row>
    <row r="197" spans="2:33" ht="12.75" customHeight="1" x14ac:dyDescent="0.2">
      <c r="B197" s="39"/>
      <c r="D197" s="22"/>
      <c r="E197" s="23"/>
      <c r="F197" s="22"/>
      <c r="G197" s="24"/>
      <c r="H197" s="25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134"/>
      <c r="U197" s="21"/>
      <c r="V197" s="21"/>
      <c r="W197" s="21"/>
      <c r="X197" s="21"/>
      <c r="Y197" s="21"/>
      <c r="Z197" s="21"/>
      <c r="AA197" s="21"/>
      <c r="AB197" s="134"/>
      <c r="AC197" s="21"/>
      <c r="AD197" s="21"/>
      <c r="AE197" s="21"/>
      <c r="AG197" s="1">
        <v>8</v>
      </c>
    </row>
    <row r="198" spans="2:33" ht="12.75" customHeight="1" x14ac:dyDescent="0.2">
      <c r="B198" s="39"/>
      <c r="D198" s="22"/>
      <c r="E198" s="23"/>
      <c r="F198" s="22"/>
      <c r="G198" s="24"/>
      <c r="H198" s="25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134"/>
      <c r="U198" s="21"/>
      <c r="V198" s="21"/>
      <c r="W198" s="21"/>
      <c r="X198" s="21"/>
      <c r="Y198" s="21"/>
      <c r="Z198" s="21"/>
      <c r="AA198" s="21"/>
      <c r="AB198" s="134"/>
      <c r="AC198" s="21"/>
      <c r="AD198" s="21"/>
      <c r="AE198" s="21"/>
      <c r="AG198" s="1">
        <v>9</v>
      </c>
    </row>
    <row r="199" spans="2:33" ht="12.75" customHeight="1" x14ac:dyDescent="0.2">
      <c r="B199" s="39"/>
      <c r="D199" s="22"/>
      <c r="E199" s="23"/>
      <c r="F199" s="22"/>
      <c r="G199" s="24"/>
      <c r="H199" s="25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134"/>
      <c r="U199" s="21"/>
      <c r="V199" s="21"/>
      <c r="W199" s="21"/>
      <c r="X199" s="21"/>
      <c r="Y199" s="21"/>
      <c r="Z199" s="21"/>
      <c r="AA199" s="21"/>
      <c r="AB199" s="134"/>
      <c r="AC199" s="21"/>
      <c r="AD199" s="21"/>
      <c r="AE199" s="21"/>
      <c r="AG199" s="1">
        <v>10</v>
      </c>
    </row>
    <row r="200" spans="2:33" ht="12.75" customHeight="1" x14ac:dyDescent="0.2">
      <c r="B200" s="39"/>
      <c r="D200" s="22"/>
      <c r="E200" s="23"/>
      <c r="F200" s="22"/>
      <c r="G200" s="24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134"/>
      <c r="U200" s="21"/>
      <c r="V200" s="21"/>
      <c r="W200" s="21"/>
      <c r="X200" s="21"/>
      <c r="Y200" s="21"/>
      <c r="Z200" s="21"/>
      <c r="AA200" s="21"/>
      <c r="AB200" s="134"/>
      <c r="AC200" s="21"/>
      <c r="AD200" s="21"/>
      <c r="AE200" s="21"/>
      <c r="AG200" s="1">
        <v>11</v>
      </c>
    </row>
    <row r="201" spans="2:33" ht="12.75" customHeight="1" x14ac:dyDescent="0.2">
      <c r="B201" s="39"/>
      <c r="D201" s="22"/>
      <c r="E201" s="23"/>
      <c r="F201" s="22"/>
      <c r="G201" s="24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134"/>
      <c r="U201" s="21"/>
      <c r="V201" s="21"/>
      <c r="W201" s="21"/>
      <c r="X201" s="21"/>
      <c r="Y201" s="21"/>
      <c r="Z201" s="21"/>
      <c r="AA201" s="21"/>
      <c r="AB201" s="134"/>
      <c r="AC201" s="21"/>
      <c r="AD201" s="21"/>
      <c r="AE201" s="21"/>
      <c r="AG201" s="1">
        <v>12</v>
      </c>
    </row>
    <row r="202" spans="2:33" ht="12.75" customHeight="1" x14ac:dyDescent="0.2">
      <c r="B202" s="39"/>
      <c r="D202" s="22"/>
      <c r="E202" s="23"/>
      <c r="F202" s="22"/>
      <c r="G202" s="24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134"/>
      <c r="U202" s="21"/>
      <c r="V202" s="21"/>
      <c r="W202" s="21"/>
      <c r="X202" s="21"/>
      <c r="Y202" s="21"/>
      <c r="Z202" s="21"/>
      <c r="AA202" s="21"/>
      <c r="AB202" s="134"/>
      <c r="AC202" s="21"/>
      <c r="AD202" s="21"/>
      <c r="AE202" s="21"/>
      <c r="AG202" s="1">
        <v>13</v>
      </c>
    </row>
    <row r="203" spans="2:33" ht="12.75" customHeight="1" x14ac:dyDescent="0.2">
      <c r="B203" s="39"/>
      <c r="D203" s="22"/>
      <c r="E203" s="23"/>
      <c r="F203" s="22"/>
      <c r="G203" s="24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134"/>
      <c r="U203" s="21"/>
      <c r="V203" s="21"/>
      <c r="W203" s="21"/>
      <c r="X203" s="21"/>
      <c r="Y203" s="21"/>
      <c r="Z203" s="21"/>
      <c r="AA203" s="21"/>
      <c r="AB203" s="134"/>
      <c r="AC203" s="21"/>
      <c r="AD203" s="21"/>
      <c r="AE203" s="21"/>
      <c r="AG203" s="1">
        <v>14</v>
      </c>
    </row>
    <row r="204" spans="2:33" ht="12.75" customHeight="1" x14ac:dyDescent="0.2">
      <c r="B204" s="39"/>
      <c r="D204" s="22"/>
      <c r="E204" s="23"/>
      <c r="F204" s="22"/>
      <c r="G204" s="24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134"/>
      <c r="U204" s="21"/>
      <c r="V204" s="21"/>
      <c r="W204" s="21"/>
      <c r="X204" s="21"/>
      <c r="Y204" s="21"/>
      <c r="Z204" s="21"/>
      <c r="AA204" s="21"/>
      <c r="AB204" s="134"/>
      <c r="AC204" s="21"/>
      <c r="AD204" s="21"/>
      <c r="AE204" s="21"/>
      <c r="AG204" s="1">
        <v>15</v>
      </c>
    </row>
    <row r="205" spans="2:33" ht="12.75" customHeight="1" x14ac:dyDescent="0.2">
      <c r="B205" s="39"/>
      <c r="D205" s="22"/>
      <c r="E205" s="23"/>
      <c r="F205" s="22"/>
      <c r="G205" s="24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134"/>
      <c r="U205" s="21"/>
      <c r="V205" s="21"/>
      <c r="W205" s="21"/>
      <c r="X205" s="21"/>
      <c r="Y205" s="21"/>
      <c r="Z205" s="21"/>
      <c r="AA205" s="21"/>
      <c r="AB205" s="134"/>
      <c r="AC205" s="21"/>
      <c r="AD205" s="21"/>
      <c r="AE205" s="21"/>
      <c r="AG205" s="1">
        <v>16</v>
      </c>
    </row>
    <row r="206" spans="2:33" ht="12.75" customHeight="1" x14ac:dyDescent="0.2">
      <c r="B206" s="39"/>
      <c r="D206" s="22"/>
      <c r="E206" s="23"/>
      <c r="F206" s="22"/>
      <c r="G206" s="24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134"/>
      <c r="U206" s="21"/>
      <c r="V206" s="21"/>
      <c r="W206" s="21"/>
      <c r="X206" s="21"/>
      <c r="Y206" s="21"/>
      <c r="Z206" s="21"/>
      <c r="AA206" s="21"/>
      <c r="AB206" s="134"/>
      <c r="AC206" s="21"/>
      <c r="AD206" s="21"/>
      <c r="AE206" s="21"/>
      <c r="AG206" s="1">
        <v>17</v>
      </c>
    </row>
    <row r="207" spans="2:33" ht="12.75" customHeight="1" x14ac:dyDescent="0.2">
      <c r="B207" s="39"/>
      <c r="D207" s="22"/>
      <c r="E207" s="23"/>
      <c r="F207" s="22"/>
      <c r="G207" s="24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134"/>
      <c r="U207" s="21"/>
      <c r="V207" s="21"/>
      <c r="W207" s="21"/>
      <c r="X207" s="21"/>
      <c r="Y207" s="21"/>
      <c r="Z207" s="21"/>
      <c r="AA207" s="21"/>
      <c r="AB207" s="134"/>
      <c r="AC207" s="21"/>
      <c r="AD207" s="21"/>
      <c r="AE207" s="21"/>
      <c r="AG207" s="1">
        <v>18</v>
      </c>
    </row>
    <row r="208" spans="2:33" ht="12.75" customHeight="1" x14ac:dyDescent="0.2">
      <c r="B208" s="39"/>
      <c r="D208" s="22"/>
      <c r="E208" s="23"/>
      <c r="F208" s="22"/>
      <c r="G208" s="24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134"/>
      <c r="U208" s="21"/>
      <c r="V208" s="21"/>
      <c r="W208" s="21"/>
      <c r="X208" s="21"/>
      <c r="Y208" s="21"/>
      <c r="Z208" s="21"/>
      <c r="AA208" s="21"/>
      <c r="AB208" s="134"/>
      <c r="AC208" s="21"/>
      <c r="AD208" s="21"/>
      <c r="AE208" s="21"/>
      <c r="AG208" s="1">
        <v>19</v>
      </c>
    </row>
    <row r="209" spans="2:33" ht="12.75" customHeight="1" x14ac:dyDescent="0.2">
      <c r="B209" s="39"/>
      <c r="D209" s="22"/>
      <c r="E209" s="23"/>
      <c r="F209" s="22"/>
      <c r="G209" s="24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134"/>
      <c r="U209" s="21"/>
      <c r="V209" s="21"/>
      <c r="W209" s="21"/>
      <c r="X209" s="21"/>
      <c r="Y209" s="21"/>
      <c r="Z209" s="21"/>
      <c r="AA209" s="21"/>
      <c r="AB209" s="134"/>
      <c r="AC209" s="21"/>
      <c r="AD209" s="21"/>
      <c r="AE209" s="21"/>
      <c r="AG209" s="1">
        <v>20</v>
      </c>
    </row>
    <row r="210" spans="2:33" ht="12.75" customHeight="1" x14ac:dyDescent="0.2">
      <c r="B210" s="39"/>
      <c r="D210" s="22"/>
      <c r="E210" s="23"/>
      <c r="F210" s="22"/>
      <c r="G210" s="24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134"/>
      <c r="U210" s="21"/>
      <c r="V210" s="21"/>
      <c r="W210" s="21"/>
      <c r="X210" s="21"/>
      <c r="Y210" s="21"/>
      <c r="Z210" s="21"/>
      <c r="AA210" s="21"/>
      <c r="AB210" s="134"/>
      <c r="AC210" s="21"/>
      <c r="AD210" s="21"/>
      <c r="AE210" s="21"/>
      <c r="AG210" s="1">
        <v>21</v>
      </c>
    </row>
    <row r="211" spans="2:33" ht="12.75" customHeight="1" x14ac:dyDescent="0.2">
      <c r="B211" s="39"/>
      <c r="D211" s="22"/>
      <c r="E211" s="23"/>
      <c r="F211" s="22"/>
      <c r="G211" s="24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134"/>
      <c r="U211" s="21"/>
      <c r="V211" s="21"/>
      <c r="W211" s="21"/>
      <c r="X211" s="21"/>
      <c r="Y211" s="21"/>
      <c r="Z211" s="21"/>
      <c r="AA211" s="21"/>
      <c r="AB211" s="134"/>
      <c r="AC211" s="21"/>
      <c r="AD211" s="21"/>
      <c r="AE211" s="21"/>
      <c r="AG211" s="1">
        <v>22</v>
      </c>
    </row>
    <row r="212" spans="2:33" ht="12.75" customHeight="1" x14ac:dyDescent="0.2">
      <c r="B212" s="39"/>
      <c r="D212" s="27"/>
      <c r="E212" s="28"/>
      <c r="F212" s="27"/>
      <c r="G212" s="29"/>
      <c r="H212" s="26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134"/>
      <c r="U212" s="21"/>
      <c r="V212" s="21"/>
      <c r="W212" s="21"/>
      <c r="X212" s="21"/>
      <c r="Y212" s="21"/>
      <c r="Z212" s="21"/>
      <c r="AA212" s="21"/>
      <c r="AB212" s="134"/>
      <c r="AC212" s="21"/>
      <c r="AD212" s="21"/>
      <c r="AE212" s="21"/>
      <c r="AG212" s="1">
        <v>23</v>
      </c>
    </row>
    <row r="213" spans="2:33" ht="12.75" customHeight="1" x14ac:dyDescent="0.2">
      <c r="B213" s="39"/>
      <c r="D213" s="22"/>
      <c r="E213" s="23"/>
      <c r="F213" s="22"/>
      <c r="G213" s="24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134"/>
      <c r="U213" s="21"/>
      <c r="V213" s="21"/>
      <c r="W213" s="21"/>
      <c r="X213" s="21"/>
      <c r="Y213" s="21"/>
      <c r="Z213" s="21"/>
      <c r="AA213" s="21"/>
      <c r="AB213" s="134"/>
      <c r="AC213" s="21"/>
      <c r="AD213" s="21"/>
      <c r="AE213" s="21"/>
      <c r="AG213" s="1">
        <v>24</v>
      </c>
    </row>
    <row r="214" spans="2:33" ht="12.75" customHeight="1" x14ac:dyDescent="0.2">
      <c r="B214" s="39"/>
      <c r="D214" s="22"/>
      <c r="E214" s="23"/>
      <c r="F214" s="22"/>
      <c r="G214" s="24"/>
      <c r="H214" s="25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134"/>
      <c r="U214" s="21"/>
      <c r="V214" s="21"/>
      <c r="W214" s="21"/>
      <c r="X214" s="21"/>
      <c r="Y214" s="21"/>
      <c r="Z214" s="21"/>
      <c r="AA214" s="21"/>
      <c r="AB214" s="134"/>
      <c r="AC214" s="21"/>
      <c r="AD214" s="21"/>
      <c r="AE214" s="21"/>
      <c r="AG214" s="1">
        <v>25</v>
      </c>
    </row>
    <row r="215" spans="2:33" ht="12.75" customHeight="1" x14ac:dyDescent="0.2">
      <c r="B215" s="39"/>
      <c r="D215" s="22"/>
      <c r="E215" s="23"/>
      <c r="F215" s="22"/>
      <c r="G215" s="24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134"/>
      <c r="U215" s="21"/>
      <c r="V215" s="21"/>
      <c r="W215" s="21"/>
      <c r="X215" s="21"/>
      <c r="Y215" s="21"/>
      <c r="Z215" s="21"/>
      <c r="AA215" s="21"/>
      <c r="AB215" s="134"/>
      <c r="AC215" s="21"/>
      <c r="AD215" s="21"/>
      <c r="AE215" s="21"/>
      <c r="AG215" s="1">
        <v>26</v>
      </c>
    </row>
    <row r="216" spans="2:33" ht="12.75" customHeight="1" x14ac:dyDescent="0.2">
      <c r="B216" s="39"/>
      <c r="D216" s="22"/>
      <c r="E216" s="23"/>
      <c r="F216" s="22"/>
      <c r="G216" s="24"/>
      <c r="H216" s="25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134"/>
      <c r="U216" s="21"/>
      <c r="V216" s="21"/>
      <c r="W216" s="21"/>
      <c r="X216" s="21"/>
      <c r="Y216" s="21"/>
      <c r="Z216" s="21"/>
      <c r="AA216" s="21"/>
      <c r="AB216" s="134"/>
      <c r="AC216" s="21"/>
      <c r="AD216" s="21"/>
      <c r="AE216" s="21"/>
      <c r="AG216" s="1">
        <v>27</v>
      </c>
    </row>
    <row r="217" spans="2:33" ht="12.75" customHeight="1" x14ac:dyDescent="0.2">
      <c r="B217" s="39"/>
      <c r="D217" s="22"/>
      <c r="E217" s="23"/>
      <c r="F217" s="22"/>
      <c r="G217" s="24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134"/>
      <c r="U217" s="21"/>
      <c r="V217" s="21"/>
      <c r="W217" s="21"/>
      <c r="X217" s="21"/>
      <c r="Y217" s="21"/>
      <c r="Z217" s="21"/>
      <c r="AA217" s="21"/>
      <c r="AB217" s="134"/>
      <c r="AC217" s="21"/>
      <c r="AD217" s="21"/>
      <c r="AE217" s="21"/>
      <c r="AG217" s="1">
        <v>28</v>
      </c>
    </row>
    <row r="218" spans="2:33" ht="12.75" customHeight="1" x14ac:dyDescent="0.2">
      <c r="B218" s="39"/>
      <c r="D218" s="22"/>
      <c r="E218" s="23"/>
      <c r="F218" s="22"/>
      <c r="G218" s="24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134"/>
      <c r="U218" s="21"/>
      <c r="V218" s="21"/>
      <c r="W218" s="21"/>
      <c r="X218" s="21"/>
      <c r="Y218" s="21"/>
      <c r="Z218" s="21"/>
      <c r="AA218" s="21"/>
      <c r="AB218" s="134"/>
      <c r="AC218" s="21"/>
      <c r="AD218" s="21"/>
      <c r="AE218" s="21"/>
      <c r="AG218" s="1">
        <v>29</v>
      </c>
    </row>
    <row r="219" spans="2:33" ht="12.75" customHeight="1" x14ac:dyDescent="0.2">
      <c r="B219" s="39"/>
      <c r="D219" s="22"/>
      <c r="E219" s="23"/>
      <c r="F219" s="22"/>
      <c r="G219" s="24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134"/>
      <c r="U219" s="21"/>
      <c r="V219" s="21"/>
      <c r="W219" s="21"/>
      <c r="X219" s="21"/>
      <c r="Y219" s="21"/>
      <c r="Z219" s="21"/>
      <c r="AA219" s="21"/>
      <c r="AB219" s="134"/>
      <c r="AC219" s="21"/>
      <c r="AD219" s="21"/>
      <c r="AE219" s="21"/>
      <c r="AG219" s="1">
        <v>30</v>
      </c>
    </row>
    <row r="220" spans="2:33" ht="12.75" customHeight="1" x14ac:dyDescent="0.2">
      <c r="B220" s="39"/>
      <c r="D220" s="22"/>
      <c r="E220" s="23"/>
      <c r="F220" s="22"/>
      <c r="G220" s="24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134"/>
      <c r="U220" s="21"/>
      <c r="V220" s="21"/>
      <c r="W220" s="21"/>
      <c r="X220" s="21"/>
      <c r="Y220" s="21"/>
      <c r="Z220" s="21"/>
      <c r="AA220" s="21"/>
      <c r="AB220" s="134"/>
      <c r="AC220" s="21"/>
      <c r="AD220" s="21"/>
      <c r="AE220" s="21"/>
      <c r="AG220" s="1">
        <v>31</v>
      </c>
    </row>
    <row r="221" spans="2:33" ht="12.75" customHeight="1" x14ac:dyDescent="0.2">
      <c r="B221" s="39"/>
      <c r="D221" s="22"/>
      <c r="E221" s="23"/>
      <c r="F221" s="22"/>
      <c r="G221" s="24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134"/>
      <c r="U221" s="21"/>
      <c r="V221" s="21"/>
      <c r="W221" s="21"/>
      <c r="X221" s="21"/>
      <c r="Y221" s="21"/>
      <c r="Z221" s="21"/>
      <c r="AA221" s="21"/>
      <c r="AB221" s="134"/>
      <c r="AC221" s="21"/>
      <c r="AD221" s="21"/>
      <c r="AE221" s="21"/>
      <c r="AG221" s="1">
        <v>32</v>
      </c>
    </row>
    <row r="222" spans="2:33" ht="12.75" customHeight="1" x14ac:dyDescent="0.2">
      <c r="B222" s="39"/>
      <c r="D222" s="22"/>
      <c r="E222" s="23"/>
      <c r="F222" s="22"/>
      <c r="G222" s="24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134"/>
      <c r="U222" s="21"/>
      <c r="V222" s="21"/>
      <c r="W222" s="21"/>
      <c r="X222" s="21"/>
      <c r="Y222" s="21"/>
      <c r="Z222" s="21"/>
      <c r="AA222" s="21"/>
      <c r="AB222" s="134"/>
      <c r="AC222" s="21"/>
      <c r="AD222" s="21"/>
      <c r="AE222" s="21"/>
      <c r="AG222" s="1">
        <v>33</v>
      </c>
    </row>
    <row r="223" spans="2:33" ht="12.75" customHeight="1" x14ac:dyDescent="0.2">
      <c r="B223" s="39"/>
      <c r="D223" s="22"/>
      <c r="E223" s="23"/>
      <c r="F223" s="22"/>
      <c r="G223" s="24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134"/>
      <c r="U223" s="21"/>
      <c r="V223" s="21"/>
      <c r="W223" s="21"/>
      <c r="X223" s="21"/>
      <c r="Y223" s="21"/>
      <c r="Z223" s="21"/>
      <c r="AA223" s="21"/>
      <c r="AB223" s="134"/>
      <c r="AC223" s="21"/>
      <c r="AD223" s="21"/>
      <c r="AE223" s="21"/>
      <c r="AG223" s="1">
        <v>34</v>
      </c>
    </row>
    <row r="224" spans="2:33" ht="12.75" customHeight="1" x14ac:dyDescent="0.2">
      <c r="B224" s="39"/>
      <c r="D224" s="22"/>
      <c r="E224" s="23"/>
      <c r="F224" s="22"/>
      <c r="G224" s="24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134"/>
      <c r="U224" s="21"/>
      <c r="V224" s="21"/>
      <c r="W224" s="21"/>
      <c r="X224" s="21"/>
      <c r="Y224" s="21"/>
      <c r="Z224" s="21"/>
      <c r="AA224" s="21"/>
      <c r="AB224" s="134"/>
      <c r="AC224" s="21"/>
      <c r="AD224" s="21"/>
      <c r="AE224" s="21"/>
      <c r="AG224" s="1">
        <v>35</v>
      </c>
    </row>
    <row r="225" spans="2:33" ht="12.75" customHeight="1" x14ac:dyDescent="0.2">
      <c r="B225" s="39"/>
      <c r="D225" s="22"/>
      <c r="E225" s="23"/>
      <c r="F225" s="22"/>
      <c r="G225" s="24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134"/>
      <c r="U225" s="21"/>
      <c r="V225" s="21"/>
      <c r="W225" s="21"/>
      <c r="X225" s="21"/>
      <c r="Y225" s="21"/>
      <c r="Z225" s="21"/>
      <c r="AA225" s="21"/>
      <c r="AB225" s="134"/>
      <c r="AC225" s="21"/>
      <c r="AD225" s="21"/>
      <c r="AE225" s="21"/>
      <c r="AG225" s="1">
        <v>36</v>
      </c>
    </row>
    <row r="226" spans="2:33" ht="12.75" customHeight="1" x14ac:dyDescent="0.2">
      <c r="B226" s="39"/>
      <c r="D226" s="22"/>
      <c r="E226" s="23"/>
      <c r="F226" s="22"/>
      <c r="G226" s="24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134"/>
      <c r="U226" s="21"/>
      <c r="V226" s="21"/>
      <c r="W226" s="21"/>
      <c r="X226" s="21"/>
      <c r="Y226" s="21"/>
      <c r="Z226" s="21"/>
      <c r="AA226" s="21"/>
      <c r="AB226" s="134"/>
      <c r="AC226" s="21"/>
      <c r="AD226" s="21"/>
      <c r="AE226" s="21"/>
      <c r="AG226" s="1">
        <v>37</v>
      </c>
    </row>
    <row r="227" spans="2:33" ht="12.75" customHeight="1" x14ac:dyDescent="0.2">
      <c r="B227" s="39"/>
      <c r="D227" s="22"/>
      <c r="E227" s="23"/>
      <c r="F227" s="22"/>
      <c r="G227" s="24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134"/>
      <c r="U227" s="21"/>
      <c r="V227" s="21"/>
      <c r="W227" s="21"/>
      <c r="X227" s="21"/>
      <c r="Y227" s="21"/>
      <c r="Z227" s="21"/>
      <c r="AA227" s="21"/>
      <c r="AB227" s="134"/>
      <c r="AC227" s="21"/>
      <c r="AD227" s="21"/>
      <c r="AE227" s="21"/>
      <c r="AG227" s="1">
        <v>38</v>
      </c>
    </row>
    <row r="228" spans="2:33" ht="12.75" customHeight="1" x14ac:dyDescent="0.2">
      <c r="B228" s="39"/>
      <c r="D228" s="22"/>
      <c r="E228" s="23"/>
      <c r="F228" s="22"/>
      <c r="G228" s="24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134"/>
      <c r="U228" s="21"/>
      <c r="V228" s="21"/>
      <c r="W228" s="21"/>
      <c r="X228" s="21"/>
      <c r="Y228" s="21"/>
      <c r="Z228" s="21"/>
      <c r="AA228" s="21"/>
      <c r="AB228" s="134"/>
      <c r="AC228" s="21"/>
      <c r="AD228" s="21"/>
      <c r="AE228" s="21"/>
      <c r="AG228" s="1">
        <v>39</v>
      </c>
    </row>
    <row r="229" spans="2:33" ht="12.75" customHeight="1" x14ac:dyDescent="0.2">
      <c r="B229" s="39"/>
      <c r="D229" s="22"/>
      <c r="E229" s="23"/>
      <c r="F229" s="22"/>
      <c r="G229" s="24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134"/>
      <c r="U229" s="21"/>
      <c r="V229" s="21"/>
      <c r="W229" s="21"/>
      <c r="X229" s="21"/>
      <c r="Y229" s="21"/>
      <c r="Z229" s="21"/>
      <c r="AA229" s="21"/>
      <c r="AB229" s="134"/>
      <c r="AC229" s="21"/>
      <c r="AD229" s="21"/>
      <c r="AE229" s="21"/>
      <c r="AG229" s="1">
        <v>40</v>
      </c>
    </row>
    <row r="230" spans="2:33" ht="12.75" customHeight="1" x14ac:dyDescent="0.2">
      <c r="B230" s="39"/>
      <c r="D230" s="22"/>
      <c r="E230" s="23"/>
      <c r="F230" s="22"/>
      <c r="G230" s="24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134"/>
      <c r="U230" s="21"/>
      <c r="V230" s="21"/>
      <c r="W230" s="21"/>
      <c r="X230" s="21"/>
      <c r="Y230" s="21"/>
      <c r="Z230" s="21"/>
      <c r="AA230" s="21"/>
      <c r="AB230" s="134"/>
      <c r="AC230" s="21"/>
      <c r="AD230" s="21"/>
      <c r="AE230" s="21"/>
      <c r="AG230" s="1">
        <v>41</v>
      </c>
    </row>
    <row r="231" spans="2:33" ht="12.75" customHeight="1" x14ac:dyDescent="0.2">
      <c r="B231" s="39"/>
      <c r="D231" s="22"/>
      <c r="E231" s="23"/>
      <c r="F231" s="22"/>
      <c r="G231" s="24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134"/>
      <c r="U231" s="21"/>
      <c r="V231" s="21"/>
      <c r="W231" s="21"/>
      <c r="X231" s="21"/>
      <c r="Y231" s="21"/>
      <c r="Z231" s="21"/>
      <c r="AA231" s="21"/>
      <c r="AB231" s="134"/>
      <c r="AC231" s="21"/>
      <c r="AD231" s="21"/>
      <c r="AE231" s="21"/>
      <c r="AG231" s="1">
        <v>42</v>
      </c>
    </row>
    <row r="232" spans="2:33" ht="12.75" customHeight="1" x14ac:dyDescent="0.2">
      <c r="B232" s="39"/>
      <c r="D232" s="22"/>
      <c r="E232" s="23"/>
      <c r="F232" s="22"/>
      <c r="G232" s="24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134"/>
      <c r="U232" s="21"/>
      <c r="V232" s="21"/>
      <c r="W232" s="21"/>
      <c r="X232" s="21"/>
      <c r="Y232" s="21"/>
      <c r="Z232" s="21"/>
      <c r="AA232" s="21"/>
      <c r="AB232" s="134"/>
      <c r="AC232" s="21"/>
      <c r="AD232" s="21"/>
      <c r="AE232" s="21"/>
      <c r="AG232" s="1">
        <v>43</v>
      </c>
    </row>
    <row r="233" spans="2:33" ht="12.75" customHeight="1" x14ac:dyDescent="0.2">
      <c r="B233" s="39"/>
      <c r="D233" s="22"/>
      <c r="E233" s="23"/>
      <c r="F233" s="22"/>
      <c r="G233" s="24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134"/>
      <c r="U233" s="21"/>
      <c r="V233" s="21"/>
      <c r="W233" s="21"/>
      <c r="X233" s="21"/>
      <c r="Y233" s="21"/>
      <c r="Z233" s="21"/>
      <c r="AA233" s="21"/>
      <c r="AB233" s="134"/>
      <c r="AC233" s="21"/>
      <c r="AD233" s="21"/>
      <c r="AE233" s="21"/>
      <c r="AG233" s="1">
        <v>44</v>
      </c>
    </row>
    <row r="234" spans="2:33" ht="12.75" customHeight="1" x14ac:dyDescent="0.2">
      <c r="B234" s="39"/>
      <c r="D234" s="22"/>
      <c r="E234" s="23"/>
      <c r="F234" s="22"/>
      <c r="G234" s="24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134"/>
      <c r="U234" s="21"/>
      <c r="V234" s="21"/>
      <c r="W234" s="21"/>
      <c r="X234" s="21"/>
      <c r="Y234" s="21"/>
      <c r="Z234" s="21"/>
      <c r="AA234" s="21"/>
      <c r="AB234" s="134"/>
      <c r="AC234" s="21"/>
      <c r="AD234" s="21"/>
      <c r="AE234" s="21"/>
      <c r="AG234" s="1">
        <v>45</v>
      </c>
    </row>
    <row r="235" spans="2:33" ht="12.75" customHeight="1" x14ac:dyDescent="0.2">
      <c r="B235" s="39"/>
      <c r="D235" s="22"/>
      <c r="E235" s="23"/>
      <c r="F235" s="22"/>
      <c r="G235" s="24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134"/>
      <c r="U235" s="21"/>
      <c r="V235" s="21"/>
      <c r="W235" s="21"/>
      <c r="X235" s="21"/>
      <c r="Y235" s="21"/>
      <c r="Z235" s="21"/>
      <c r="AA235" s="21"/>
      <c r="AB235" s="134"/>
      <c r="AC235" s="21"/>
      <c r="AD235" s="21"/>
      <c r="AE235" s="21"/>
      <c r="AG235" s="1">
        <v>46</v>
      </c>
    </row>
    <row r="236" spans="2:33" ht="12.75" customHeight="1" x14ac:dyDescent="0.2">
      <c r="B236" s="39"/>
      <c r="D236" s="22"/>
      <c r="E236" s="23"/>
      <c r="F236" s="22"/>
      <c r="G236" s="24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134"/>
      <c r="U236" s="21"/>
      <c r="V236" s="21"/>
      <c r="W236" s="21"/>
      <c r="X236" s="21"/>
      <c r="Y236" s="21"/>
      <c r="Z236" s="21"/>
      <c r="AA236" s="21"/>
      <c r="AB236" s="134"/>
      <c r="AC236" s="21"/>
      <c r="AD236" s="21"/>
      <c r="AE236" s="21"/>
      <c r="AG236" s="1">
        <v>47</v>
      </c>
    </row>
    <row r="237" spans="2:33" ht="12.75" customHeight="1" x14ac:dyDescent="0.2">
      <c r="B237" s="39"/>
      <c r="D237" s="22"/>
      <c r="E237" s="23"/>
      <c r="F237" s="22"/>
      <c r="G237" s="24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134"/>
      <c r="U237" s="21"/>
      <c r="V237" s="21"/>
      <c r="W237" s="21"/>
      <c r="X237" s="21"/>
      <c r="Y237" s="21"/>
      <c r="Z237" s="21"/>
      <c r="AA237" s="21"/>
      <c r="AB237" s="134"/>
      <c r="AC237" s="21"/>
      <c r="AD237" s="21"/>
      <c r="AE237" s="21"/>
      <c r="AG237" s="1">
        <v>48</v>
      </c>
    </row>
    <row r="238" spans="2:33" ht="12.75" customHeight="1" x14ac:dyDescent="0.2">
      <c r="B238" s="39"/>
      <c r="D238" s="22"/>
      <c r="E238" s="23"/>
      <c r="F238" s="22"/>
      <c r="G238" s="24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134"/>
      <c r="U238" s="21"/>
      <c r="V238" s="21"/>
      <c r="W238" s="21"/>
      <c r="X238" s="21"/>
      <c r="Y238" s="21"/>
      <c r="Z238" s="21"/>
      <c r="AA238" s="21"/>
      <c r="AB238" s="134"/>
      <c r="AC238" s="21"/>
      <c r="AD238" s="21"/>
      <c r="AE238" s="21"/>
      <c r="AG238" s="1">
        <v>49</v>
      </c>
    </row>
    <row r="239" spans="2:33" ht="12.75" customHeight="1" x14ac:dyDescent="0.2">
      <c r="B239" s="39"/>
      <c r="D239" s="22"/>
      <c r="E239" s="23"/>
      <c r="F239" s="22"/>
      <c r="G239" s="24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134"/>
      <c r="U239" s="21"/>
      <c r="V239" s="21"/>
      <c r="W239" s="21"/>
      <c r="X239" s="21"/>
      <c r="Y239" s="21"/>
      <c r="Z239" s="21"/>
      <c r="AA239" s="21"/>
      <c r="AB239" s="134"/>
      <c r="AC239" s="21"/>
      <c r="AD239" s="21"/>
      <c r="AE239" s="21"/>
      <c r="AG239" s="1">
        <v>50</v>
      </c>
    </row>
    <row r="240" spans="2:33" ht="12.75" customHeight="1" x14ac:dyDescent="0.2">
      <c r="B240" s="39"/>
      <c r="D240" s="22"/>
      <c r="E240" s="23"/>
      <c r="F240" s="22"/>
      <c r="G240" s="24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134"/>
      <c r="U240" s="21"/>
      <c r="V240" s="21"/>
      <c r="W240" s="21"/>
      <c r="X240" s="21"/>
      <c r="Y240" s="21"/>
      <c r="Z240" s="21"/>
      <c r="AA240" s="21"/>
      <c r="AB240" s="134"/>
      <c r="AC240" s="21"/>
      <c r="AD240" s="21"/>
      <c r="AE240" s="21"/>
      <c r="AG240" s="1">
        <v>51</v>
      </c>
    </row>
    <row r="241" spans="2:39" ht="12.75" customHeight="1" x14ac:dyDescent="0.2">
      <c r="B241" s="39"/>
      <c r="D241" s="22"/>
      <c r="E241" s="23"/>
      <c r="F241" s="22"/>
      <c r="G241" s="24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134"/>
      <c r="U241" s="21"/>
      <c r="V241" s="21"/>
      <c r="W241" s="21"/>
      <c r="X241" s="21"/>
      <c r="Y241" s="21"/>
      <c r="Z241" s="21"/>
      <c r="AA241" s="21"/>
      <c r="AB241" s="134"/>
      <c r="AC241" s="21"/>
      <c r="AD241" s="21"/>
      <c r="AE241" s="21"/>
      <c r="AG241" s="1">
        <v>52</v>
      </c>
    </row>
    <row r="242" spans="2:39" ht="12.75" customHeight="1" x14ac:dyDescent="0.2">
      <c r="B242" s="39"/>
      <c r="D242" s="22"/>
      <c r="E242" s="23"/>
      <c r="F242" s="22"/>
      <c r="G242" s="24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134"/>
      <c r="U242" s="21"/>
      <c r="V242" s="21"/>
      <c r="W242" s="21"/>
      <c r="X242" s="21"/>
      <c r="Y242" s="21"/>
      <c r="Z242" s="21"/>
      <c r="AA242" s="21"/>
      <c r="AB242" s="134"/>
      <c r="AC242" s="21"/>
      <c r="AD242" s="21"/>
      <c r="AE242" s="21"/>
      <c r="AG242" s="1">
        <v>53</v>
      </c>
    </row>
    <row r="243" spans="2:39" ht="12.75" customHeight="1" x14ac:dyDescent="0.2">
      <c r="B243" s="39"/>
      <c r="D243" s="22"/>
      <c r="E243" s="23"/>
      <c r="F243" s="22"/>
      <c r="G243" s="24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134"/>
      <c r="U243" s="21"/>
      <c r="V243" s="21"/>
      <c r="W243" s="21"/>
      <c r="X243" s="21"/>
      <c r="Y243" s="21"/>
      <c r="Z243" s="21"/>
      <c r="AA243" s="21"/>
      <c r="AB243" s="134"/>
      <c r="AC243" s="21"/>
      <c r="AD243" s="21"/>
      <c r="AE243" s="21"/>
      <c r="AG243" s="1">
        <v>54</v>
      </c>
    </row>
    <row r="244" spans="2:39" ht="12.75" customHeight="1" x14ac:dyDescent="0.2">
      <c r="B244" s="39"/>
      <c r="D244" s="22"/>
      <c r="E244" s="23"/>
      <c r="F244" s="22"/>
      <c r="G244" s="24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134"/>
      <c r="U244" s="21"/>
      <c r="V244" s="21"/>
      <c r="W244" s="21"/>
      <c r="X244" s="21"/>
      <c r="Y244" s="21"/>
      <c r="Z244" s="21"/>
      <c r="AA244" s="21"/>
      <c r="AB244" s="134"/>
      <c r="AC244" s="21"/>
      <c r="AD244" s="21"/>
      <c r="AE244" s="21"/>
      <c r="AG244" s="1">
        <v>55</v>
      </c>
    </row>
    <row r="245" spans="2:39" ht="12.75" customHeight="1" x14ac:dyDescent="0.2">
      <c r="B245" s="39"/>
      <c r="D245" s="22"/>
      <c r="E245" s="23"/>
      <c r="F245" s="22"/>
      <c r="G245" s="24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134"/>
      <c r="U245" s="21"/>
      <c r="V245" s="21"/>
      <c r="W245" s="21"/>
      <c r="X245" s="21"/>
      <c r="Y245" s="21"/>
      <c r="Z245" s="21"/>
      <c r="AA245" s="21"/>
      <c r="AB245" s="134"/>
      <c r="AC245" s="21"/>
      <c r="AD245" s="21"/>
      <c r="AE245" s="21"/>
      <c r="AG245" s="1">
        <v>56</v>
      </c>
    </row>
    <row r="246" spans="2:39" ht="12.75" customHeight="1" x14ac:dyDescent="0.2">
      <c r="B246" s="39"/>
      <c r="D246" s="22"/>
      <c r="E246" s="23"/>
      <c r="F246" s="22"/>
      <c r="G246" s="24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134"/>
      <c r="U246" s="21"/>
      <c r="V246" s="21"/>
      <c r="W246" s="21"/>
      <c r="X246" s="21"/>
      <c r="Y246" s="21"/>
      <c r="Z246" s="21"/>
      <c r="AA246" s="21"/>
      <c r="AB246" s="134"/>
      <c r="AC246" s="21"/>
      <c r="AD246" s="21"/>
      <c r="AE246" s="21"/>
      <c r="AG246" s="1">
        <v>57</v>
      </c>
    </row>
    <row r="247" spans="2:39" ht="12.75" customHeight="1" x14ac:dyDescent="0.2">
      <c r="B247" s="39"/>
      <c r="D247" s="22"/>
      <c r="E247" s="23"/>
      <c r="F247" s="22"/>
      <c r="G247" s="24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134"/>
      <c r="U247" s="21"/>
      <c r="V247" s="21"/>
      <c r="W247" s="21"/>
      <c r="X247" s="21"/>
      <c r="Y247" s="21"/>
      <c r="Z247" s="21"/>
      <c r="AA247" s="21"/>
      <c r="AB247" s="134"/>
      <c r="AC247" s="21"/>
      <c r="AD247" s="21"/>
      <c r="AE247" s="21"/>
      <c r="AG247" s="1">
        <v>58</v>
      </c>
    </row>
    <row r="248" spans="2:39" ht="12.75" customHeight="1" thickBot="1" x14ac:dyDescent="0.25">
      <c r="B248" s="49"/>
      <c r="D248" s="60"/>
      <c r="E248" s="61"/>
      <c r="F248" s="60"/>
      <c r="G248" s="62"/>
      <c r="H248" s="63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141"/>
      <c r="U248" s="64"/>
      <c r="V248" s="64"/>
      <c r="W248" s="64"/>
      <c r="X248" s="64"/>
      <c r="Y248" s="64"/>
      <c r="Z248" s="64"/>
      <c r="AA248" s="64"/>
      <c r="AB248" s="141"/>
      <c r="AC248" s="64"/>
      <c r="AD248" s="64"/>
      <c r="AE248" s="64"/>
      <c r="AG248" s="1">
        <v>59</v>
      </c>
    </row>
    <row r="249" spans="2:39" ht="12.75" customHeight="1" thickBot="1" x14ac:dyDescent="0.25">
      <c r="D249" s="108" t="s">
        <v>50</v>
      </c>
      <c r="E249" s="108"/>
      <c r="F249" s="108"/>
      <c r="G249" s="108"/>
      <c r="H249" s="108"/>
      <c r="I249" s="108"/>
      <c r="J249" s="108"/>
      <c r="K249" s="108"/>
      <c r="L249" s="108"/>
      <c r="M249" s="57" t="str">
        <f t="shared" ref="M249:AE249" si="104">IF(M$10&gt;0,SUM(M191:M247),"")</f>
        <v/>
      </c>
      <c r="N249" s="57">
        <f t="shared" si="104"/>
        <v>7.6452777777777809</v>
      </c>
      <c r="O249" s="57" t="str">
        <f t="shared" si="104"/>
        <v/>
      </c>
      <c r="P249" s="57"/>
      <c r="Q249" s="57"/>
      <c r="R249" s="57">
        <f t="shared" si="104"/>
        <v>21.8</v>
      </c>
      <c r="S249" s="57"/>
      <c r="T249" s="136" t="str">
        <f t="shared" si="104"/>
        <v/>
      </c>
      <c r="U249" s="57">
        <f t="shared" si="104"/>
        <v>1.6763194444444443</v>
      </c>
      <c r="V249" s="57" t="str">
        <f t="shared" si="104"/>
        <v/>
      </c>
      <c r="W249" s="57">
        <f t="shared" si="104"/>
        <v>1.2742129629629637</v>
      </c>
      <c r="X249" s="57" t="str">
        <f t="shared" si="104"/>
        <v/>
      </c>
      <c r="Y249" s="57">
        <f t="shared" si="104"/>
        <v>0.80463333333333331</v>
      </c>
      <c r="Z249" s="57" t="str">
        <f t="shared" si="104"/>
        <v/>
      </c>
      <c r="AA249" s="57">
        <f t="shared" si="104"/>
        <v>0.23282214506172838</v>
      </c>
      <c r="AB249" s="136"/>
      <c r="AC249" s="57">
        <f t="shared" si="104"/>
        <v>0.32595100308641972</v>
      </c>
      <c r="AD249" s="57" t="str">
        <f t="shared" si="104"/>
        <v/>
      </c>
      <c r="AE249" s="57" t="str">
        <f t="shared" si="104"/>
        <v/>
      </c>
      <c r="AG249" s="1">
        <v>60</v>
      </c>
    </row>
    <row r="250" spans="2:39" ht="12.75" customHeight="1" x14ac:dyDescent="0.2">
      <c r="D250" s="109" t="s">
        <v>51</v>
      </c>
      <c r="E250" s="109"/>
      <c r="F250" s="109"/>
      <c r="G250" s="109"/>
      <c r="H250" s="109"/>
      <c r="I250" s="109"/>
      <c r="J250" s="109"/>
      <c r="K250" s="109"/>
      <c r="L250" s="109"/>
      <c r="M250" s="31" t="str">
        <f>IF(M249&gt;0,M249,"")</f>
        <v/>
      </c>
      <c r="N250" s="31">
        <f>IF(N249&gt;0,ROUNDUP(N249,0),"")</f>
        <v>8</v>
      </c>
      <c r="O250" s="31" t="str">
        <f t="shared" ref="O250:AE250" si="105">IF(O249&gt;0,O249,"")</f>
        <v/>
      </c>
      <c r="P250" s="31" t="str">
        <f>IF(P249&gt;0,ROUNDUP(P249,0),"")</f>
        <v/>
      </c>
      <c r="Q250" s="31"/>
      <c r="R250" s="31">
        <f>IF(R249&gt;0,ROUNDUP(R249,0),"")</f>
        <v>22</v>
      </c>
      <c r="S250" s="31"/>
      <c r="T250" s="137" t="str">
        <f t="shared" si="105"/>
        <v/>
      </c>
      <c r="U250" s="31">
        <f>IF(U249&gt;0,ROUNDUP(U249,0),"")</f>
        <v>2</v>
      </c>
      <c r="V250" s="31" t="str">
        <f t="shared" si="105"/>
        <v/>
      </c>
      <c r="W250" s="31">
        <f>IF(W249&gt;0,ROUNDUP(W249,0),"")</f>
        <v>2</v>
      </c>
      <c r="X250" s="31" t="str">
        <f t="shared" si="105"/>
        <v/>
      </c>
      <c r="Y250" s="31">
        <f>IF(Y249&gt;0,ROUNDUP(Y249,0),"")</f>
        <v>1</v>
      </c>
      <c r="Z250" s="31" t="str">
        <f t="shared" si="105"/>
        <v/>
      </c>
      <c r="AA250" s="31">
        <f>IF(AA249&gt;0,ROUNDUP(AA249,0),"")</f>
        <v>1</v>
      </c>
      <c r="AB250" s="137"/>
      <c r="AC250" s="31">
        <f>IF(AC249&gt;0,ROUNDUP(AC249,0),"")</f>
        <v>1</v>
      </c>
      <c r="AD250" s="31" t="str">
        <f t="shared" si="105"/>
        <v/>
      </c>
      <c r="AE250" s="31" t="str">
        <f t="shared" si="105"/>
        <v/>
      </c>
      <c r="AG250" s="1">
        <v>61</v>
      </c>
    </row>
    <row r="251" spans="2:39" ht="12.75" customHeight="1" thickBot="1" x14ac:dyDescent="0.25"/>
    <row r="252" spans="2:39" ht="12.75" customHeight="1" thickBot="1" x14ac:dyDescent="0.25">
      <c r="B252" s="36" t="s">
        <v>16</v>
      </c>
      <c r="D252" s="84">
        <f>D171+1</f>
        <v>4</v>
      </c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G252" s="33">
        <v>4</v>
      </c>
      <c r="AH252" s="34" t="s">
        <v>12</v>
      </c>
      <c r="AI252" s="9"/>
      <c r="AJ252" s="9"/>
      <c r="AK252" s="9"/>
      <c r="AL252" s="9"/>
      <c r="AM252" s="9"/>
    </row>
    <row r="253" spans="2:39" ht="12.75" customHeight="1" thickBot="1" x14ac:dyDescent="0.25">
      <c r="B253" s="37"/>
      <c r="D253" s="4"/>
      <c r="E253" s="4"/>
      <c r="F253" s="4"/>
      <c r="G253" s="4"/>
      <c r="H253" s="4"/>
      <c r="I253" s="5"/>
      <c r="J253" s="5"/>
      <c r="K253" s="5"/>
      <c r="L253" s="6" t="s">
        <v>14</v>
      </c>
      <c r="M253" s="35"/>
      <c r="N253" s="35" t="s">
        <v>27</v>
      </c>
      <c r="O253" s="35"/>
      <c r="P253" s="35" t="s">
        <v>58</v>
      </c>
      <c r="Q253" s="35"/>
      <c r="R253" s="35" t="s">
        <v>33</v>
      </c>
      <c r="S253" s="35"/>
      <c r="T253" s="127"/>
      <c r="U253" s="35" t="s">
        <v>54</v>
      </c>
      <c r="V253" s="35"/>
      <c r="W253" s="35" t="s">
        <v>28</v>
      </c>
      <c r="X253" s="35"/>
      <c r="Y253" s="35" t="s">
        <v>32</v>
      </c>
      <c r="Z253" s="35"/>
      <c r="AA253" s="35" t="s">
        <v>52</v>
      </c>
      <c r="AB253" s="127"/>
      <c r="AC253" s="35" t="s">
        <v>34</v>
      </c>
      <c r="AD253" s="35"/>
      <c r="AE253" s="35"/>
    </row>
    <row r="254" spans="2:39" ht="12.75" customHeight="1" x14ac:dyDescent="0.2">
      <c r="D254" s="4"/>
      <c r="E254" s="4"/>
      <c r="F254" s="4"/>
      <c r="G254" s="4"/>
      <c r="H254" s="4"/>
      <c r="I254" s="5"/>
      <c r="J254" s="5"/>
      <c r="K254" s="5"/>
      <c r="L254" s="6" t="s">
        <v>15</v>
      </c>
      <c r="M254" s="8"/>
      <c r="N254" s="8"/>
      <c r="O254" s="8"/>
      <c r="P254" s="8"/>
      <c r="Q254" s="8"/>
      <c r="R254" s="8"/>
      <c r="S254" s="8"/>
      <c r="T254" s="128"/>
      <c r="U254" s="8"/>
      <c r="V254" s="8"/>
      <c r="W254" s="8"/>
      <c r="X254" s="8"/>
      <c r="Y254" s="8"/>
      <c r="Z254" s="8"/>
      <c r="AA254" s="8" t="s">
        <v>53</v>
      </c>
      <c r="AB254" s="128"/>
      <c r="AC254" s="8"/>
      <c r="AD254" s="8"/>
      <c r="AE254" s="8"/>
    </row>
    <row r="255" spans="2:39" ht="12.75" customHeight="1" x14ac:dyDescent="0.2">
      <c r="D255" s="9"/>
      <c r="E255" s="9"/>
      <c r="F255" s="9"/>
      <c r="G255" s="10"/>
      <c r="H255" s="5"/>
      <c r="I255" s="4"/>
      <c r="J255" s="5"/>
      <c r="K255" s="5"/>
      <c r="L255" s="6" t="s">
        <v>5</v>
      </c>
      <c r="M255" s="7"/>
      <c r="N255" s="7">
        <v>9</v>
      </c>
      <c r="O255" s="7"/>
      <c r="P255" s="7"/>
      <c r="Q255" s="7"/>
      <c r="R255" s="7"/>
      <c r="S255" s="7"/>
      <c r="T255" s="129"/>
      <c r="U255" s="7">
        <v>7</v>
      </c>
      <c r="V255" s="7"/>
      <c r="W255" s="7">
        <v>8</v>
      </c>
      <c r="X255" s="7"/>
      <c r="Y255" s="7">
        <v>2</v>
      </c>
      <c r="Z255" s="7"/>
      <c r="AA255" s="7">
        <v>1</v>
      </c>
      <c r="AB255" s="129"/>
      <c r="AC255" s="7">
        <v>3</v>
      </c>
      <c r="AD255" s="7"/>
      <c r="AE255" s="7"/>
    </row>
    <row r="256" spans="2:39" ht="12.75" customHeight="1" thickBot="1" x14ac:dyDescent="0.25">
      <c r="D256" s="9"/>
      <c r="E256" s="9"/>
      <c r="F256" s="9"/>
      <c r="G256" s="10"/>
      <c r="H256" s="5"/>
      <c r="I256" s="4"/>
      <c r="J256" s="5"/>
      <c r="K256" s="5"/>
      <c r="L256" s="6" t="s">
        <v>6</v>
      </c>
      <c r="M256" s="11"/>
      <c r="N256" s="11"/>
      <c r="O256" s="11"/>
      <c r="P256" s="11"/>
      <c r="Q256" s="11"/>
      <c r="R256" s="11"/>
      <c r="S256" s="11"/>
      <c r="T256" s="130"/>
      <c r="U256" s="11">
        <v>9</v>
      </c>
      <c r="V256" s="11"/>
      <c r="W256" s="11">
        <v>6</v>
      </c>
      <c r="X256" s="11"/>
      <c r="Y256" s="11">
        <v>0.06</v>
      </c>
      <c r="Z256" s="11"/>
      <c r="AA256" s="11">
        <v>1.25</v>
      </c>
      <c r="AB256" s="130"/>
      <c r="AC256" s="11" t="s">
        <v>37</v>
      </c>
      <c r="AD256" s="11"/>
      <c r="AE256" s="11"/>
    </row>
    <row r="257" spans="2:33" ht="12.75" customHeight="1" x14ac:dyDescent="0.2">
      <c r="B257" s="95" t="s">
        <v>17</v>
      </c>
      <c r="D257" s="87" t="s">
        <v>2</v>
      </c>
      <c r="E257" s="88"/>
      <c r="F257" s="89"/>
      <c r="G257" s="93" t="s">
        <v>7</v>
      </c>
      <c r="H257" s="85" t="s">
        <v>0</v>
      </c>
      <c r="I257" s="85" t="s">
        <v>8</v>
      </c>
      <c r="J257" s="85" t="s">
        <v>9</v>
      </c>
      <c r="K257" s="85" t="s">
        <v>13</v>
      </c>
      <c r="L257" s="85" t="s">
        <v>3</v>
      </c>
      <c r="M257" s="12" t="str">
        <f t="shared" ref="M257:N257" si="106">IF(OR(TRIM(M253)=0,TRIM(M253)=""),"",IF(IFERROR(TRIM(INDEX(QryItemNamed,MATCH(TRIM(M253),ITEM,0),2)),"")="Y","SPECIAL",LEFT(IFERROR(TRIM(INDEX(ITEM,MATCH(TRIM(M253),ITEM,0))),""),3)))</f>
        <v/>
      </c>
      <c r="N257" s="12" t="str">
        <f t="shared" si="106"/>
        <v>204</v>
      </c>
      <c r="O257" s="12"/>
      <c r="P257" s="12" t="str">
        <f t="shared" ref="P257" si="107">IF(OR(TRIM(P253)=0,TRIM(P253)=""),"",IF(IFERROR(TRIM(INDEX(QryItemNamed,MATCH(TRIM(P253),ITEM,0),2)),"")="Y","SPECIAL",LEFT(IFERROR(TRIM(INDEX(ITEM,MATCH(TRIM(P253),ITEM,0))),""),3)))</f>
        <v>254</v>
      </c>
      <c r="Q257" s="12"/>
      <c r="R257" s="12" t="str">
        <f t="shared" ref="R257" si="108">IF(OR(TRIM(R253)=0,TRIM(R253)=""),"",IF(IFERROR(TRIM(INDEX(QryItemNamed,MATCH(TRIM(R253),ITEM,0),2)),"")="Y","SPECIAL",LEFT(IFERROR(TRIM(INDEX(ITEM,MATCH(TRIM(R253),ITEM,0))),""),3)))</f>
        <v>255</v>
      </c>
      <c r="S257" s="12"/>
      <c r="T257" s="131"/>
      <c r="U257" s="12" t="str">
        <f t="shared" ref="U257" si="109">IF(OR(TRIM(U253)=0,TRIM(U253)=""),"",IF(IFERROR(TRIM(INDEX(QryItemNamed,MATCH(TRIM(U253),ITEM,0),2)),"")="Y","SPECIAL",LEFT(IFERROR(TRIM(INDEX(ITEM,MATCH(TRIM(U253),ITEM,0))),""),3)))</f>
        <v>305</v>
      </c>
      <c r="V257" s="12"/>
      <c r="W257" s="12" t="str">
        <f t="shared" ref="W257:Y257" si="110">IF(OR(TRIM(W253)=0,TRIM(W253)=""),"",IF(IFERROR(TRIM(INDEX(QryItemNamed,MATCH(TRIM(W253),ITEM,0),2)),"")="Y","SPECIAL",LEFT(IFERROR(TRIM(INDEX(ITEM,MATCH(TRIM(W253),ITEM,0))),""),3)))</f>
        <v>304</v>
      </c>
      <c r="X257" s="12" t="str">
        <f t="shared" si="110"/>
        <v/>
      </c>
      <c r="Y257" s="12" t="str">
        <f t="shared" si="110"/>
        <v>407</v>
      </c>
      <c r="Z257" s="12"/>
      <c r="AA257" s="12" t="str">
        <f t="shared" ref="AA257:AE257" si="111">IF(OR(TRIM(AA253)=0,TRIM(AA253)=""),"",IF(IFERROR(TRIM(INDEX(QryItemNamed,MATCH(TRIM(AA253),ITEM,0),2)),"")="Y","SPECIAL",LEFT(IFERROR(TRIM(INDEX(ITEM,MATCH(TRIM(AA253),ITEM,0))),""),3)))</f>
        <v>441</v>
      </c>
      <c r="AB257" s="131"/>
      <c r="AC257" s="12" t="str">
        <f t="shared" si="111"/>
        <v>441</v>
      </c>
      <c r="AD257" s="12" t="str">
        <f t="shared" si="111"/>
        <v/>
      </c>
      <c r="AE257" s="12" t="str">
        <f t="shared" si="111"/>
        <v/>
      </c>
    </row>
    <row r="258" spans="2:33" ht="12.75" customHeight="1" x14ac:dyDescent="0.2">
      <c r="B258" s="96"/>
      <c r="D258" s="90"/>
      <c r="E258" s="91"/>
      <c r="F258" s="92"/>
      <c r="G258" s="94"/>
      <c r="H258" s="86"/>
      <c r="I258" s="86"/>
      <c r="J258" s="86"/>
      <c r="K258" s="86"/>
      <c r="L258" s="86"/>
      <c r="M258" s="80" t="str">
        <f t="shared" ref="M258:N258" si="112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80" t="str">
        <f t="shared" si="112"/>
        <v>SUBGRADE COMPACTION</v>
      </c>
      <c r="O258" s="44"/>
      <c r="P258" s="80" t="str">
        <f t="shared" ref="P258" si="113">IF(OR(TRIM(P253)=0,TRIM(P253)=""),IF(P254="","",P254),IF(IFERROR(TRIM(INDEX(QryItemNamed,MATCH(TRIM(P253),ITEM,0),2)),"")="Y",TRIM(RIGHT(IFERROR(TRIM(INDEX(QryItemNamed,MATCH(TRIM(P253),ITEM,0),4)),"123456789012"),LEN(IFERROR(TRIM(INDEX(QryItemNamed,MATCH(TRIM(P253),ITEM,0),4)),"123456789012"))-9))&amp;P254,IFERROR(TRIM(INDEX(QryItemNamed,MATCH(TRIM(P253),ITEM,0),4))&amp;P254,"ITEM CODE DOES NOT EXIST IN ITEM MASTER")))</f>
        <v>PAVEMENT PLANING, ASPHALT CONCRETE</v>
      </c>
      <c r="Q258" s="77"/>
      <c r="R258" s="80" t="str">
        <f t="shared" ref="R258" si="114">IF(OR(TRIM(R253)=0,TRIM(R253)=""),IF(R254="","",R254),IF(IFERROR(TRIM(INDEX(QryItemNamed,MATCH(TRIM(R253),ITEM,0),2)),"")="Y",TRIM(RIGHT(IFERROR(TRIM(INDEX(QryItemNamed,MATCH(TRIM(R253),ITEM,0),4)),"123456789012"),LEN(IFERROR(TRIM(INDEX(QryItemNamed,MATCH(TRIM(R253),ITEM,0),4)),"123456789012"))-9))&amp;R254,IFERROR(TRIM(INDEX(QryItemNamed,MATCH(TRIM(R253),ITEM,0),4))&amp;R254,"ITEM CODE DOES NOT EXIST IN ITEM MASTER")))</f>
        <v>FULL DEPTH PAVEMENT SAWING</v>
      </c>
      <c r="S258" s="77"/>
      <c r="T258" s="121"/>
      <c r="U258" s="80" t="str">
        <f t="shared" ref="U258" si="115">IF(OR(TRIM(U253)=0,TRIM(U253)=""),IF(U254="","",U254),IF(IFERROR(TRIM(INDEX(QryItemNamed,MATCH(TRIM(U253),ITEM,0),2)),"")="Y",TRIM(RIGHT(IFERROR(TRIM(INDEX(QryItemNamed,MATCH(TRIM(U253),ITEM,0),4)),"123456789012"),LEN(IFERROR(TRIM(INDEX(QryItemNamed,MATCH(TRIM(U253),ITEM,0),4)),"123456789012"))-9))&amp;U254,IFERROR(TRIM(INDEX(QryItemNamed,MATCH(TRIM(U253),ITEM,0),4))&amp;U254,"ITEM CODE DOES NOT EXIST IN ITEM MASTER")))</f>
        <v>9" CONCRETE BASE, CLASS QC1, AS PER PLAN</v>
      </c>
      <c r="V258" s="44"/>
      <c r="W258" s="80" t="str">
        <f t="shared" ref="W258:Y258" si="116">IF(OR(TRIM(W253)=0,TRIM(W253)=""),IF(W254="","",W254),IF(IFERROR(TRIM(INDEX(QryItemNamed,MATCH(TRIM(W253),ITEM,0),2)),"")="Y",TRIM(RIGHT(IFERROR(TRIM(INDEX(QryItemNamed,MATCH(TRIM(W253),ITEM,0),4)),"123456789012"),LEN(IFERROR(TRIM(INDEX(QryItemNamed,MATCH(TRIM(W253),ITEM,0),4)),"123456789012"))-9))&amp;W254,IFERROR(TRIM(INDEX(QryItemNamed,MATCH(TRIM(W253),ITEM,0),4))&amp;W254,"ITEM CODE DOES NOT EXIST IN ITEM MASTER")))</f>
        <v>AGGREGATE BASE</v>
      </c>
      <c r="X258" s="80" t="str">
        <f t="shared" si="116"/>
        <v/>
      </c>
      <c r="Y258" s="80" t="str">
        <f t="shared" si="116"/>
        <v>TACK COAT</v>
      </c>
      <c r="Z258" s="44"/>
      <c r="AA258" s="80" t="str">
        <f t="shared" ref="AA258:AE258" si="117">IF(OR(TRIM(AA253)=0,TRIM(AA253)=""),IF(AA254="","",AA254),IF(IFERROR(TRIM(INDEX(QryItemNamed,MATCH(TRIM(AA253),ITEM,0),2)),"")="Y",TRIM(RIGHT(IFERROR(TRIM(INDEX(QryItemNamed,MATCH(TRIM(AA253),ITEM,0),4)),"123456789012"),LEN(IFERROR(TRIM(INDEX(QryItemNamed,MATCH(TRIM(AA253),ITEM,0),4)),"123456789012"))-9))&amp;AA254,IFERROR(TRIM(INDEX(QryItemNamed,MATCH(TRIM(AA253),ITEM,0),4))&amp;AA254,"ITEM CODE DOES NOT EXIST IN ITEM MASTER")))</f>
        <v>ASPHALT CONCRETE SURFACE COURSE, TYPE 1, (448), AS PER PLAN, PG64-22</v>
      </c>
      <c r="AB258" s="121"/>
      <c r="AC258" s="80" t="str">
        <f t="shared" si="117"/>
        <v>ASPHALT CONCRETE INTERMEDIATE COURSE, TYPE 2, (448)</v>
      </c>
      <c r="AD258" s="80" t="str">
        <f t="shared" si="117"/>
        <v/>
      </c>
      <c r="AE258" s="80" t="str">
        <f t="shared" si="117"/>
        <v/>
      </c>
    </row>
    <row r="259" spans="2:33" ht="12.75" customHeight="1" x14ac:dyDescent="0.2">
      <c r="B259" s="96"/>
      <c r="D259" s="90"/>
      <c r="E259" s="91"/>
      <c r="F259" s="92"/>
      <c r="G259" s="94"/>
      <c r="H259" s="86"/>
      <c r="I259" s="86"/>
      <c r="J259" s="86"/>
      <c r="K259" s="86"/>
      <c r="L259" s="86"/>
      <c r="M259" s="81"/>
      <c r="N259" s="81"/>
      <c r="O259" s="45"/>
      <c r="P259" s="81"/>
      <c r="Q259" s="78"/>
      <c r="R259" s="81"/>
      <c r="S259" s="78"/>
      <c r="T259" s="122"/>
      <c r="U259" s="81"/>
      <c r="V259" s="45"/>
      <c r="W259" s="81"/>
      <c r="X259" s="81"/>
      <c r="Y259" s="81"/>
      <c r="Z259" s="45"/>
      <c r="AA259" s="81"/>
      <c r="AB259" s="122"/>
      <c r="AC259" s="81"/>
      <c r="AD259" s="81"/>
      <c r="AE259" s="81"/>
    </row>
    <row r="260" spans="2:33" ht="12.75" customHeight="1" x14ac:dyDescent="0.2">
      <c r="B260" s="96"/>
      <c r="D260" s="90"/>
      <c r="E260" s="91"/>
      <c r="F260" s="92"/>
      <c r="G260" s="94"/>
      <c r="H260" s="86"/>
      <c r="I260" s="86"/>
      <c r="J260" s="86"/>
      <c r="K260" s="86"/>
      <c r="L260" s="86"/>
      <c r="M260" s="81"/>
      <c r="N260" s="81"/>
      <c r="O260" s="45"/>
      <c r="P260" s="81"/>
      <c r="Q260" s="78"/>
      <c r="R260" s="81"/>
      <c r="S260" s="78"/>
      <c r="T260" s="122"/>
      <c r="U260" s="81"/>
      <c r="V260" s="45"/>
      <c r="W260" s="81"/>
      <c r="X260" s="81"/>
      <c r="Y260" s="81"/>
      <c r="Z260" s="45"/>
      <c r="AA260" s="81"/>
      <c r="AB260" s="122"/>
      <c r="AC260" s="81"/>
      <c r="AD260" s="81"/>
      <c r="AE260" s="81"/>
    </row>
    <row r="261" spans="2:33" ht="12.75" customHeight="1" x14ac:dyDescent="0.2">
      <c r="B261" s="96"/>
      <c r="D261" s="90"/>
      <c r="E261" s="91"/>
      <c r="F261" s="92"/>
      <c r="G261" s="94"/>
      <c r="H261" s="86"/>
      <c r="I261" s="86"/>
      <c r="J261" s="86"/>
      <c r="K261" s="86"/>
      <c r="L261" s="86"/>
      <c r="M261" s="81"/>
      <c r="N261" s="81"/>
      <c r="O261" s="45"/>
      <c r="P261" s="81"/>
      <c r="Q261" s="78"/>
      <c r="R261" s="81"/>
      <c r="S261" s="78"/>
      <c r="T261" s="122"/>
      <c r="U261" s="81"/>
      <c r="V261" s="45"/>
      <c r="W261" s="81"/>
      <c r="X261" s="81"/>
      <c r="Y261" s="81"/>
      <c r="Z261" s="45"/>
      <c r="AA261" s="81"/>
      <c r="AB261" s="122"/>
      <c r="AC261" s="81"/>
      <c r="AD261" s="81"/>
      <c r="AE261" s="81"/>
    </row>
    <row r="262" spans="2:33" ht="12.75" customHeight="1" x14ac:dyDescent="0.2">
      <c r="B262" s="96"/>
      <c r="D262" s="90"/>
      <c r="E262" s="91"/>
      <c r="F262" s="92"/>
      <c r="G262" s="94"/>
      <c r="H262" s="86"/>
      <c r="I262" s="86"/>
      <c r="J262" s="86"/>
      <c r="K262" s="86"/>
      <c r="L262" s="86"/>
      <c r="M262" s="81"/>
      <c r="N262" s="81"/>
      <c r="O262" s="45"/>
      <c r="P262" s="81"/>
      <c r="Q262" s="78"/>
      <c r="R262" s="81"/>
      <c r="S262" s="78"/>
      <c r="T262" s="122"/>
      <c r="U262" s="81"/>
      <c r="V262" s="45"/>
      <c r="W262" s="81"/>
      <c r="X262" s="81"/>
      <c r="Y262" s="81"/>
      <c r="Z262" s="45"/>
      <c r="AA262" s="81"/>
      <c r="AB262" s="122"/>
      <c r="AC262" s="81"/>
      <c r="AD262" s="81"/>
      <c r="AE262" s="81"/>
    </row>
    <row r="263" spans="2:33" ht="12.75" customHeight="1" x14ac:dyDescent="0.2">
      <c r="B263" s="96"/>
      <c r="D263" s="90"/>
      <c r="E263" s="91"/>
      <c r="F263" s="92"/>
      <c r="G263" s="94"/>
      <c r="H263" s="86"/>
      <c r="I263" s="86"/>
      <c r="J263" s="86"/>
      <c r="K263" s="86"/>
      <c r="L263" s="86"/>
      <c r="M263" s="81"/>
      <c r="N263" s="81"/>
      <c r="O263" s="45"/>
      <c r="P263" s="81"/>
      <c r="Q263" s="78"/>
      <c r="R263" s="81"/>
      <c r="S263" s="78"/>
      <c r="T263" s="122"/>
      <c r="U263" s="81"/>
      <c r="V263" s="45"/>
      <c r="W263" s="81"/>
      <c r="X263" s="81"/>
      <c r="Y263" s="81"/>
      <c r="Z263" s="45"/>
      <c r="AA263" s="81"/>
      <c r="AB263" s="122"/>
      <c r="AC263" s="81"/>
      <c r="AD263" s="81"/>
      <c r="AE263" s="81"/>
    </row>
    <row r="264" spans="2:33" ht="12.75" customHeight="1" x14ac:dyDescent="0.2">
      <c r="B264" s="96"/>
      <c r="D264" s="90"/>
      <c r="E264" s="91"/>
      <c r="F264" s="92"/>
      <c r="G264" s="94"/>
      <c r="H264" s="86"/>
      <c r="I264" s="86"/>
      <c r="J264" s="86"/>
      <c r="K264" s="86"/>
      <c r="L264" s="86"/>
      <c r="M264" s="81"/>
      <c r="N264" s="81"/>
      <c r="O264" s="45"/>
      <c r="P264" s="81"/>
      <c r="Q264" s="78"/>
      <c r="R264" s="81"/>
      <c r="S264" s="78"/>
      <c r="T264" s="122"/>
      <c r="U264" s="81"/>
      <c r="V264" s="45"/>
      <c r="W264" s="81"/>
      <c r="X264" s="81"/>
      <c r="Y264" s="81"/>
      <c r="Z264" s="45"/>
      <c r="AA264" s="81"/>
      <c r="AB264" s="122"/>
      <c r="AC264" s="81"/>
      <c r="AD264" s="81"/>
      <c r="AE264" s="81"/>
    </row>
    <row r="265" spans="2:33" ht="12.75" customHeight="1" x14ac:dyDescent="0.2">
      <c r="B265" s="96"/>
      <c r="D265" s="90"/>
      <c r="E265" s="91"/>
      <c r="F265" s="92"/>
      <c r="G265" s="94"/>
      <c r="H265" s="86"/>
      <c r="I265" s="86"/>
      <c r="J265" s="86"/>
      <c r="K265" s="86"/>
      <c r="L265" s="86"/>
      <c r="M265" s="81"/>
      <c r="N265" s="81"/>
      <c r="O265" s="45"/>
      <c r="P265" s="81"/>
      <c r="Q265" s="78"/>
      <c r="R265" s="81"/>
      <c r="S265" s="78"/>
      <c r="T265" s="122"/>
      <c r="U265" s="81"/>
      <c r="V265" s="45"/>
      <c r="W265" s="81"/>
      <c r="X265" s="81"/>
      <c r="Y265" s="81"/>
      <c r="Z265" s="45"/>
      <c r="AA265" s="81"/>
      <c r="AB265" s="122"/>
      <c r="AC265" s="81"/>
      <c r="AD265" s="81"/>
      <c r="AE265" s="81"/>
    </row>
    <row r="266" spans="2:33" ht="12.75" customHeight="1" x14ac:dyDescent="0.2">
      <c r="B266" s="96"/>
      <c r="D266" s="90"/>
      <c r="E266" s="91"/>
      <c r="F266" s="92"/>
      <c r="G266" s="94"/>
      <c r="H266" s="86"/>
      <c r="I266" s="86"/>
      <c r="J266" s="86"/>
      <c r="K266" s="86"/>
      <c r="L266" s="86"/>
      <c r="M266" s="81"/>
      <c r="N266" s="81"/>
      <c r="O266" s="45"/>
      <c r="P266" s="81"/>
      <c r="Q266" s="78"/>
      <c r="R266" s="81"/>
      <c r="S266" s="78"/>
      <c r="T266" s="122"/>
      <c r="U266" s="81"/>
      <c r="V266" s="45"/>
      <c r="W266" s="81"/>
      <c r="X266" s="81"/>
      <c r="Y266" s="81"/>
      <c r="Z266" s="45"/>
      <c r="AA266" s="81"/>
      <c r="AB266" s="122"/>
      <c r="AC266" s="81"/>
      <c r="AD266" s="81"/>
      <c r="AE266" s="81"/>
    </row>
    <row r="267" spans="2:33" ht="12.75" customHeight="1" x14ac:dyDescent="0.2">
      <c r="B267" s="96"/>
      <c r="D267" s="90"/>
      <c r="E267" s="91"/>
      <c r="F267" s="92"/>
      <c r="G267" s="94"/>
      <c r="H267" s="86"/>
      <c r="I267" s="86"/>
      <c r="J267" s="86"/>
      <c r="K267" s="86"/>
      <c r="L267" s="86"/>
      <c r="M267" s="81"/>
      <c r="N267" s="81"/>
      <c r="O267" s="45"/>
      <c r="P267" s="81"/>
      <c r="Q267" s="78"/>
      <c r="R267" s="81"/>
      <c r="S267" s="78"/>
      <c r="T267" s="122"/>
      <c r="U267" s="81"/>
      <c r="V267" s="45"/>
      <c r="W267" s="81"/>
      <c r="X267" s="81"/>
      <c r="Y267" s="81"/>
      <c r="Z267" s="45"/>
      <c r="AA267" s="81"/>
      <c r="AB267" s="122"/>
      <c r="AC267" s="81"/>
      <c r="AD267" s="81"/>
      <c r="AE267" s="81"/>
    </row>
    <row r="268" spans="2:33" ht="12.75" customHeight="1" x14ac:dyDescent="0.2">
      <c r="B268" s="96"/>
      <c r="D268" s="90"/>
      <c r="E268" s="91"/>
      <c r="F268" s="92"/>
      <c r="G268" s="94"/>
      <c r="H268" s="86"/>
      <c r="I268" s="86"/>
      <c r="J268" s="86"/>
      <c r="K268" s="86"/>
      <c r="L268" s="86"/>
      <c r="M268" s="81"/>
      <c r="N268" s="81"/>
      <c r="O268" s="45"/>
      <c r="P268" s="81"/>
      <c r="Q268" s="78"/>
      <c r="R268" s="81"/>
      <c r="S268" s="78"/>
      <c r="T268" s="122"/>
      <c r="U268" s="81"/>
      <c r="V268" s="45"/>
      <c r="W268" s="81"/>
      <c r="X268" s="81"/>
      <c r="Y268" s="81"/>
      <c r="Z268" s="45"/>
      <c r="AA268" s="81"/>
      <c r="AB268" s="122"/>
      <c r="AC268" s="81"/>
      <c r="AD268" s="81"/>
      <c r="AE268" s="81"/>
    </row>
    <row r="269" spans="2:33" ht="12.75" customHeight="1" x14ac:dyDescent="0.2">
      <c r="B269" s="96"/>
      <c r="D269" s="90"/>
      <c r="E269" s="91"/>
      <c r="F269" s="92"/>
      <c r="G269" s="94"/>
      <c r="H269" s="86"/>
      <c r="I269" s="86"/>
      <c r="J269" s="86"/>
      <c r="K269" s="86"/>
      <c r="L269" s="86"/>
      <c r="M269" s="82"/>
      <c r="N269" s="82"/>
      <c r="O269" s="46"/>
      <c r="P269" s="82"/>
      <c r="Q269" s="79"/>
      <c r="R269" s="82"/>
      <c r="S269" s="79"/>
      <c r="T269" s="123"/>
      <c r="U269" s="82"/>
      <c r="V269" s="46"/>
      <c r="W269" s="82"/>
      <c r="X269" s="82"/>
      <c r="Y269" s="82"/>
      <c r="Z269" s="46"/>
      <c r="AA269" s="82"/>
      <c r="AB269" s="123"/>
      <c r="AC269" s="82"/>
      <c r="AD269" s="82"/>
      <c r="AE269" s="82"/>
    </row>
    <row r="270" spans="2:33" ht="12.75" customHeight="1" thickBot="1" x14ac:dyDescent="0.25">
      <c r="B270" s="97"/>
      <c r="D270" s="98"/>
      <c r="E270" s="98"/>
      <c r="F270" s="98"/>
      <c r="G270" s="13"/>
      <c r="H270" s="14"/>
      <c r="I270" s="15" t="s">
        <v>4</v>
      </c>
      <c r="J270" s="15" t="s">
        <v>4</v>
      </c>
      <c r="K270" s="15" t="s">
        <v>26</v>
      </c>
      <c r="L270" s="15" t="s">
        <v>26</v>
      </c>
      <c r="M270" s="15" t="str">
        <f t="shared" ref="M270:N270" si="118">IF(OR(TRIM(M253)=0,TRIM(M253)=""),"",IF(IFERROR(TRIM(INDEX(QryItemNamed,MATCH(TRIM(M253),ITEM,0),3)),"")="LS","",IFERROR(TRIM(INDEX(QryItemNamed,MATCH(TRIM(M253),ITEM,0),3)),"")))</f>
        <v/>
      </c>
      <c r="N270" s="15" t="str">
        <f t="shared" si="118"/>
        <v>SY</v>
      </c>
      <c r="O270" s="15"/>
      <c r="P270" s="15" t="str">
        <f t="shared" ref="P270" si="119">IF(OR(TRIM(P253)=0,TRIM(P253)=""),"",IF(IFERROR(TRIM(INDEX(QryItemNamed,MATCH(TRIM(P253),ITEM,0),3)),"")="LS","",IFERROR(TRIM(INDEX(QryItemNamed,MATCH(TRIM(P253),ITEM,0),3)),"")))</f>
        <v>SY</v>
      </c>
      <c r="Q270" s="15"/>
      <c r="R270" s="15" t="str">
        <f t="shared" ref="R270" si="120">IF(OR(TRIM(R253)=0,TRIM(R253)=""),"",IF(IFERROR(TRIM(INDEX(QryItemNamed,MATCH(TRIM(R253),ITEM,0),3)),"")="LS","",IFERROR(TRIM(INDEX(QryItemNamed,MATCH(TRIM(R253),ITEM,0),3)),"")))</f>
        <v>FT</v>
      </c>
      <c r="S270" s="15"/>
      <c r="T270" s="132"/>
      <c r="U270" s="15" t="str">
        <f t="shared" ref="U270" si="121">IF(OR(TRIM(U253)=0,TRIM(U253)=""),"",IF(IFERROR(TRIM(INDEX(QryItemNamed,MATCH(TRIM(U253),ITEM,0),3)),"")="LS","",IFERROR(TRIM(INDEX(QryItemNamed,MATCH(TRIM(U253),ITEM,0),3)),"")))</f>
        <v>SY</v>
      </c>
      <c r="V270" s="15"/>
      <c r="W270" s="15" t="str">
        <f t="shared" ref="W270:Y270" si="122">IF(OR(TRIM(W253)=0,TRIM(W253)=""),"",IF(IFERROR(TRIM(INDEX(QryItemNamed,MATCH(TRIM(W253),ITEM,0),3)),"")="LS","",IFERROR(TRIM(INDEX(QryItemNamed,MATCH(TRIM(W253),ITEM,0),3)),"")))</f>
        <v>CY</v>
      </c>
      <c r="X270" s="15" t="str">
        <f t="shared" si="122"/>
        <v/>
      </c>
      <c r="Y270" s="15" t="str">
        <f t="shared" si="122"/>
        <v>GAL</v>
      </c>
      <c r="Z270" s="15"/>
      <c r="AA270" s="15" t="str">
        <f t="shared" ref="AA270:AE270" si="123">IF(OR(TRIM(AA253)=0,TRIM(AA253)=""),"",IF(IFERROR(TRIM(INDEX(QryItemNamed,MATCH(TRIM(AA253),ITEM,0),3)),"")="LS","",IFERROR(TRIM(INDEX(QryItemNamed,MATCH(TRIM(AA253),ITEM,0),3)),"")))</f>
        <v>CY</v>
      </c>
      <c r="AB270" s="132"/>
      <c r="AC270" s="15" t="str">
        <f t="shared" si="123"/>
        <v>CY</v>
      </c>
      <c r="AD270" s="15" t="str">
        <f t="shared" si="123"/>
        <v/>
      </c>
      <c r="AE270" s="15" t="str">
        <f t="shared" si="123"/>
        <v/>
      </c>
    </row>
    <row r="271" spans="2:33" ht="12.75" customHeight="1" x14ac:dyDescent="0.2">
      <c r="B271" s="50"/>
      <c r="D271" s="65"/>
      <c r="E271" s="65"/>
      <c r="F271" s="65"/>
      <c r="G271" s="6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133"/>
      <c r="U271" s="67"/>
      <c r="V271" s="67"/>
      <c r="W271" s="67"/>
      <c r="X271" s="67"/>
      <c r="Y271" s="67"/>
      <c r="Z271" s="67"/>
      <c r="AA271" s="67"/>
      <c r="AB271" s="133"/>
      <c r="AC271" s="67"/>
      <c r="AD271" s="67"/>
      <c r="AE271" s="67"/>
      <c r="AG271" s="1">
        <v>1</v>
      </c>
    </row>
    <row r="272" spans="2:33" ht="12.75" customHeight="1" x14ac:dyDescent="0.2">
      <c r="B272" s="39"/>
      <c r="D272" s="115" t="str">
        <f>D87</f>
        <v>I -90 TOTALS</v>
      </c>
      <c r="E272" s="116"/>
      <c r="F272" s="116"/>
      <c r="G272" s="116"/>
      <c r="H272" s="116"/>
      <c r="I272" s="116"/>
      <c r="J272" s="116"/>
      <c r="K272" s="116"/>
      <c r="L272" s="117"/>
      <c r="M272" s="24" t="str">
        <f t="shared" ref="M272:AE272" si="124">IF(M88&gt;0,M88,"")</f>
        <v/>
      </c>
      <c r="N272" s="24" t="str">
        <f t="shared" si="124"/>
        <v/>
      </c>
      <c r="O272" s="24" t="str">
        <f t="shared" si="124"/>
        <v/>
      </c>
      <c r="P272" s="24" t="str">
        <f t="shared" ref="P272" si="125">IF(P88&gt;0,P88,"")</f>
        <v/>
      </c>
      <c r="Q272" s="24"/>
      <c r="R272" s="24">
        <f t="shared" si="124"/>
        <v>826</v>
      </c>
      <c r="S272" s="24"/>
      <c r="T272" s="142" t="str">
        <f t="shared" si="124"/>
        <v/>
      </c>
      <c r="U272" s="24" t="str">
        <f t="shared" si="124"/>
        <v/>
      </c>
      <c r="V272" s="24" t="str">
        <f t="shared" si="124"/>
        <v/>
      </c>
      <c r="W272" s="24">
        <f t="shared" si="124"/>
        <v>45</v>
      </c>
      <c r="X272" s="24" t="str">
        <f t="shared" si="124"/>
        <v/>
      </c>
      <c r="Y272" s="24" t="str">
        <f t="shared" si="124"/>
        <v/>
      </c>
      <c r="Z272" s="24" t="str">
        <f t="shared" si="124"/>
        <v/>
      </c>
      <c r="AA272" s="24" t="str">
        <f t="shared" si="124"/>
        <v/>
      </c>
      <c r="AB272" s="142"/>
      <c r="AC272" s="24" t="str">
        <f t="shared" si="124"/>
        <v/>
      </c>
      <c r="AD272" s="24" t="str">
        <f t="shared" si="124"/>
        <v/>
      </c>
      <c r="AE272" s="24" t="str">
        <f t="shared" si="124"/>
        <v/>
      </c>
      <c r="AG272" s="1">
        <v>2</v>
      </c>
    </row>
    <row r="273" spans="2:33" ht="12.75" customHeight="1" x14ac:dyDescent="0.2">
      <c r="B273" s="39"/>
      <c r="D273" s="22"/>
      <c r="E273" s="23"/>
      <c r="F273" s="22"/>
      <c r="G273" s="24"/>
      <c r="H273" s="25"/>
      <c r="I273" s="21"/>
      <c r="J273" s="21"/>
      <c r="K273" s="21"/>
      <c r="L273" s="21"/>
      <c r="M273" s="24"/>
      <c r="N273" s="24"/>
      <c r="O273" s="24"/>
      <c r="P273" s="24"/>
      <c r="Q273" s="24"/>
      <c r="R273" s="24"/>
      <c r="S273" s="24"/>
      <c r="T273" s="142"/>
      <c r="U273" s="24"/>
      <c r="V273" s="24"/>
      <c r="W273" s="24"/>
      <c r="X273" s="24"/>
      <c r="Y273" s="24"/>
      <c r="Z273" s="24"/>
      <c r="AA273" s="24"/>
      <c r="AB273" s="142"/>
      <c r="AC273" s="24"/>
      <c r="AD273" s="24"/>
      <c r="AE273" s="24"/>
      <c r="AG273" s="1">
        <v>3</v>
      </c>
    </row>
    <row r="274" spans="2:33" ht="12.75" customHeight="1" x14ac:dyDescent="0.2">
      <c r="B274" s="39"/>
      <c r="D274" s="115" t="str">
        <f>D168</f>
        <v>WEST 44TH STREET TOTALS</v>
      </c>
      <c r="E274" s="116"/>
      <c r="F274" s="116"/>
      <c r="G274" s="116"/>
      <c r="H274" s="116"/>
      <c r="I274" s="116"/>
      <c r="J274" s="116"/>
      <c r="K274" s="116"/>
      <c r="L274" s="117"/>
      <c r="M274" s="24" t="str">
        <f t="shared" ref="M274:AE274" si="126">IF(M169&gt;0,M169,"")</f>
        <v/>
      </c>
      <c r="N274" s="24">
        <f t="shared" si="126"/>
        <v>367</v>
      </c>
      <c r="O274" s="24" t="str">
        <f t="shared" si="126"/>
        <v/>
      </c>
      <c r="P274" s="24">
        <f t="shared" ref="P274" si="127">IF(P169&gt;0,P169,"")</f>
        <v>364</v>
      </c>
      <c r="Q274" s="24"/>
      <c r="R274" s="24">
        <f t="shared" si="126"/>
        <v>173</v>
      </c>
      <c r="S274" s="24"/>
      <c r="T274" s="142" t="str">
        <f t="shared" si="126"/>
        <v/>
      </c>
      <c r="U274" s="24">
        <f t="shared" si="126"/>
        <v>89</v>
      </c>
      <c r="V274" s="24" t="str">
        <f t="shared" si="126"/>
        <v/>
      </c>
      <c r="W274" s="24">
        <f t="shared" si="126"/>
        <v>62</v>
      </c>
      <c r="X274" s="24" t="str">
        <f t="shared" si="126"/>
        <v/>
      </c>
      <c r="Y274" s="24">
        <f t="shared" si="126"/>
        <v>54</v>
      </c>
      <c r="Z274" s="24" t="str">
        <f t="shared" si="126"/>
        <v/>
      </c>
      <c r="AA274" s="24">
        <f t="shared" si="126"/>
        <v>25</v>
      </c>
      <c r="AB274" s="142"/>
      <c r="AC274" s="24">
        <f t="shared" si="126"/>
        <v>34</v>
      </c>
      <c r="AD274" s="24" t="str">
        <f t="shared" si="126"/>
        <v/>
      </c>
      <c r="AE274" s="24" t="str">
        <f t="shared" si="126"/>
        <v/>
      </c>
      <c r="AG274" s="1">
        <v>4</v>
      </c>
    </row>
    <row r="275" spans="2:33" ht="12.75" customHeight="1" x14ac:dyDescent="0.2">
      <c r="B275" s="39"/>
      <c r="D275" s="22"/>
      <c r="E275" s="23"/>
      <c r="F275" s="22"/>
      <c r="G275" s="24"/>
      <c r="H275" s="25"/>
      <c r="I275" s="21"/>
      <c r="J275" s="21"/>
      <c r="K275" s="21"/>
      <c r="L275" s="21"/>
      <c r="M275" s="24"/>
      <c r="N275" s="24"/>
      <c r="O275" s="24"/>
      <c r="P275" s="24"/>
      <c r="Q275" s="24"/>
      <c r="R275" s="24"/>
      <c r="S275" s="24"/>
      <c r="T275" s="142"/>
      <c r="U275" s="24"/>
      <c r="V275" s="24"/>
      <c r="W275" s="24"/>
      <c r="X275" s="24"/>
      <c r="Y275" s="24"/>
      <c r="Z275" s="24"/>
      <c r="AA275" s="24"/>
      <c r="AB275" s="142"/>
      <c r="AC275" s="24"/>
      <c r="AD275" s="24"/>
      <c r="AE275" s="24"/>
      <c r="AG275" s="1">
        <v>5</v>
      </c>
    </row>
    <row r="276" spans="2:33" ht="12.75" customHeight="1" x14ac:dyDescent="0.2">
      <c r="B276" s="39"/>
      <c r="D276" s="115" t="str">
        <f>D249</f>
        <v>RAMP 27 TOTALS</v>
      </c>
      <c r="E276" s="116"/>
      <c r="F276" s="116"/>
      <c r="G276" s="116"/>
      <c r="H276" s="116"/>
      <c r="I276" s="116"/>
      <c r="J276" s="116"/>
      <c r="K276" s="116"/>
      <c r="L276" s="117"/>
      <c r="M276" s="24" t="str">
        <f>IF(M250&gt;0,M250,"")</f>
        <v/>
      </c>
      <c r="N276" s="24">
        <f t="shared" ref="N276:AE276" si="128">IF(N250&gt;0,N250,"")</f>
        <v>8</v>
      </c>
      <c r="O276" s="24" t="str">
        <f t="shared" si="128"/>
        <v/>
      </c>
      <c r="P276" s="24" t="str">
        <f t="shared" ref="P276" si="129">IF(P250&gt;0,P250,"")</f>
        <v/>
      </c>
      <c r="Q276" s="24"/>
      <c r="R276" s="24">
        <f t="shared" si="128"/>
        <v>22</v>
      </c>
      <c r="S276" s="24"/>
      <c r="T276" s="142" t="str">
        <f t="shared" si="128"/>
        <v/>
      </c>
      <c r="U276" s="24">
        <f t="shared" si="128"/>
        <v>2</v>
      </c>
      <c r="V276" s="24" t="str">
        <f t="shared" si="128"/>
        <v/>
      </c>
      <c r="W276" s="24">
        <f t="shared" si="128"/>
        <v>2</v>
      </c>
      <c r="X276" s="24" t="str">
        <f t="shared" si="128"/>
        <v/>
      </c>
      <c r="Y276" s="24">
        <f t="shared" si="128"/>
        <v>1</v>
      </c>
      <c r="Z276" s="24" t="str">
        <f t="shared" si="128"/>
        <v/>
      </c>
      <c r="AA276" s="24">
        <f t="shared" si="128"/>
        <v>1</v>
      </c>
      <c r="AB276" s="142"/>
      <c r="AC276" s="24">
        <f t="shared" si="128"/>
        <v>1</v>
      </c>
      <c r="AD276" s="24" t="str">
        <f t="shared" si="128"/>
        <v/>
      </c>
      <c r="AE276" s="24" t="str">
        <f t="shared" si="128"/>
        <v/>
      </c>
      <c r="AG276" s="1">
        <v>6</v>
      </c>
    </row>
    <row r="277" spans="2:33" ht="12.75" customHeight="1" x14ac:dyDescent="0.2">
      <c r="B277" s="39"/>
      <c r="D277" s="22"/>
      <c r="E277" s="23"/>
      <c r="F277" s="22"/>
      <c r="G277" s="24"/>
      <c r="H277" s="25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134"/>
      <c r="U277" s="21"/>
      <c r="V277" s="21"/>
      <c r="W277" s="21"/>
      <c r="X277" s="21"/>
      <c r="Y277" s="21"/>
      <c r="Z277" s="21"/>
      <c r="AA277" s="21"/>
      <c r="AB277" s="134"/>
      <c r="AC277" s="21"/>
      <c r="AD277" s="21"/>
      <c r="AE277" s="21"/>
      <c r="AG277" s="1">
        <v>7</v>
      </c>
    </row>
    <row r="278" spans="2:33" ht="12.75" customHeight="1" x14ac:dyDescent="0.2">
      <c r="B278" s="39"/>
      <c r="D278" s="22"/>
      <c r="E278" s="23"/>
      <c r="F278" s="22"/>
      <c r="G278" s="24"/>
      <c r="H278" s="25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134"/>
      <c r="U278" s="21"/>
      <c r="V278" s="21"/>
      <c r="W278" s="21"/>
      <c r="X278" s="21"/>
      <c r="Y278" s="21"/>
      <c r="Z278" s="21"/>
      <c r="AA278" s="21"/>
      <c r="AB278" s="134"/>
      <c r="AC278" s="21"/>
      <c r="AD278" s="21"/>
      <c r="AE278" s="21"/>
      <c r="AG278" s="1">
        <v>8</v>
      </c>
    </row>
    <row r="279" spans="2:33" ht="12.75" customHeight="1" x14ac:dyDescent="0.2">
      <c r="B279" s="39"/>
      <c r="D279" s="22"/>
      <c r="E279" s="23"/>
      <c r="F279" s="22"/>
      <c r="G279" s="24"/>
      <c r="H279" s="25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134"/>
      <c r="U279" s="21"/>
      <c r="V279" s="21"/>
      <c r="W279" s="21"/>
      <c r="X279" s="21"/>
      <c r="Y279" s="21"/>
      <c r="Z279" s="21"/>
      <c r="AA279" s="21"/>
      <c r="AB279" s="134"/>
      <c r="AC279" s="21"/>
      <c r="AD279" s="21"/>
      <c r="AE279" s="21"/>
      <c r="AG279" s="1">
        <v>9</v>
      </c>
    </row>
    <row r="280" spans="2:33" ht="12.75" customHeight="1" x14ac:dyDescent="0.2">
      <c r="B280" s="39"/>
      <c r="D280" s="58"/>
      <c r="E280" s="58"/>
      <c r="F280" s="58"/>
      <c r="G280" s="24"/>
      <c r="H280" s="25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134"/>
      <c r="U280" s="21"/>
      <c r="V280" s="21"/>
      <c r="W280" s="21"/>
      <c r="X280" s="21"/>
      <c r="Y280" s="21"/>
      <c r="Z280" s="21"/>
      <c r="AA280" s="21"/>
      <c r="AB280" s="134"/>
      <c r="AC280" s="21"/>
      <c r="AD280" s="21"/>
      <c r="AE280" s="21"/>
      <c r="AG280" s="1">
        <v>10</v>
      </c>
    </row>
    <row r="281" spans="2:33" ht="12.75" customHeight="1" x14ac:dyDescent="0.2">
      <c r="B281" s="39"/>
      <c r="D281" s="22"/>
      <c r="E281" s="23"/>
      <c r="F281" s="22"/>
      <c r="G281" s="24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134"/>
      <c r="U281" s="21"/>
      <c r="V281" s="21"/>
      <c r="W281" s="21"/>
      <c r="X281" s="21"/>
      <c r="Y281" s="21"/>
      <c r="Z281" s="21"/>
      <c r="AA281" s="21"/>
      <c r="AB281" s="134"/>
      <c r="AC281" s="21"/>
      <c r="AD281" s="21"/>
      <c r="AE281" s="21"/>
      <c r="AG281" s="1">
        <v>11</v>
      </c>
    </row>
    <row r="282" spans="2:33" ht="12.75" customHeight="1" x14ac:dyDescent="0.2">
      <c r="B282" s="39"/>
      <c r="D282" s="22"/>
      <c r="E282" s="23"/>
      <c r="F282" s="22"/>
      <c r="G282" s="24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134"/>
      <c r="U282" s="21"/>
      <c r="V282" s="21"/>
      <c r="W282" s="21"/>
      <c r="X282" s="21"/>
      <c r="Y282" s="21"/>
      <c r="Z282" s="21"/>
      <c r="AA282" s="21"/>
      <c r="AB282" s="134"/>
      <c r="AC282" s="21"/>
      <c r="AD282" s="21"/>
      <c r="AE282" s="21"/>
      <c r="AG282" s="1">
        <v>12</v>
      </c>
    </row>
    <row r="283" spans="2:33" ht="12.75" customHeight="1" x14ac:dyDescent="0.2">
      <c r="B283" s="39"/>
      <c r="D283" s="22"/>
      <c r="E283" s="23"/>
      <c r="F283" s="22"/>
      <c r="G283" s="24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134"/>
      <c r="U283" s="21"/>
      <c r="V283" s="21"/>
      <c r="W283" s="21"/>
      <c r="X283" s="21"/>
      <c r="Y283" s="21"/>
      <c r="Z283" s="21"/>
      <c r="AA283" s="21"/>
      <c r="AB283" s="134"/>
      <c r="AC283" s="21"/>
      <c r="AD283" s="21"/>
      <c r="AE283" s="21"/>
      <c r="AG283" s="1">
        <v>13</v>
      </c>
    </row>
    <row r="284" spans="2:33" ht="12.75" customHeight="1" x14ac:dyDescent="0.2">
      <c r="B284" s="39"/>
      <c r="D284" s="22"/>
      <c r="E284" s="23"/>
      <c r="F284" s="22"/>
      <c r="G284" s="24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134"/>
      <c r="U284" s="21"/>
      <c r="V284" s="21"/>
      <c r="W284" s="21"/>
      <c r="X284" s="21"/>
      <c r="Y284" s="21"/>
      <c r="Z284" s="21"/>
      <c r="AA284" s="21"/>
      <c r="AB284" s="134"/>
      <c r="AC284" s="21"/>
      <c r="AD284" s="21"/>
      <c r="AE284" s="21"/>
      <c r="AG284" s="1">
        <v>14</v>
      </c>
    </row>
    <row r="285" spans="2:33" ht="12.75" customHeight="1" x14ac:dyDescent="0.2">
      <c r="B285" s="39"/>
      <c r="D285" s="22"/>
      <c r="E285" s="23"/>
      <c r="F285" s="22"/>
      <c r="G285" s="24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134"/>
      <c r="U285" s="21"/>
      <c r="V285" s="21"/>
      <c r="W285" s="21"/>
      <c r="X285" s="21"/>
      <c r="Y285" s="21"/>
      <c r="Z285" s="21"/>
      <c r="AA285" s="21"/>
      <c r="AB285" s="134"/>
      <c r="AC285" s="21"/>
      <c r="AD285" s="21"/>
      <c r="AE285" s="21"/>
      <c r="AG285" s="1">
        <v>15</v>
      </c>
    </row>
    <row r="286" spans="2:33" ht="12.75" customHeight="1" x14ac:dyDescent="0.2">
      <c r="B286" s="39"/>
      <c r="D286" s="22"/>
      <c r="E286" s="23"/>
      <c r="F286" s="22"/>
      <c r="G286" s="24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134"/>
      <c r="U286" s="21"/>
      <c r="V286" s="21"/>
      <c r="W286" s="21"/>
      <c r="X286" s="21"/>
      <c r="Y286" s="21"/>
      <c r="Z286" s="21"/>
      <c r="AA286" s="21"/>
      <c r="AB286" s="134"/>
      <c r="AC286" s="21"/>
      <c r="AD286" s="21"/>
      <c r="AE286" s="21"/>
      <c r="AG286" s="1">
        <v>16</v>
      </c>
    </row>
    <row r="287" spans="2:33" ht="12.75" customHeight="1" x14ac:dyDescent="0.2">
      <c r="B287" s="39"/>
      <c r="D287" s="22"/>
      <c r="E287" s="23"/>
      <c r="F287" s="22"/>
      <c r="G287" s="24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134"/>
      <c r="U287" s="21"/>
      <c r="V287" s="21"/>
      <c r="W287" s="21"/>
      <c r="X287" s="21"/>
      <c r="Y287" s="21"/>
      <c r="Z287" s="21"/>
      <c r="AA287" s="21"/>
      <c r="AB287" s="134"/>
      <c r="AC287" s="21"/>
      <c r="AD287" s="21"/>
      <c r="AE287" s="21"/>
      <c r="AG287" s="1">
        <v>17</v>
      </c>
    </row>
    <row r="288" spans="2:33" ht="12.75" customHeight="1" x14ac:dyDescent="0.2">
      <c r="B288" s="39"/>
      <c r="D288" s="22"/>
      <c r="E288" s="23"/>
      <c r="F288" s="22"/>
      <c r="G288" s="24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134"/>
      <c r="U288" s="21"/>
      <c r="V288" s="21"/>
      <c r="W288" s="21"/>
      <c r="X288" s="21"/>
      <c r="Y288" s="21"/>
      <c r="Z288" s="21"/>
      <c r="AA288" s="21"/>
      <c r="AB288" s="134"/>
      <c r="AC288" s="21"/>
      <c r="AD288" s="21"/>
      <c r="AE288" s="21"/>
      <c r="AG288" s="1">
        <v>18</v>
      </c>
    </row>
    <row r="289" spans="2:33" ht="12.75" customHeight="1" x14ac:dyDescent="0.2">
      <c r="B289" s="39"/>
      <c r="D289" s="22"/>
      <c r="E289" s="23"/>
      <c r="F289" s="22"/>
      <c r="G289" s="24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134"/>
      <c r="U289" s="21"/>
      <c r="V289" s="21"/>
      <c r="W289" s="21"/>
      <c r="X289" s="21"/>
      <c r="Y289" s="21"/>
      <c r="Z289" s="21"/>
      <c r="AA289" s="21"/>
      <c r="AB289" s="134"/>
      <c r="AC289" s="21"/>
      <c r="AD289" s="21"/>
      <c r="AE289" s="21"/>
      <c r="AG289" s="1">
        <v>19</v>
      </c>
    </row>
    <row r="290" spans="2:33" ht="12.75" customHeight="1" x14ac:dyDescent="0.2">
      <c r="B290" s="39"/>
      <c r="D290" s="22"/>
      <c r="E290" s="23"/>
      <c r="F290" s="22"/>
      <c r="G290" s="24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134"/>
      <c r="U290" s="21"/>
      <c r="V290" s="21"/>
      <c r="W290" s="21"/>
      <c r="X290" s="21"/>
      <c r="Y290" s="21"/>
      <c r="Z290" s="21"/>
      <c r="AA290" s="21"/>
      <c r="AB290" s="134"/>
      <c r="AC290" s="21"/>
      <c r="AD290" s="21"/>
      <c r="AE290" s="21"/>
      <c r="AG290" s="1">
        <v>20</v>
      </c>
    </row>
    <row r="291" spans="2:33" ht="12.75" customHeight="1" x14ac:dyDescent="0.2">
      <c r="B291" s="39"/>
      <c r="D291" s="22"/>
      <c r="E291" s="23"/>
      <c r="F291" s="22"/>
      <c r="G291" s="24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134"/>
      <c r="U291" s="21"/>
      <c r="V291" s="21"/>
      <c r="W291" s="21"/>
      <c r="X291" s="21"/>
      <c r="Y291" s="21"/>
      <c r="Z291" s="21"/>
      <c r="AA291" s="21"/>
      <c r="AB291" s="134"/>
      <c r="AC291" s="21"/>
      <c r="AD291" s="21"/>
      <c r="AE291" s="21"/>
      <c r="AG291" s="1">
        <v>21</v>
      </c>
    </row>
    <row r="292" spans="2:33" ht="12.75" customHeight="1" x14ac:dyDescent="0.2">
      <c r="B292" s="39"/>
      <c r="D292" s="22"/>
      <c r="E292" s="23"/>
      <c r="F292" s="22"/>
      <c r="G292" s="24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134"/>
      <c r="U292" s="21"/>
      <c r="V292" s="21"/>
      <c r="W292" s="21"/>
      <c r="X292" s="21"/>
      <c r="Y292" s="21"/>
      <c r="Z292" s="21"/>
      <c r="AA292" s="21"/>
      <c r="AB292" s="134"/>
      <c r="AC292" s="21"/>
      <c r="AD292" s="21"/>
      <c r="AE292" s="21"/>
      <c r="AG292" s="1">
        <v>22</v>
      </c>
    </row>
    <row r="293" spans="2:33" ht="12.75" customHeight="1" x14ac:dyDescent="0.2">
      <c r="B293" s="39"/>
      <c r="D293" s="27"/>
      <c r="E293" s="28"/>
      <c r="F293" s="27"/>
      <c r="G293" s="29"/>
      <c r="H293" s="26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135"/>
      <c r="U293" s="30"/>
      <c r="V293" s="30"/>
      <c r="W293" s="30"/>
      <c r="X293" s="30"/>
      <c r="Y293" s="30"/>
      <c r="Z293" s="30"/>
      <c r="AA293" s="30"/>
      <c r="AB293" s="135"/>
      <c r="AC293" s="30"/>
      <c r="AD293" s="30"/>
      <c r="AE293" s="30"/>
      <c r="AG293" s="1">
        <v>23</v>
      </c>
    </row>
    <row r="294" spans="2:33" ht="12.75" customHeight="1" x14ac:dyDescent="0.2">
      <c r="B294" s="39"/>
      <c r="D294" s="22"/>
      <c r="E294" s="23"/>
      <c r="F294" s="22"/>
      <c r="G294" s="24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134"/>
      <c r="U294" s="21"/>
      <c r="V294" s="21"/>
      <c r="W294" s="21"/>
      <c r="X294" s="21"/>
      <c r="Y294" s="21"/>
      <c r="Z294" s="21"/>
      <c r="AA294" s="21"/>
      <c r="AB294" s="134"/>
      <c r="AC294" s="21"/>
      <c r="AD294" s="21"/>
      <c r="AE294" s="21"/>
      <c r="AG294" s="1">
        <v>24</v>
      </c>
    </row>
    <row r="295" spans="2:33" ht="12.75" customHeight="1" x14ac:dyDescent="0.2">
      <c r="B295" s="39"/>
      <c r="D295" s="22"/>
      <c r="E295" s="23"/>
      <c r="F295" s="22"/>
      <c r="G295" s="24"/>
      <c r="H295" s="25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134"/>
      <c r="U295" s="21"/>
      <c r="V295" s="21"/>
      <c r="W295" s="21"/>
      <c r="X295" s="21"/>
      <c r="Y295" s="21"/>
      <c r="Z295" s="21"/>
      <c r="AA295" s="21"/>
      <c r="AB295" s="134"/>
      <c r="AC295" s="21"/>
      <c r="AD295" s="21"/>
      <c r="AE295" s="21"/>
      <c r="AG295" s="1">
        <v>25</v>
      </c>
    </row>
    <row r="296" spans="2:33" ht="12.75" customHeight="1" x14ac:dyDescent="0.2">
      <c r="B296" s="39"/>
      <c r="D296" s="22"/>
      <c r="E296" s="23"/>
      <c r="F296" s="22"/>
      <c r="G296" s="24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134"/>
      <c r="U296" s="21"/>
      <c r="V296" s="21"/>
      <c r="W296" s="21"/>
      <c r="X296" s="21"/>
      <c r="Y296" s="21"/>
      <c r="Z296" s="21"/>
      <c r="AA296" s="21"/>
      <c r="AB296" s="134"/>
      <c r="AC296" s="21"/>
      <c r="AD296" s="21"/>
      <c r="AE296" s="21"/>
      <c r="AG296" s="1">
        <v>26</v>
      </c>
    </row>
    <row r="297" spans="2:33" ht="12.75" customHeight="1" x14ac:dyDescent="0.2">
      <c r="B297" s="39"/>
      <c r="D297" s="22"/>
      <c r="E297" s="23"/>
      <c r="F297" s="22"/>
      <c r="G297" s="24"/>
      <c r="H297" s="25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134"/>
      <c r="U297" s="21"/>
      <c r="V297" s="21"/>
      <c r="W297" s="21"/>
      <c r="X297" s="21"/>
      <c r="Y297" s="21"/>
      <c r="Z297" s="21"/>
      <c r="AA297" s="21"/>
      <c r="AB297" s="134"/>
      <c r="AC297" s="21"/>
      <c r="AD297" s="21"/>
      <c r="AE297" s="21"/>
      <c r="AG297" s="1">
        <v>27</v>
      </c>
    </row>
    <row r="298" spans="2:33" ht="12.75" customHeight="1" x14ac:dyDescent="0.2">
      <c r="B298" s="39"/>
      <c r="D298" s="22"/>
      <c r="E298" s="23"/>
      <c r="F298" s="22"/>
      <c r="G298" s="24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134"/>
      <c r="U298" s="21"/>
      <c r="V298" s="21"/>
      <c r="W298" s="21"/>
      <c r="X298" s="21"/>
      <c r="Y298" s="21"/>
      <c r="Z298" s="21"/>
      <c r="AA298" s="21"/>
      <c r="AB298" s="134"/>
      <c r="AC298" s="21"/>
      <c r="AD298" s="21"/>
      <c r="AE298" s="21"/>
      <c r="AG298" s="1">
        <v>28</v>
      </c>
    </row>
    <row r="299" spans="2:33" ht="12.75" customHeight="1" x14ac:dyDescent="0.2">
      <c r="B299" s="39"/>
      <c r="D299" s="22"/>
      <c r="E299" s="23"/>
      <c r="F299" s="22"/>
      <c r="G299" s="24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134"/>
      <c r="U299" s="21"/>
      <c r="V299" s="21"/>
      <c r="W299" s="21"/>
      <c r="X299" s="21"/>
      <c r="Y299" s="21"/>
      <c r="Z299" s="21"/>
      <c r="AA299" s="21"/>
      <c r="AB299" s="134"/>
      <c r="AC299" s="21"/>
      <c r="AD299" s="21"/>
      <c r="AE299" s="21"/>
      <c r="AG299" s="1">
        <v>29</v>
      </c>
    </row>
    <row r="300" spans="2:33" ht="12.75" customHeight="1" x14ac:dyDescent="0.2">
      <c r="B300" s="39"/>
      <c r="D300" s="22"/>
      <c r="E300" s="23"/>
      <c r="F300" s="22"/>
      <c r="G300" s="24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134"/>
      <c r="U300" s="21"/>
      <c r="V300" s="21"/>
      <c r="W300" s="21"/>
      <c r="X300" s="21"/>
      <c r="Y300" s="21"/>
      <c r="Z300" s="21"/>
      <c r="AA300" s="21"/>
      <c r="AB300" s="134"/>
      <c r="AC300" s="21"/>
      <c r="AD300" s="21"/>
      <c r="AE300" s="21"/>
      <c r="AG300" s="1">
        <v>30</v>
      </c>
    </row>
    <row r="301" spans="2:33" ht="12.75" customHeight="1" x14ac:dyDescent="0.2">
      <c r="B301" s="39"/>
      <c r="D301" s="22"/>
      <c r="E301" s="23"/>
      <c r="F301" s="22"/>
      <c r="G301" s="24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134"/>
      <c r="U301" s="21"/>
      <c r="V301" s="21"/>
      <c r="W301" s="21"/>
      <c r="X301" s="21"/>
      <c r="Y301" s="21"/>
      <c r="Z301" s="21"/>
      <c r="AA301" s="21"/>
      <c r="AB301" s="134"/>
      <c r="AC301" s="21"/>
      <c r="AD301" s="21"/>
      <c r="AE301" s="21"/>
      <c r="AG301" s="1">
        <v>31</v>
      </c>
    </row>
    <row r="302" spans="2:33" ht="12.75" customHeight="1" x14ac:dyDescent="0.2">
      <c r="B302" s="39"/>
      <c r="D302" s="22"/>
      <c r="E302" s="23"/>
      <c r="F302" s="22"/>
      <c r="G302" s="24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134"/>
      <c r="U302" s="21"/>
      <c r="V302" s="21"/>
      <c r="W302" s="21"/>
      <c r="X302" s="21"/>
      <c r="Y302" s="21"/>
      <c r="Z302" s="21"/>
      <c r="AA302" s="21"/>
      <c r="AB302" s="134"/>
      <c r="AC302" s="21"/>
      <c r="AD302" s="21"/>
      <c r="AE302" s="21"/>
      <c r="AG302" s="1">
        <v>32</v>
      </c>
    </row>
    <row r="303" spans="2:33" ht="12.75" customHeight="1" x14ac:dyDescent="0.2">
      <c r="B303" s="39"/>
      <c r="D303" s="22"/>
      <c r="E303" s="23"/>
      <c r="F303" s="22"/>
      <c r="G303" s="24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134"/>
      <c r="U303" s="21"/>
      <c r="V303" s="21"/>
      <c r="W303" s="21"/>
      <c r="X303" s="21"/>
      <c r="Y303" s="21"/>
      <c r="Z303" s="21"/>
      <c r="AA303" s="21"/>
      <c r="AB303" s="134"/>
      <c r="AC303" s="21"/>
      <c r="AD303" s="21"/>
      <c r="AE303" s="21"/>
      <c r="AG303" s="1">
        <v>33</v>
      </c>
    </row>
    <row r="304" spans="2:33" ht="12.75" customHeight="1" x14ac:dyDescent="0.2">
      <c r="B304" s="39"/>
      <c r="D304" s="22"/>
      <c r="E304" s="23"/>
      <c r="F304" s="22"/>
      <c r="G304" s="24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134"/>
      <c r="U304" s="21"/>
      <c r="V304" s="21"/>
      <c r="W304" s="21"/>
      <c r="X304" s="21"/>
      <c r="Y304" s="21"/>
      <c r="Z304" s="21"/>
      <c r="AA304" s="21"/>
      <c r="AB304" s="134"/>
      <c r="AC304" s="21"/>
      <c r="AD304" s="21"/>
      <c r="AE304" s="21"/>
      <c r="AG304" s="1">
        <v>34</v>
      </c>
    </row>
    <row r="305" spans="2:33" ht="12.75" customHeight="1" x14ac:dyDescent="0.2">
      <c r="B305" s="39"/>
      <c r="D305" s="22"/>
      <c r="E305" s="23"/>
      <c r="F305" s="22"/>
      <c r="G305" s="24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134"/>
      <c r="U305" s="21"/>
      <c r="V305" s="21"/>
      <c r="W305" s="21"/>
      <c r="X305" s="21"/>
      <c r="Y305" s="21"/>
      <c r="Z305" s="21"/>
      <c r="AA305" s="21"/>
      <c r="AB305" s="134"/>
      <c r="AC305" s="21"/>
      <c r="AD305" s="21"/>
      <c r="AE305" s="21"/>
      <c r="AG305" s="1">
        <v>35</v>
      </c>
    </row>
    <row r="306" spans="2:33" ht="12.75" customHeight="1" x14ac:dyDescent="0.2">
      <c r="B306" s="39"/>
      <c r="D306" s="22"/>
      <c r="E306" s="23"/>
      <c r="F306" s="22"/>
      <c r="G306" s="24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134"/>
      <c r="U306" s="21"/>
      <c r="V306" s="21"/>
      <c r="W306" s="21"/>
      <c r="X306" s="21"/>
      <c r="Y306" s="21"/>
      <c r="Z306" s="21"/>
      <c r="AA306" s="21"/>
      <c r="AB306" s="134"/>
      <c r="AC306" s="21"/>
      <c r="AD306" s="21"/>
      <c r="AE306" s="21"/>
      <c r="AG306" s="1">
        <v>36</v>
      </c>
    </row>
    <row r="307" spans="2:33" ht="12.75" customHeight="1" x14ac:dyDescent="0.2">
      <c r="B307" s="39"/>
      <c r="D307" s="22"/>
      <c r="E307" s="23"/>
      <c r="F307" s="22"/>
      <c r="G307" s="24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134"/>
      <c r="U307" s="21"/>
      <c r="V307" s="21"/>
      <c r="W307" s="21"/>
      <c r="X307" s="21"/>
      <c r="Y307" s="21"/>
      <c r="Z307" s="21"/>
      <c r="AA307" s="21"/>
      <c r="AB307" s="134"/>
      <c r="AC307" s="21"/>
      <c r="AD307" s="21"/>
      <c r="AE307" s="21"/>
      <c r="AG307" s="1">
        <v>37</v>
      </c>
    </row>
    <row r="308" spans="2:33" ht="12.75" customHeight="1" x14ac:dyDescent="0.2">
      <c r="B308" s="39"/>
      <c r="D308" s="22"/>
      <c r="E308" s="23"/>
      <c r="F308" s="22"/>
      <c r="G308" s="24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134"/>
      <c r="U308" s="21"/>
      <c r="V308" s="21"/>
      <c r="W308" s="21"/>
      <c r="X308" s="21"/>
      <c r="Y308" s="21"/>
      <c r="Z308" s="21"/>
      <c r="AA308" s="21"/>
      <c r="AB308" s="134"/>
      <c r="AC308" s="21"/>
      <c r="AD308" s="21"/>
      <c r="AE308" s="21"/>
      <c r="AG308" s="1">
        <v>38</v>
      </c>
    </row>
    <row r="309" spans="2:33" ht="12.75" customHeight="1" x14ac:dyDescent="0.2">
      <c r="B309" s="39"/>
      <c r="D309" s="22"/>
      <c r="E309" s="23"/>
      <c r="F309" s="22"/>
      <c r="G309" s="24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134"/>
      <c r="U309" s="21"/>
      <c r="V309" s="21"/>
      <c r="W309" s="21"/>
      <c r="X309" s="21"/>
      <c r="Y309" s="21"/>
      <c r="Z309" s="21"/>
      <c r="AA309" s="21"/>
      <c r="AB309" s="134"/>
      <c r="AC309" s="21"/>
      <c r="AD309" s="21"/>
      <c r="AE309" s="21"/>
      <c r="AG309" s="1">
        <v>39</v>
      </c>
    </row>
    <row r="310" spans="2:33" ht="12.75" customHeight="1" x14ac:dyDescent="0.2">
      <c r="B310" s="39"/>
      <c r="D310" s="22"/>
      <c r="E310" s="23"/>
      <c r="F310" s="22"/>
      <c r="G310" s="24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134"/>
      <c r="U310" s="21"/>
      <c r="V310" s="21"/>
      <c r="W310" s="21"/>
      <c r="X310" s="21"/>
      <c r="Y310" s="21"/>
      <c r="Z310" s="21"/>
      <c r="AA310" s="21"/>
      <c r="AB310" s="134"/>
      <c r="AC310" s="21"/>
      <c r="AD310" s="21"/>
      <c r="AE310" s="21"/>
      <c r="AG310" s="1">
        <v>40</v>
      </c>
    </row>
    <row r="311" spans="2:33" ht="12.75" customHeight="1" x14ac:dyDescent="0.2">
      <c r="B311" s="39"/>
      <c r="D311" s="22"/>
      <c r="E311" s="23"/>
      <c r="F311" s="22"/>
      <c r="G311" s="24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134"/>
      <c r="U311" s="21"/>
      <c r="V311" s="21"/>
      <c r="W311" s="21"/>
      <c r="X311" s="21"/>
      <c r="Y311" s="21"/>
      <c r="Z311" s="21"/>
      <c r="AA311" s="21"/>
      <c r="AB311" s="134"/>
      <c r="AC311" s="21"/>
      <c r="AD311" s="21"/>
      <c r="AE311" s="21"/>
      <c r="AG311" s="1">
        <v>41</v>
      </c>
    </row>
    <row r="312" spans="2:33" ht="12.75" customHeight="1" x14ac:dyDescent="0.2">
      <c r="B312" s="39"/>
      <c r="D312" s="22"/>
      <c r="E312" s="23"/>
      <c r="F312" s="22"/>
      <c r="G312" s="24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134"/>
      <c r="U312" s="21"/>
      <c r="V312" s="21"/>
      <c r="W312" s="21"/>
      <c r="X312" s="21"/>
      <c r="Y312" s="21"/>
      <c r="Z312" s="21"/>
      <c r="AA312" s="21"/>
      <c r="AB312" s="134"/>
      <c r="AC312" s="21"/>
      <c r="AD312" s="21"/>
      <c r="AE312" s="21"/>
      <c r="AG312" s="1">
        <v>42</v>
      </c>
    </row>
    <row r="313" spans="2:33" ht="12.75" customHeight="1" x14ac:dyDescent="0.2">
      <c r="B313" s="39"/>
      <c r="D313" s="22"/>
      <c r="E313" s="23"/>
      <c r="F313" s="22"/>
      <c r="G313" s="24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134"/>
      <c r="U313" s="21"/>
      <c r="V313" s="21"/>
      <c r="W313" s="21"/>
      <c r="X313" s="21"/>
      <c r="Y313" s="21"/>
      <c r="Z313" s="21"/>
      <c r="AA313" s="21"/>
      <c r="AB313" s="134"/>
      <c r="AC313" s="21"/>
      <c r="AD313" s="21"/>
      <c r="AE313" s="21"/>
      <c r="AG313" s="1">
        <v>43</v>
      </c>
    </row>
    <row r="314" spans="2:33" ht="12.75" customHeight="1" x14ac:dyDescent="0.2">
      <c r="B314" s="39"/>
      <c r="D314" s="22"/>
      <c r="E314" s="23"/>
      <c r="F314" s="22"/>
      <c r="G314" s="24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134"/>
      <c r="U314" s="21"/>
      <c r="V314" s="21"/>
      <c r="W314" s="21"/>
      <c r="X314" s="21"/>
      <c r="Y314" s="21"/>
      <c r="Z314" s="21"/>
      <c r="AA314" s="21"/>
      <c r="AB314" s="134"/>
      <c r="AC314" s="21"/>
      <c r="AD314" s="21"/>
      <c r="AE314" s="21"/>
      <c r="AG314" s="1">
        <v>44</v>
      </c>
    </row>
    <row r="315" spans="2:33" ht="12.75" customHeight="1" x14ac:dyDescent="0.2">
      <c r="B315" s="39"/>
      <c r="D315" s="22"/>
      <c r="E315" s="23"/>
      <c r="F315" s="22"/>
      <c r="G315" s="24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134"/>
      <c r="U315" s="21"/>
      <c r="V315" s="21"/>
      <c r="W315" s="21"/>
      <c r="X315" s="21"/>
      <c r="Y315" s="21"/>
      <c r="Z315" s="21"/>
      <c r="AA315" s="21"/>
      <c r="AB315" s="134"/>
      <c r="AC315" s="21"/>
      <c r="AD315" s="21"/>
      <c r="AE315" s="21"/>
      <c r="AG315" s="1">
        <v>45</v>
      </c>
    </row>
    <row r="316" spans="2:33" ht="12.75" customHeight="1" x14ac:dyDescent="0.2">
      <c r="B316" s="39"/>
      <c r="D316" s="22"/>
      <c r="E316" s="23"/>
      <c r="F316" s="22"/>
      <c r="G316" s="24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134"/>
      <c r="U316" s="21"/>
      <c r="V316" s="21"/>
      <c r="W316" s="21"/>
      <c r="X316" s="21"/>
      <c r="Y316" s="21"/>
      <c r="Z316" s="21"/>
      <c r="AA316" s="21"/>
      <c r="AB316" s="134"/>
      <c r="AC316" s="21"/>
      <c r="AD316" s="21"/>
      <c r="AE316" s="21"/>
      <c r="AG316" s="1">
        <v>46</v>
      </c>
    </row>
    <row r="317" spans="2:33" ht="12.75" customHeight="1" x14ac:dyDescent="0.2">
      <c r="B317" s="39"/>
      <c r="D317" s="22"/>
      <c r="E317" s="23"/>
      <c r="F317" s="22"/>
      <c r="G317" s="24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134"/>
      <c r="U317" s="21"/>
      <c r="V317" s="21"/>
      <c r="W317" s="21"/>
      <c r="X317" s="21"/>
      <c r="Y317" s="21"/>
      <c r="Z317" s="21"/>
      <c r="AA317" s="21"/>
      <c r="AB317" s="134"/>
      <c r="AC317" s="21"/>
      <c r="AD317" s="21"/>
      <c r="AE317" s="21"/>
      <c r="AG317" s="1">
        <v>47</v>
      </c>
    </row>
    <row r="318" spans="2:33" ht="12.75" customHeight="1" x14ac:dyDescent="0.2">
      <c r="B318" s="39"/>
      <c r="D318" s="22"/>
      <c r="E318" s="23"/>
      <c r="F318" s="22"/>
      <c r="G318" s="24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134"/>
      <c r="U318" s="21"/>
      <c r="V318" s="21"/>
      <c r="W318" s="21"/>
      <c r="X318" s="21"/>
      <c r="Y318" s="21"/>
      <c r="Z318" s="21"/>
      <c r="AA318" s="21"/>
      <c r="AB318" s="134"/>
      <c r="AC318" s="21"/>
      <c r="AD318" s="21"/>
      <c r="AE318" s="21"/>
      <c r="AG318" s="1">
        <v>48</v>
      </c>
    </row>
    <row r="319" spans="2:33" ht="12.75" customHeight="1" x14ac:dyDescent="0.2">
      <c r="B319" s="39"/>
      <c r="D319" s="22"/>
      <c r="E319" s="23"/>
      <c r="F319" s="22"/>
      <c r="G319" s="24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134"/>
      <c r="U319" s="21"/>
      <c r="V319" s="21"/>
      <c r="W319" s="21"/>
      <c r="X319" s="21"/>
      <c r="Y319" s="21"/>
      <c r="Z319" s="21"/>
      <c r="AA319" s="21"/>
      <c r="AB319" s="134"/>
      <c r="AC319" s="21"/>
      <c r="AD319" s="21"/>
      <c r="AE319" s="21"/>
      <c r="AG319" s="1">
        <v>49</v>
      </c>
    </row>
    <row r="320" spans="2:33" ht="12.75" customHeight="1" x14ac:dyDescent="0.2">
      <c r="B320" s="39"/>
      <c r="D320" s="22"/>
      <c r="E320" s="23"/>
      <c r="F320" s="22"/>
      <c r="G320" s="24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134"/>
      <c r="U320" s="21"/>
      <c r="V320" s="21"/>
      <c r="W320" s="21"/>
      <c r="X320" s="21"/>
      <c r="Y320" s="21"/>
      <c r="Z320" s="21"/>
      <c r="AA320" s="21"/>
      <c r="AB320" s="134"/>
      <c r="AC320" s="21"/>
      <c r="AD320" s="21"/>
      <c r="AE320" s="21"/>
      <c r="AG320" s="1">
        <v>50</v>
      </c>
    </row>
    <row r="321" spans="2:33" ht="12.75" customHeight="1" x14ac:dyDescent="0.2">
      <c r="B321" s="39"/>
      <c r="D321" s="22"/>
      <c r="E321" s="23"/>
      <c r="F321" s="22"/>
      <c r="G321" s="24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134"/>
      <c r="U321" s="21"/>
      <c r="V321" s="21"/>
      <c r="W321" s="21"/>
      <c r="X321" s="21"/>
      <c r="Y321" s="21"/>
      <c r="Z321" s="21"/>
      <c r="AA321" s="21"/>
      <c r="AB321" s="134"/>
      <c r="AC321" s="21"/>
      <c r="AD321" s="21"/>
      <c r="AE321" s="21"/>
      <c r="AG321" s="1">
        <v>51</v>
      </c>
    </row>
    <row r="322" spans="2:33" ht="12.75" customHeight="1" x14ac:dyDescent="0.2">
      <c r="B322" s="39"/>
      <c r="D322" s="22"/>
      <c r="E322" s="23"/>
      <c r="F322" s="22"/>
      <c r="G322" s="24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134"/>
      <c r="U322" s="21"/>
      <c r="V322" s="21"/>
      <c r="W322" s="21"/>
      <c r="X322" s="21"/>
      <c r="Y322" s="21"/>
      <c r="Z322" s="21"/>
      <c r="AA322" s="21"/>
      <c r="AB322" s="134"/>
      <c r="AC322" s="21"/>
      <c r="AD322" s="21"/>
      <c r="AE322" s="21"/>
      <c r="AG322" s="1">
        <v>52</v>
      </c>
    </row>
    <row r="323" spans="2:33" ht="12.75" customHeight="1" x14ac:dyDescent="0.2">
      <c r="B323" s="39"/>
      <c r="D323" s="22"/>
      <c r="E323" s="23"/>
      <c r="F323" s="22"/>
      <c r="G323" s="24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134"/>
      <c r="U323" s="21"/>
      <c r="V323" s="21"/>
      <c r="W323" s="21"/>
      <c r="X323" s="21"/>
      <c r="Y323" s="21"/>
      <c r="Z323" s="21"/>
      <c r="AA323" s="21"/>
      <c r="AB323" s="134"/>
      <c r="AC323" s="21"/>
      <c r="AD323" s="21"/>
      <c r="AE323" s="21"/>
      <c r="AG323" s="1">
        <v>53</v>
      </c>
    </row>
    <row r="324" spans="2:33" ht="12.75" customHeight="1" x14ac:dyDescent="0.2">
      <c r="B324" s="39"/>
      <c r="D324" s="22"/>
      <c r="E324" s="23"/>
      <c r="F324" s="22"/>
      <c r="G324" s="24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134"/>
      <c r="U324" s="21"/>
      <c r="V324" s="21"/>
      <c r="W324" s="21"/>
      <c r="X324" s="21"/>
      <c r="Y324" s="21"/>
      <c r="Z324" s="21"/>
      <c r="AA324" s="21"/>
      <c r="AB324" s="134"/>
      <c r="AC324" s="21"/>
      <c r="AD324" s="21"/>
      <c r="AE324" s="21"/>
      <c r="AG324" s="1">
        <v>54</v>
      </c>
    </row>
    <row r="325" spans="2:33" ht="12.75" customHeight="1" x14ac:dyDescent="0.2">
      <c r="B325" s="39"/>
      <c r="D325" s="22"/>
      <c r="E325" s="23"/>
      <c r="F325" s="22"/>
      <c r="G325" s="24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134"/>
      <c r="U325" s="21"/>
      <c r="V325" s="21"/>
      <c r="W325" s="21"/>
      <c r="X325" s="21"/>
      <c r="Y325" s="21"/>
      <c r="Z325" s="21"/>
      <c r="AA325" s="21"/>
      <c r="AB325" s="134"/>
      <c r="AC325" s="21"/>
      <c r="AD325" s="21"/>
      <c r="AE325" s="21"/>
      <c r="AG325" s="1">
        <v>55</v>
      </c>
    </row>
    <row r="326" spans="2:33" ht="12.75" customHeight="1" x14ac:dyDescent="0.2">
      <c r="B326" s="39"/>
      <c r="D326" s="22"/>
      <c r="E326" s="23"/>
      <c r="F326" s="22"/>
      <c r="G326" s="24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134"/>
      <c r="U326" s="21"/>
      <c r="V326" s="21"/>
      <c r="W326" s="21"/>
      <c r="X326" s="21"/>
      <c r="Y326" s="21"/>
      <c r="Z326" s="21"/>
      <c r="AA326" s="21"/>
      <c r="AB326" s="134"/>
      <c r="AC326" s="21"/>
      <c r="AD326" s="21"/>
      <c r="AE326" s="21"/>
      <c r="AG326" s="1">
        <v>56</v>
      </c>
    </row>
    <row r="327" spans="2:33" ht="12.75" customHeight="1" x14ac:dyDescent="0.2">
      <c r="B327" s="39"/>
      <c r="D327" s="22"/>
      <c r="E327" s="23"/>
      <c r="F327" s="22"/>
      <c r="G327" s="24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134"/>
      <c r="U327" s="21"/>
      <c r="V327" s="21"/>
      <c r="W327" s="21"/>
      <c r="X327" s="21"/>
      <c r="Y327" s="21"/>
      <c r="Z327" s="21"/>
      <c r="AA327" s="21"/>
      <c r="AB327" s="134"/>
      <c r="AC327" s="21"/>
      <c r="AD327" s="21"/>
      <c r="AE327" s="21"/>
      <c r="AG327" s="1">
        <v>57</v>
      </c>
    </row>
    <row r="328" spans="2:33" ht="12.75" customHeight="1" x14ac:dyDescent="0.2">
      <c r="B328" s="39"/>
      <c r="D328" s="22"/>
      <c r="E328" s="23"/>
      <c r="F328" s="22"/>
      <c r="G328" s="24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134"/>
      <c r="U328" s="21"/>
      <c r="V328" s="21"/>
      <c r="W328" s="21"/>
      <c r="X328" s="21"/>
      <c r="Y328" s="21"/>
      <c r="Z328" s="21"/>
      <c r="AA328" s="21"/>
      <c r="AB328" s="134"/>
      <c r="AC328" s="21"/>
      <c r="AD328" s="21"/>
      <c r="AE328" s="21"/>
      <c r="AG328" s="1">
        <v>58</v>
      </c>
    </row>
    <row r="329" spans="2:33" ht="12.75" customHeight="1" x14ac:dyDescent="0.2">
      <c r="B329" s="39"/>
      <c r="D329" s="27"/>
      <c r="E329" s="28"/>
      <c r="F329" s="27"/>
      <c r="G329" s="29"/>
      <c r="H329" s="26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135"/>
      <c r="U329" s="30"/>
      <c r="V329" s="30"/>
      <c r="W329" s="30"/>
      <c r="X329" s="30"/>
      <c r="Y329" s="30"/>
      <c r="Z329" s="30"/>
      <c r="AA329" s="30"/>
      <c r="AB329" s="135"/>
      <c r="AC329" s="30"/>
      <c r="AD329" s="30"/>
      <c r="AE329" s="30"/>
      <c r="AG329" s="1">
        <v>59</v>
      </c>
    </row>
    <row r="330" spans="2:33" ht="12.75" customHeight="1" thickBot="1" x14ac:dyDescent="0.25">
      <c r="D330" s="27"/>
      <c r="E330" s="28"/>
      <c r="F330" s="27"/>
      <c r="G330" s="29"/>
      <c r="H330" s="26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135"/>
      <c r="U330" s="30"/>
      <c r="V330" s="30"/>
      <c r="W330" s="30"/>
      <c r="X330" s="30"/>
      <c r="Y330" s="30"/>
      <c r="Z330" s="30"/>
      <c r="AA330" s="30"/>
      <c r="AB330" s="135"/>
      <c r="AC330" s="30"/>
      <c r="AD330" s="30"/>
      <c r="AE330" s="30"/>
      <c r="AG330" s="1">
        <v>60</v>
      </c>
    </row>
    <row r="331" spans="2:33" ht="12.75" customHeight="1" x14ac:dyDescent="0.2">
      <c r="D331" s="109" t="s">
        <v>45</v>
      </c>
      <c r="E331" s="109"/>
      <c r="F331" s="109"/>
      <c r="G331" s="109"/>
      <c r="H331" s="109"/>
      <c r="I331" s="109"/>
      <c r="J331" s="109"/>
      <c r="K331" s="109"/>
      <c r="L331" s="109"/>
      <c r="M331" s="31" t="str">
        <f>IF(SUM(M272:M276)&gt;0,SUM(M272:M276),"")</f>
        <v/>
      </c>
      <c r="N331" s="31">
        <f t="shared" ref="N331:AE331" si="130">IF(SUM(N272:N276)&gt;0,SUM(N272:N276),"")</f>
        <v>375</v>
      </c>
      <c r="O331" s="31" t="str">
        <f t="shared" si="130"/>
        <v/>
      </c>
      <c r="P331" s="31">
        <f t="shared" si="130"/>
        <v>364</v>
      </c>
      <c r="Q331" s="31"/>
      <c r="R331" s="31">
        <f t="shared" si="130"/>
        <v>1021</v>
      </c>
      <c r="S331" s="31"/>
      <c r="T331" s="137" t="str">
        <f t="shared" si="130"/>
        <v/>
      </c>
      <c r="U331" s="31">
        <f t="shared" si="130"/>
        <v>91</v>
      </c>
      <c r="V331" s="31" t="str">
        <f t="shared" si="130"/>
        <v/>
      </c>
      <c r="W331" s="31">
        <f t="shared" si="130"/>
        <v>109</v>
      </c>
      <c r="X331" s="31" t="str">
        <f t="shared" si="130"/>
        <v/>
      </c>
      <c r="Y331" s="31">
        <f t="shared" si="130"/>
        <v>55</v>
      </c>
      <c r="Z331" s="31" t="str">
        <f t="shared" si="130"/>
        <v/>
      </c>
      <c r="AA331" s="31">
        <f t="shared" si="130"/>
        <v>26</v>
      </c>
      <c r="AB331" s="137"/>
      <c r="AC331" s="31">
        <f t="shared" si="130"/>
        <v>35</v>
      </c>
      <c r="AD331" s="31" t="str">
        <f t="shared" si="130"/>
        <v/>
      </c>
      <c r="AE331" s="31" t="str">
        <f t="shared" si="130"/>
        <v/>
      </c>
      <c r="AG331" s="1">
        <v>61</v>
      </c>
    </row>
  </sheetData>
  <mergeCells count="112">
    <mergeCell ref="T96:T107"/>
    <mergeCell ref="T15:T26"/>
    <mergeCell ref="D331:L331"/>
    <mergeCell ref="D191:F191"/>
    <mergeCell ref="O177:O188"/>
    <mergeCell ref="T177:T188"/>
    <mergeCell ref="V177:V188"/>
    <mergeCell ref="D272:L272"/>
    <mergeCell ref="D274:L274"/>
    <mergeCell ref="D276:L276"/>
    <mergeCell ref="B257:B270"/>
    <mergeCell ref="D257:F269"/>
    <mergeCell ref="G257:G269"/>
    <mergeCell ref="H257:H269"/>
    <mergeCell ref="I257:I269"/>
    <mergeCell ref="J257:J269"/>
    <mergeCell ref="K257:K269"/>
    <mergeCell ref="L257:L269"/>
    <mergeCell ref="M258:M269"/>
    <mergeCell ref="D270:F270"/>
    <mergeCell ref="D249:L249"/>
    <mergeCell ref="D250:L250"/>
    <mergeCell ref="D252:AE252"/>
    <mergeCell ref="N258:N269"/>
    <mergeCell ref="P258:P269"/>
    <mergeCell ref="R258:R269"/>
    <mergeCell ref="B176:B189"/>
    <mergeCell ref="D176:F188"/>
    <mergeCell ref="G176:G188"/>
    <mergeCell ref="H176:H188"/>
    <mergeCell ref="I176:I188"/>
    <mergeCell ref="J176:J188"/>
    <mergeCell ref="K176:K188"/>
    <mergeCell ref="L176:L188"/>
    <mergeCell ref="M177:M188"/>
    <mergeCell ref="D136:F136"/>
    <mergeCell ref="D29:F29"/>
    <mergeCell ref="D37:F37"/>
    <mergeCell ref="D87:L87"/>
    <mergeCell ref="D88:L88"/>
    <mergeCell ref="D168:L168"/>
    <mergeCell ref="D169:L169"/>
    <mergeCell ref="D110:F110"/>
    <mergeCell ref="D189:F189"/>
    <mergeCell ref="D90:AE90"/>
    <mergeCell ref="D95:F107"/>
    <mergeCell ref="G95:G107"/>
    <mergeCell ref="D171:AE171"/>
    <mergeCell ref="N177:N188"/>
    <mergeCell ref="P177:P188"/>
    <mergeCell ref="R177:R188"/>
    <mergeCell ref="U177:U188"/>
    <mergeCell ref="W177:W188"/>
    <mergeCell ref="X177:X188"/>
    <mergeCell ref="Y177:Y188"/>
    <mergeCell ref="AA177:AA188"/>
    <mergeCell ref="AC177:AC188"/>
    <mergeCell ref="B95:B108"/>
    <mergeCell ref="AE15:AE26"/>
    <mergeCell ref="AD15:AD26"/>
    <mergeCell ref="B14:B27"/>
    <mergeCell ref="I14:I26"/>
    <mergeCell ref="D27:F27"/>
    <mergeCell ref="D108:F108"/>
    <mergeCell ref="H95:H107"/>
    <mergeCell ref="I95:I107"/>
    <mergeCell ref="J95:J107"/>
    <mergeCell ref="K95:K107"/>
    <mergeCell ref="L95:L107"/>
    <mergeCell ref="M96:M107"/>
    <mergeCell ref="N96:N107"/>
    <mergeCell ref="U96:U107"/>
    <mergeCell ref="W96:W107"/>
    <mergeCell ref="X96:X107"/>
    <mergeCell ref="Y96:Y107"/>
    <mergeCell ref="AA96:AA107"/>
    <mergeCell ref="AC96:AC107"/>
    <mergeCell ref="P96:P107"/>
    <mergeCell ref="R96:R107"/>
    <mergeCell ref="D9:AE9"/>
    <mergeCell ref="J14:J26"/>
    <mergeCell ref="H14:H26"/>
    <mergeCell ref="L14:L26"/>
    <mergeCell ref="D14:F26"/>
    <mergeCell ref="G14:G26"/>
    <mergeCell ref="K14:K26"/>
    <mergeCell ref="X15:X26"/>
    <mergeCell ref="Y15:Y26"/>
    <mergeCell ref="AA15:AA26"/>
    <mergeCell ref="AC15:AC26"/>
    <mergeCell ref="M15:M26"/>
    <mergeCell ref="N15:N26"/>
    <mergeCell ref="U15:U26"/>
    <mergeCell ref="W15:W26"/>
    <mergeCell ref="P15:P26"/>
    <mergeCell ref="R15:R26"/>
    <mergeCell ref="AB15:AB26"/>
    <mergeCell ref="Z177:Z188"/>
    <mergeCell ref="AD96:AD107"/>
    <mergeCell ref="AE96:AE107"/>
    <mergeCell ref="AE258:AE269"/>
    <mergeCell ref="U258:U269"/>
    <mergeCell ref="W258:W269"/>
    <mergeCell ref="X258:X269"/>
    <mergeCell ref="Y258:Y269"/>
    <mergeCell ref="AA258:AA269"/>
    <mergeCell ref="AC258:AC269"/>
    <mergeCell ref="AD258:AD269"/>
    <mergeCell ref="AD177:AD188"/>
    <mergeCell ref="AE177:AE188"/>
    <mergeCell ref="AB96:AB107"/>
    <mergeCell ref="AB177:AB188"/>
  </mergeCells>
  <phoneticPr fontId="1" type="noConversion"/>
  <printOptions horizontalCentered="1" verticalCentered="1"/>
  <pageMargins left="0.7" right="0.7" top="0.75" bottom="0.75" header="0.5" footer="0.5"/>
  <pageSetup paperSize="17" scale="71" orientation="landscape" r:id="rId1"/>
  <headerFooter alignWithMargins="0">
    <oddHeader>&amp;RCALCULATED: SSR
CHECKED: SWG
DATE: 10/2/2019</oddHeader>
    <oddFooter>&amp;CSheet &amp;P of &amp;N</oddFooter>
  </headerFooter>
  <rowBreaks count="3" manualBreakCount="3">
    <brk id="94" min="3" max="30" man="1"/>
    <brk id="169" min="3" max="30" man="1"/>
    <brk id="250" min="3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Riffle, Sean</cp:lastModifiedBy>
  <cp:lastPrinted>2019-10-03T18:25:20Z</cp:lastPrinted>
  <dcterms:created xsi:type="dcterms:W3CDTF">2004-11-29T18:07:26Z</dcterms:created>
  <dcterms:modified xsi:type="dcterms:W3CDTF">2019-12-17T02:24:38Z</dcterms:modified>
</cp:coreProperties>
</file>